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Q:\GCF\ENVIRONNEMENT\7_CARBONE\Coopératives\AFB\Projets_LBC\Projets_Tests\Agence Poitou-ValdeLoire-Bretagne\Projet Saint-Pierre-de-Maillé_082021\"/>
    </mc:Choice>
  </mc:AlternateContent>
  <bookViews>
    <workbookView xWindow="0" yWindow="0" windowWidth="19200" windowHeight="7308" tabRatio="866" activeTab="5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68" i="1" l="1"/>
  <c r="B67" i="1"/>
  <c r="B66" i="1"/>
  <c r="B65" i="1"/>
  <c r="B64" i="1"/>
  <c r="B63" i="1"/>
  <c r="B62" i="1"/>
  <c r="B42" i="1"/>
  <c r="B41" i="1"/>
  <c r="B40" i="1"/>
  <c r="B39" i="1"/>
  <c r="B38" i="1"/>
  <c r="B37" i="1"/>
  <c r="B36" i="1"/>
  <c r="E17" i="6" l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EA4" i="2" s="1"/>
  <c r="GI4" i="2"/>
  <c r="GL4" i="2" s="1"/>
  <c r="CI4" i="2"/>
  <c r="ET4" i="2"/>
  <c r="DC4" i="2"/>
  <c r="BM4" i="2"/>
  <c r="DD4" i="2"/>
  <c r="CH4" i="2"/>
  <c r="BN4" i="2"/>
  <c r="AS4" i="2"/>
  <c r="AR4" i="2"/>
  <c r="FN4" i="2"/>
  <c r="FQ4" i="2" s="1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R5" i="2" s="1"/>
  <c r="FN5" i="2"/>
  <c r="DY5" i="2"/>
  <c r="ET5" i="2"/>
  <c r="ES5" i="2"/>
  <c r="DD5" i="2"/>
  <c r="CH5" i="2"/>
  <c r="AS5" i="2"/>
  <c r="DX5" i="2"/>
  <c r="EA5" i="2" s="1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EX5" i="2" s="1"/>
  <c r="DV5" i="2"/>
  <c r="DM5" i="2"/>
  <c r="DA5" i="2"/>
  <c r="CR5" i="2"/>
  <c r="CQ5" i="2"/>
  <c r="EU5" i="2"/>
  <c r="EG5" i="2"/>
  <c r="DW5" i="2"/>
  <c r="EC5" i="2" s="1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HI5" i="2" l="1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HH6" i="2" s="1"/>
  <c r="GI6" i="2"/>
  <c r="GJ6" i="2"/>
  <c r="ET6" i="2"/>
  <c r="FO6" i="2"/>
  <c r="FR6" i="2" s="1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EA6" i="2" s="1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V6" i="2" l="1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V7" i="2" s="1"/>
  <c r="ET7" i="2"/>
  <c r="EW7" i="2" s="1"/>
  <c r="FO7" i="2"/>
  <c r="FN7" i="2"/>
  <c r="DY7" i="2"/>
  <c r="EB7" i="2" s="1"/>
  <c r="DD7" i="2"/>
  <c r="DC7" i="2"/>
  <c r="BM7" i="2"/>
  <c r="BN7" i="2"/>
  <c r="DX7" i="2"/>
  <c r="EA7" i="2" s="1"/>
  <c r="CH7" i="2"/>
  <c r="AS7" i="2"/>
  <c r="W7" i="2"/>
  <c r="CI7" i="2"/>
  <c r="AR7" i="2"/>
  <c r="X7" i="2"/>
  <c r="HB7" i="2"/>
  <c r="HC7" i="2"/>
  <c r="HI7" i="2" s="1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FS7" i="2" l="1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EX8" i="2" s="1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HG8" i="2" l="1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HG9" i="2" s="1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I9" i="2" l="1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HH10" i="2" s="1"/>
  <c r="GI10" i="2"/>
  <c r="GJ10" i="2"/>
  <c r="ET10" i="2"/>
  <c r="FN10" i="2"/>
  <c r="FO10" i="2"/>
  <c r="BN10" i="2"/>
  <c r="ES10" i="2"/>
  <c r="DX10" i="2"/>
  <c r="EA10" i="2" s="1"/>
  <c r="CH10" i="2"/>
  <c r="AS10" i="2"/>
  <c r="DC10" i="2"/>
  <c r="BM10" i="2"/>
  <c r="W10" i="2"/>
  <c r="X10" i="2"/>
  <c r="DY10" i="2"/>
  <c r="EB10" i="2" s="1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I10" i="2" l="1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HH12" i="2" s="1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I12" i="2" l="1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HG13" i="2" s="1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EC13" i="2" s="1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I13" i="2" l="1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G14" i="2" s="1"/>
  <c r="HE14" i="2"/>
  <c r="HH14" i="2" s="1"/>
  <c r="GI14" i="2"/>
  <c r="ET14" i="2"/>
  <c r="FO14" i="2"/>
  <c r="FN14" i="2"/>
  <c r="GJ14" i="2"/>
  <c r="DY14" i="2"/>
  <c r="EB14" i="2" s="1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EX14" i="2" s="1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I14" i="2" l="1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V15" i="2" s="1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FS15" i="2" s="1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HI15" i="2" l="1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HH16" i="2" s="1"/>
  <c r="FO16" i="2"/>
  <c r="GI16" i="2"/>
  <c r="DY16" i="2"/>
  <c r="ES16" i="2"/>
  <c r="DX16" i="2"/>
  <c r="EA16" i="2" s="1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C16" i="2" l="1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G18" i="2" s="1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EX18" i="2" s="1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HI18" i="2" l="1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HG20" i="2" s="1"/>
  <c r="GJ20" i="2"/>
  <c r="FO20" i="2"/>
  <c r="DY20" i="2"/>
  <c r="ES20" i="2"/>
  <c r="EV20" i="2" s="1"/>
  <c r="DX20" i="2"/>
  <c r="CI20" i="2"/>
  <c r="BM20" i="2"/>
  <c r="GI20" i="2"/>
  <c r="ET20" i="2"/>
  <c r="EW20" i="2" s="1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EC20" i="2" s="1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HI20" i="2" l="1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HH21" i="2" s="1"/>
  <c r="GJ21" i="2"/>
  <c r="HD21" i="2"/>
  <c r="GI21" i="2"/>
  <c r="FO21" i="2"/>
  <c r="FN21" i="2"/>
  <c r="DY21" i="2"/>
  <c r="EB21" i="2" s="1"/>
  <c r="ET21" i="2"/>
  <c r="EW21" i="2" s="1"/>
  <c r="ES21" i="2"/>
  <c r="EV21" i="2" s="1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X21" i="2" l="1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G22" i="2" s="1"/>
  <c r="HE22" i="2"/>
  <c r="HH22" i="2" s="1"/>
  <c r="GI22" i="2"/>
  <c r="GJ22" i="2"/>
  <c r="ET22" i="2"/>
  <c r="EW22" i="2" s="1"/>
  <c r="FO22" i="2"/>
  <c r="FN22" i="2"/>
  <c r="DY22" i="2"/>
  <c r="EB22" i="2" s="1"/>
  <c r="ES22" i="2"/>
  <c r="BN22" i="2"/>
  <c r="CH22" i="2"/>
  <c r="AS22" i="2"/>
  <c r="W22" i="2"/>
  <c r="DX22" i="2"/>
  <c r="EA22" i="2" s="1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I22" i="2" l="1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HG24" i="2" s="1"/>
  <c r="GJ24" i="2"/>
  <c r="FO24" i="2"/>
  <c r="FR24" i="2" s="1"/>
  <c r="GI24" i="2"/>
  <c r="DY24" i="2"/>
  <c r="ES24" i="2"/>
  <c r="DX24" i="2"/>
  <c r="FN24" i="2"/>
  <c r="ET24" i="2"/>
  <c r="EW24" i="2" s="1"/>
  <c r="CI24" i="2"/>
  <c r="BM24" i="2"/>
  <c r="DD24" i="2"/>
  <c r="DC24" i="2"/>
  <c r="AR24" i="2"/>
  <c r="AS24" i="2"/>
  <c r="CH24" i="2"/>
  <c r="BN24" i="2"/>
  <c r="X24" i="2"/>
  <c r="W24" i="2"/>
  <c r="HE24" i="2"/>
  <c r="HH24" i="2" s="1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EC24" i="2" l="1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HH26" i="2" s="1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FS26" i="2" l="1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C27" i="2" l="1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B28" i="2" s="1"/>
  <c r="ES28" i="2"/>
  <c r="EV28" i="2" s="1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FS28" i="2" s="1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X28" i="2" l="1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S29" i="2" s="1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C29" i="2" l="1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EV30" i="2" s="1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HI30" i="2" l="1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DG31" i="2" s="1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EC31" i="2" l="1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HH33" i="2" s="1"/>
  <c r="GJ33" i="2"/>
  <c r="HD33" i="2"/>
  <c r="HG33" i="2" s="1"/>
  <c r="FO33" i="2"/>
  <c r="FN33" i="2"/>
  <c r="GI33" i="2"/>
  <c r="DY33" i="2"/>
  <c r="EB33" i="2" s="1"/>
  <c r="DD33" i="2"/>
  <c r="ET33" i="2"/>
  <c r="EW33" i="2" s="1"/>
  <c r="CH33" i="2"/>
  <c r="AS33" i="2"/>
  <c r="CI33" i="2"/>
  <c r="BM33" i="2"/>
  <c r="X33" i="2"/>
  <c r="ES33" i="2"/>
  <c r="EV33" i="2" s="1"/>
  <c r="DX33" i="2"/>
  <c r="EA33" i="2" s="1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GM33" i="2" l="1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EW34" i="2" s="1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CM34" i="2" l="1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HH35" i="2" s="1"/>
  <c r="GI35" i="2"/>
  <c r="FO35" i="2"/>
  <c r="ES35" i="2"/>
  <c r="ET35" i="2"/>
  <c r="DX35" i="2"/>
  <c r="EA35" i="2" s="1"/>
  <c r="DC35" i="2"/>
  <c r="DD35" i="2"/>
  <c r="BN35" i="2"/>
  <c r="CI35" i="2"/>
  <c r="BM35" i="2"/>
  <c r="W35" i="2"/>
  <c r="FN35" i="2"/>
  <c r="FQ35" i="2" s="1"/>
  <c r="DY35" i="2"/>
  <c r="EB35" i="2" s="1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FS35" i="2" l="1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B37" i="2" s="1"/>
  <c r="ET37" i="2"/>
  <c r="ES37" i="2"/>
  <c r="DD37" i="2"/>
  <c r="CH37" i="2"/>
  <c r="AS37" i="2"/>
  <c r="DX37" i="2"/>
  <c r="EA37" i="2" s="1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HI37" i="2" l="1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HH38" i="2" s="1"/>
  <c r="GI38" i="2"/>
  <c r="GJ38" i="2"/>
  <c r="ET38" i="2"/>
  <c r="EW38" i="2" s="1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I38" i="2" s="1"/>
  <c r="HF38" i="2"/>
  <c r="GS38" i="2"/>
  <c r="GR38" i="2"/>
  <c r="GK38" i="2"/>
  <c r="GH38" i="2"/>
  <c r="FL38" i="2"/>
  <c r="FC38" i="2"/>
  <c r="FW38" i="2"/>
  <c r="FM38" i="2"/>
  <c r="FS38" i="2" s="1"/>
  <c r="FP38" i="2"/>
  <c r="DZ38" i="2"/>
  <c r="DL38" i="2"/>
  <c r="DE38" i="2"/>
  <c r="FX38" i="2"/>
  <c r="EQ38" i="2"/>
  <c r="EH38" i="2"/>
  <c r="CJ38" i="2"/>
  <c r="GG38" i="2"/>
  <c r="FB38" i="2"/>
  <c r="ER38" i="2"/>
  <c r="EX38" i="2" s="1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V38" i="2" l="1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HG40" i="2" s="1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EX40" i="2" l="1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G42" i="2" s="1"/>
  <c r="HE42" i="2"/>
  <c r="GI42" i="2"/>
  <c r="GJ42" i="2"/>
  <c r="ET42" i="2"/>
  <c r="FN42" i="2"/>
  <c r="FO42" i="2"/>
  <c r="DY42" i="2"/>
  <c r="BN42" i="2"/>
  <c r="ES42" i="2"/>
  <c r="EV42" i="2" s="1"/>
  <c r="DX42" i="2"/>
  <c r="EA42" i="2" s="1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C42" i="2" l="1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EA43" i="2" s="1"/>
  <c r="W43" i="2"/>
  <c r="DD43" i="2"/>
  <c r="DG43" i="2" s="1"/>
  <c r="CH43" i="2"/>
  <c r="X43" i="2"/>
  <c r="AS43" i="2"/>
  <c r="AR43" i="2"/>
  <c r="HC43" i="2"/>
  <c r="HI43" i="2" s="1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FS43" i="2" l="1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EW44" i="2" s="1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I44" i="2" l="1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B45" i="2" s="1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C45" i="2" l="1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EW46" i="2" s="1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FS46" i="2" l="1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G47" i="2" s="1"/>
  <c r="HE47" i="2"/>
  <c r="GI47" i="2"/>
  <c r="GJ47" i="2"/>
  <c r="ES47" i="2"/>
  <c r="ET47" i="2"/>
  <c r="FN47" i="2"/>
  <c r="FO47" i="2"/>
  <c r="DC47" i="2"/>
  <c r="DX47" i="2"/>
  <c r="EA47" i="2" s="1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FS47" i="2" l="1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G48" i="2" s="1"/>
  <c r="HE48" i="2"/>
  <c r="HH48" i="2" s="1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EC48" i="2" s="1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FS48" i="2" l="1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G50" i="2" s="1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I50" i="2" s="1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EW50" i="2" l="1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EB51" i="2" s="1"/>
  <c r="DX51" i="2"/>
  <c r="EA51" i="2" s="1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HI51" i="2" l="1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EV52" i="2" s="1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HI52" i="2" l="1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HG53" i="2" s="1"/>
  <c r="GI53" i="2"/>
  <c r="FO53" i="2"/>
  <c r="FN53" i="2"/>
  <c r="DY53" i="2"/>
  <c r="ET53" i="2"/>
  <c r="ES53" i="2"/>
  <c r="DD53" i="2"/>
  <c r="CH53" i="2"/>
  <c r="AS53" i="2"/>
  <c r="DX53" i="2"/>
  <c r="EA53" i="2" s="1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C53" i="2" l="1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FS55" i="2" l="1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HG56" i="2" s="1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FS56" i="2" l="1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HG57" i="2" s="1"/>
  <c r="FN57" i="2"/>
  <c r="DY57" i="2"/>
  <c r="EB57" i="2" s="1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C57" i="2" l="1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EA58" i="2" s="1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X58" i="2" l="1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EC59" i="2" s="1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FS59" i="2" l="1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G60" i="2" s="1"/>
  <c r="HE60" i="2"/>
  <c r="HH60" i="2" s="1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EW60" i="2" s="1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FS60" i="2" l="1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EV61" i="2" s="1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HI61" i="2" l="1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HH62" i="2" s="1"/>
  <c r="GI62" i="2"/>
  <c r="GJ62" i="2"/>
  <c r="ET62" i="2"/>
  <c r="FO62" i="2"/>
  <c r="FN62" i="2"/>
  <c r="DY62" i="2"/>
  <c r="EB62" i="2" s="1"/>
  <c r="ES62" i="2"/>
  <c r="DX62" i="2"/>
  <c r="EA62" i="2" s="1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C62" i="2" l="1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EC63" i="2" s="1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I63" i="2" l="1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EV64" i="2" s="1"/>
  <c r="DX64" i="2"/>
  <c r="EA64" i="2" s="1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I64" i="2" l="1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HH66" i="2" s="1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W66" i="2" l="1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HH67" i="2" s="1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FS67" i="2" l="1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EC69" i="2" s="1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HI69" i="2" l="1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G70" i="2" s="1"/>
  <c r="HE70" i="2"/>
  <c r="GI70" i="2"/>
  <c r="GJ70" i="2"/>
  <c r="ET70" i="2"/>
  <c r="EW70" i="2" s="1"/>
  <c r="FO70" i="2"/>
  <c r="FN70" i="2"/>
  <c r="ES70" i="2"/>
  <c r="BN70" i="2"/>
  <c r="DY70" i="2"/>
  <c r="EB70" i="2" s="1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C70" i="2" l="1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HH71" i="2" s="1"/>
  <c r="GI71" i="2"/>
  <c r="GJ71" i="2"/>
  <c r="ES71" i="2"/>
  <c r="ET71" i="2"/>
  <c r="EW71" i="2" s="1"/>
  <c r="FO71" i="2"/>
  <c r="FN71" i="2"/>
  <c r="DY71" i="2"/>
  <c r="DD71" i="2"/>
  <c r="DC71" i="2"/>
  <c r="BN71" i="2"/>
  <c r="DX71" i="2"/>
  <c r="EA71" i="2" s="1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HI71" i="2" l="1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EW73" i="2" s="1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X73" i="2" l="1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G74" i="2" s="1"/>
  <c r="HE74" i="2"/>
  <c r="GI74" i="2"/>
  <c r="GJ74" i="2"/>
  <c r="ET74" i="2"/>
  <c r="EW74" i="2" s="1"/>
  <c r="FN74" i="2"/>
  <c r="FO74" i="2"/>
  <c r="FR74" i="2" s="1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S74" i="2" s="1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EC74" i="2" l="1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EB75" i="2" s="1"/>
  <c r="FN75" i="2"/>
  <c r="DC75" i="2"/>
  <c r="BN75" i="2"/>
  <c r="CI75" i="2"/>
  <c r="BM75" i="2"/>
  <c r="DX75" i="2"/>
  <c r="EA75" i="2" s="1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X75" i="2" l="1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W77" i="2" s="1"/>
  <c r="ES77" i="2"/>
  <c r="DD77" i="2"/>
  <c r="CH77" i="2"/>
  <c r="AS77" i="2"/>
  <c r="CI77" i="2"/>
  <c r="BM77" i="2"/>
  <c r="DY77" i="2"/>
  <c r="EB77" i="2" s="1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FS77" i="2" l="1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EW78" i="2" s="1"/>
  <c r="FO78" i="2"/>
  <c r="FN78" i="2"/>
  <c r="ES78" i="2"/>
  <c r="EV78" i="2" s="1"/>
  <c r="DX78" i="2"/>
  <c r="BN78" i="2"/>
  <c r="DD78" i="2"/>
  <c r="CH78" i="2"/>
  <c r="AS78" i="2"/>
  <c r="W78" i="2"/>
  <c r="DY78" i="2"/>
  <c r="EB78" i="2" s="1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AU78" i="2" l="1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G80" i="2" s="1"/>
  <c r="HE80" i="2"/>
  <c r="HH80" i="2" s="1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EC80" i="2" l="1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G82" i="2" s="1"/>
  <c r="HE82" i="2"/>
  <c r="HH82" i="2" s="1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X82" i="2" l="1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HG84" i="2" s="1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EC84" i="2" l="1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HG85" i="2" s="1"/>
  <c r="GI85" i="2"/>
  <c r="FO85" i="2"/>
  <c r="FN85" i="2"/>
  <c r="ET85" i="2"/>
  <c r="EW85" i="2" s="1"/>
  <c r="ES85" i="2"/>
  <c r="EV85" i="2" s="1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EC85" i="2" s="1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FS85" i="2" l="1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EB86" i="2" s="1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FS86" i="2" l="1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G87" i="2" s="1"/>
  <c r="HE87" i="2"/>
  <c r="GI87" i="2"/>
  <c r="GJ87" i="2"/>
  <c r="ES87" i="2"/>
  <c r="ET87" i="2"/>
  <c r="FO87" i="2"/>
  <c r="FN87" i="2"/>
  <c r="DY87" i="2"/>
  <c r="EB87" i="2" s="1"/>
  <c r="DD87" i="2"/>
  <c r="DC87" i="2"/>
  <c r="BN87" i="2"/>
  <c r="CI87" i="2"/>
  <c r="CH87" i="2"/>
  <c r="AS87" i="2"/>
  <c r="W87" i="2"/>
  <c r="DX87" i="2"/>
  <c r="EA87" i="2" s="1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HI87" i="2" l="1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HG89" i="2" s="1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FS89" i="2" l="1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G90" i="2" s="1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EC90" i="2" l="1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EA91" i="2" s="1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X91" i="2" l="1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EW92" i="2" s="1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EX92" i="2" s="1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HI92" i="2" l="1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EC93" i="2" s="1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FS93" i="2" l="1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G94" i="2" s="1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EX94" i="2" l="1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FQ95" i="2" s="1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S95" i="2" l="1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S98" i="2" s="1"/>
  <c r="FP98" i="2"/>
  <c r="FX98" i="2"/>
  <c r="DZ98" i="2"/>
  <c r="DL98" i="2"/>
  <c r="DE98" i="2"/>
  <c r="GG98" i="2"/>
  <c r="EQ98" i="2"/>
  <c r="EH98" i="2"/>
  <c r="CJ98" i="2"/>
  <c r="CR98" i="2"/>
  <c r="FB98" i="2"/>
  <c r="ER98" i="2"/>
  <c r="EX98" i="2" s="1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C98" i="2" l="1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HH99" i="2" s="1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X99" i="2" l="1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EV100" i="2" s="1"/>
  <c r="DX100" i="2"/>
  <c r="GI100" i="2"/>
  <c r="CI100" i="2"/>
  <c r="BM100" i="2"/>
  <c r="ET100" i="2"/>
  <c r="EW100" i="2" s="1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EX100" i="2" s="1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AU100" i="2" l="1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EX104" i="2" s="1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HI104" i="2" l="1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HH105" i="2" s="1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X105" i="2" l="1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G106" i="2" s="1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I106" i="2" l="1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EB107" i="2" s="1"/>
  <c r="FN107" i="2"/>
  <c r="DC107" i="2"/>
  <c r="DD107" i="2"/>
  <c r="BN107" i="2"/>
  <c r="CI107" i="2"/>
  <c r="BM107" i="2"/>
  <c r="DX107" i="2"/>
  <c r="EA107" i="2" s="1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EC107" i="2" s="1"/>
  <c r="DB107" i="2"/>
  <c r="DZ107" i="2"/>
  <c r="DL107" i="2"/>
  <c r="DE107" i="2"/>
  <c r="EQ107" i="2"/>
  <c r="EH107" i="2"/>
  <c r="CJ107" i="2"/>
  <c r="CR107" i="2"/>
  <c r="FP107" i="2"/>
  <c r="FB107" i="2"/>
  <c r="ER107" i="2"/>
  <c r="EX107" i="2" s="1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HI107" i="2" l="1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EA108" i="2" s="1"/>
  <c r="CI108" i="2"/>
  <c r="BM108" i="2"/>
  <c r="FN108" i="2"/>
  <c r="DY108" i="2"/>
  <c r="EB108" i="2" s="1"/>
  <c r="DC108" i="2"/>
  <c r="ET108" i="2"/>
  <c r="EW108" i="2" s="1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X108" i="2" l="1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EB109" i="2" s="1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EX109" i="2" s="1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HI109" i="2" l="1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G110" i="2" s="1"/>
  <c r="HE110" i="2"/>
  <c r="HH110" i="2" s="1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EB110" i="2" s="1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HI110" i="2" l="1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EB112" i="2" s="1"/>
  <c r="CI112" i="2"/>
  <c r="BM112" i="2"/>
  <c r="DC112" i="2"/>
  <c r="AR112" i="2"/>
  <c r="CH112" i="2"/>
  <c r="DD112" i="2"/>
  <c r="BN112" i="2"/>
  <c r="AS112" i="2"/>
  <c r="X112" i="2"/>
  <c r="W112" i="2"/>
  <c r="HC112" i="2"/>
  <c r="HI112" i="2" s="1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FS112" i="2" l="1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HG113" i="2" s="1"/>
  <c r="GJ113" i="2"/>
  <c r="FO113" i="2"/>
  <c r="FN113" i="2"/>
  <c r="GI113" i="2"/>
  <c r="ET113" i="2"/>
  <c r="EW113" i="2" s="1"/>
  <c r="CH113" i="2"/>
  <c r="AS113" i="2"/>
  <c r="DY113" i="2"/>
  <c r="EB113" i="2" s="1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AW113" i="2" l="1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EW114" i="2" s="1"/>
  <c r="FN114" i="2"/>
  <c r="DD114" i="2"/>
  <c r="BN114" i="2"/>
  <c r="FO114" i="2"/>
  <c r="CH114" i="2"/>
  <c r="AS114" i="2"/>
  <c r="ES114" i="2"/>
  <c r="EV114" i="2" s="1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C114" i="2" l="1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FS115" i="2" s="1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HI115" i="2" l="1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HG116" i="2" s="1"/>
  <c r="FO116" i="2"/>
  <c r="HE116" i="2"/>
  <c r="GJ116" i="2"/>
  <c r="ES116" i="2"/>
  <c r="EV116" i="2" s="1"/>
  <c r="DX116" i="2"/>
  <c r="EA116" i="2" s="1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I116" i="2" l="1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X117" i="2" l="1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FQ118" i="2" s="1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S118" i="2" s="1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I118" i="2" l="1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G119" i="2" s="1"/>
  <c r="HE119" i="2"/>
  <c r="GI119" i="2"/>
  <c r="GJ119" i="2"/>
  <c r="ES119" i="2"/>
  <c r="ET119" i="2"/>
  <c r="FO119" i="2"/>
  <c r="FR119" i="2" s="1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HI119" i="2" l="1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HH120" i="2" s="1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I120" i="2" s="1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C120" i="2" l="1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EA121" i="2" s="1"/>
  <c r="CH121" i="2"/>
  <c r="AS121" i="2"/>
  <c r="CI121" i="2"/>
  <c r="BM121" i="2"/>
  <c r="X121" i="2"/>
  <c r="ET121" i="2"/>
  <c r="DY121" i="2"/>
  <c r="EB121" i="2" s="1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AW121" i="2" l="1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HH122" i="2" s="1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I122" i="2" s="1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AU122" i="2" l="1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HH123" i="2" s="1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FS123" i="2" l="1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EX124" i="2" s="1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C124" i="2" l="1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EC125" i="2" s="1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FS125" i="2" l="1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G126" i="2" s="1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I126" i="2" l="1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V127" i="2" s="1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I127" i="2" s="1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C127" i="2" l="1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EB128" i="2" s="1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EX128" i="2" s="1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I128" i="2" l="1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EV129" i="2" s="1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X129" i="2" l="1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G130" i="2" s="1"/>
  <c r="HE130" i="2"/>
  <c r="HH130" i="2" s="1"/>
  <c r="GI130" i="2"/>
  <c r="GJ130" i="2"/>
  <c r="ET130" i="2"/>
  <c r="EW130" i="2" s="1"/>
  <c r="FN130" i="2"/>
  <c r="DD130" i="2"/>
  <c r="BN130" i="2"/>
  <c r="CH130" i="2"/>
  <c r="AS130" i="2"/>
  <c r="DY130" i="2"/>
  <c r="EB130" i="2" s="1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A130" i="2" l="1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G132" i="2" s="1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EC132" i="2" s="1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HI132" i="2" l="1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W133" i="2" s="1"/>
  <c r="ES133" i="2"/>
  <c r="EV133" i="2" s="1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I133" i="2" l="1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EW134" i="2" s="1"/>
  <c r="FO134" i="2"/>
  <c r="FN134" i="2"/>
  <c r="ES134" i="2"/>
  <c r="EV134" i="2" s="1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C134" i="2" l="1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EW135" i="2" s="1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HI135" i="2" l="1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FS136" i="2" s="1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HI136" i="2" l="1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H137" i="2" s="1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EX137" i="2" s="1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FS137" i="2" l="1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EB138" i="2" s="1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HI138" i="2" l="1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EB139" i="2" s="1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X139" i="2" l="1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G140" i="2" s="1"/>
  <c r="HE140" i="2"/>
  <c r="HH140" i="2" s="1"/>
  <c r="FO140" i="2"/>
  <c r="FR140" i="2" s="1"/>
  <c r="GI140" i="2"/>
  <c r="ES140" i="2"/>
  <c r="DX140" i="2"/>
  <c r="CI140" i="2"/>
  <c r="BM140" i="2"/>
  <c r="GJ140" i="2"/>
  <c r="FN140" i="2"/>
  <c r="DY140" i="2"/>
  <c r="EB140" i="2" s="1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EX140" i="2" s="1"/>
  <c r="DV140" i="2"/>
  <c r="DM140" i="2"/>
  <c r="DA140" i="2"/>
  <c r="EU140" i="2"/>
  <c r="EG140" i="2"/>
  <c r="DW140" i="2"/>
  <c r="EC140" i="2" s="1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HI140" i="2" l="1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HG141" i="2" s="1"/>
  <c r="CH141" i="2"/>
  <c r="CI141" i="2"/>
  <c r="BM141" i="2"/>
  <c r="DY141" i="2"/>
  <c r="EB141" i="2" s="1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X141" i="2" l="1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G142" i="2" s="1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FS142" i="2" l="1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FS143" i="2" s="1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C143" i="2" l="1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G144" i="2" s="1"/>
  <c r="HE144" i="2"/>
  <c r="HH144" i="2" s="1"/>
  <c r="FO144" i="2"/>
  <c r="FR144" i="2" s="1"/>
  <c r="GJ144" i="2"/>
  <c r="GI144" i="2"/>
  <c r="ES144" i="2"/>
  <c r="DX144" i="2"/>
  <c r="EA144" i="2" s="1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HI144" i="2" l="1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EX145" i="2" s="1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HI145" i="2" l="1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G146" i="2" s="1"/>
  <c r="HE146" i="2"/>
  <c r="HH146" i="2" s="1"/>
  <c r="GJ146" i="2"/>
  <c r="GI146" i="2"/>
  <c r="ET146" i="2"/>
  <c r="FN146" i="2"/>
  <c r="DD146" i="2"/>
  <c r="BN146" i="2"/>
  <c r="FO146" i="2"/>
  <c r="FR146" i="2" s="1"/>
  <c r="CH146" i="2"/>
  <c r="ES146" i="2"/>
  <c r="DX146" i="2"/>
  <c r="EA146" i="2" s="1"/>
  <c r="DC146" i="2"/>
  <c r="W146" i="2"/>
  <c r="X146" i="2"/>
  <c r="DY146" i="2"/>
  <c r="BM146" i="2"/>
  <c r="AR146" i="2"/>
  <c r="CI146" i="2"/>
  <c r="AS146" i="2"/>
  <c r="HC146" i="2"/>
  <c r="HI146" i="2" s="1"/>
  <c r="HF146" i="2"/>
  <c r="HB146" i="2"/>
  <c r="GS146" i="2"/>
  <c r="GR146" i="2"/>
  <c r="GH146" i="2"/>
  <c r="FL146" i="2"/>
  <c r="FC146" i="2"/>
  <c r="FW146" i="2"/>
  <c r="FM146" i="2"/>
  <c r="FS146" i="2" s="1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X146" i="2" l="1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EW147" i="2" s="1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EX147" i="2" s="1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HI147" i="2" l="1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HH149" i="2" s="1"/>
  <c r="GJ149" i="2"/>
  <c r="HD149" i="2"/>
  <c r="HG149" i="2" s="1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EX149" i="2" s="1"/>
  <c r="DV149" i="2"/>
  <c r="DM149" i="2"/>
  <c r="DA149" i="2"/>
  <c r="EU149" i="2"/>
  <c r="EG149" i="2"/>
  <c r="DW149" i="2"/>
  <c r="EC149" i="2" s="1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FS149" i="2" l="1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EV150" i="2" s="1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I150" i="2" s="1"/>
  <c r="HF150" i="2"/>
  <c r="HB150" i="2"/>
  <c r="GS150" i="2"/>
  <c r="GR150" i="2"/>
  <c r="GK150" i="2"/>
  <c r="GH150" i="2"/>
  <c r="FL150" i="2"/>
  <c r="FC150" i="2"/>
  <c r="FW150" i="2"/>
  <c r="FM150" i="2"/>
  <c r="FS150" i="2" s="1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X150" i="2" l="1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V151" i="2" s="1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EC151" i="2" s="1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HI151" i="2" l="1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EV152" i="2" s="1"/>
  <c r="DX152" i="2"/>
  <c r="FN152" i="2"/>
  <c r="ET152" i="2"/>
  <c r="CI152" i="2"/>
  <c r="BM152" i="2"/>
  <c r="HE152" i="2"/>
  <c r="DC152" i="2"/>
  <c r="DY152" i="2"/>
  <c r="EB152" i="2" s="1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C152" i="2" l="1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EA153" i="2" s="1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HI153" i="2" l="1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EX154" i="2" l="1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HI156" i="2" s="1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EY155" i="2"/>
  <c r="ED155" i="2"/>
  <c r="AX152" i="2"/>
  <c r="EV156" i="2" l="1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B157" i="2" s="1"/>
  <c r="EG157" i="2"/>
  <c r="EH157" i="2"/>
  <c r="GK157" i="2"/>
  <c r="ER157" i="2"/>
  <c r="EX157" i="2" s="1"/>
  <c r="DM157" i="2"/>
  <c r="ES157" i="2"/>
  <c r="ET157" i="2"/>
  <c r="DW157" i="2"/>
  <c r="EC157" i="2" s="1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FS157" i="2" l="1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EW158" i="2" s="1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EV158" i="2" s="1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AU158" i="2" l="1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HH159" i="2" s="1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HI159" i="2" s="1"/>
  <c r="GI159" i="2"/>
  <c r="FP159" i="2"/>
  <c r="EG159" i="2"/>
  <c r="ER159" i="2"/>
  <c r="FL159" i="2"/>
  <c r="ES159" i="2"/>
  <c r="ET159" i="2"/>
  <c r="DW159" i="2"/>
  <c r="EC159" i="2" s="1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FS159" i="2" l="1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X160" i="2" l="1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AB161" i="2" s="1"/>
  <c r="H199" i="2"/>
  <c r="AX158" i="2"/>
  <c r="D200" i="2"/>
  <c r="G200" i="2" s="1"/>
  <c r="AW161" i="2" l="1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HH162" i="2" s="1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B162" i="2" s="1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FS162" i="2" l="1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I163" i="2" s="1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V163" i="2" s="1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FS163" i="2" l="1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EV164" i="2" s="1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EC164" i="2" l="1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HI167" i="2" s="1"/>
  <c r="GI167" i="2"/>
  <c r="FP167" i="2"/>
  <c r="EG167" i="2"/>
  <c r="FL167" i="2"/>
  <c r="EQ167" i="2"/>
  <c r="FW167" i="2"/>
  <c r="EU167" i="2"/>
  <c r="DW167" i="2"/>
  <c r="EC167" i="2" s="1"/>
  <c r="DY167" i="2"/>
  <c r="EB167" i="2" s="1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FS167" i="2" l="1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EV168" i="2" s="1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EW168" i="2" s="1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FS168" i="2" l="1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EB169" i="2" s="1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HI169" i="2" l="1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G172" i="2" s="1"/>
  <c r="HE172" i="2"/>
  <c r="GK172" i="2"/>
  <c r="FB172" i="2"/>
  <c r="HF172" i="2"/>
  <c r="FC172" i="2"/>
  <c r="FW172" i="2"/>
  <c r="FL172" i="2"/>
  <c r="GR172" i="2"/>
  <c r="FX172" i="2"/>
  <c r="FM172" i="2"/>
  <c r="ET172" i="2"/>
  <c r="EW172" i="2" s="1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C172" i="2" l="1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EB173" i="2" s="1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C173" i="2" l="1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HG174" i="2" s="1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C174" i="2" s="1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A174" i="2" l="1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FS175" i="2" s="1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EW175" i="2" s="1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EA175" i="2" s="1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EX175" i="2" l="1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X176" i="2" l="1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I177" i="2" l="1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EA178" i="2" s="1"/>
  <c r="CQ178" i="2"/>
  <c r="EH178" i="2"/>
  <c r="DY178" i="2"/>
  <c r="EB178" i="2" s="1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HI178" i="2" l="1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HG179" i="2" s="1"/>
  <c r="GJ179" i="2"/>
  <c r="HE179" i="2"/>
  <c r="HH179" i="2" s="1"/>
  <c r="GK179" i="2"/>
  <c r="FB179" i="2"/>
  <c r="HF179" i="2"/>
  <c r="FC179" i="2"/>
  <c r="FW179" i="2"/>
  <c r="FL179" i="2"/>
  <c r="ES179" i="2"/>
  <c r="EV179" i="2" s="1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DF179" i="2" s="1"/>
  <c r="CG179" i="2"/>
  <c r="W179" i="2"/>
  <c r="AX176" i="2"/>
  <c r="ED178" i="2"/>
  <c r="FS179" i="2" l="1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EC180" i="2" l="1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EB183" i="2" s="1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X183" i="2" l="1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HG185" i="2" s="1"/>
  <c r="GJ185" i="2"/>
  <c r="HE185" i="2"/>
  <c r="HH185" i="2" s="1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/>
  <c r="AU185" i="2" l="1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X186" i="2" l="1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HI187" i="2" l="1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FS188" i="2" l="1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EY188" i="2"/>
  <c r="AX186" i="2"/>
  <c r="EC189" i="2" l="1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EW190" i="2" s="1"/>
  <c r="FC190" i="2"/>
  <c r="EH190" i="2"/>
  <c r="FN190" i="2"/>
  <c r="FP190" i="2"/>
  <c r="ER190" i="2"/>
  <c r="DX190" i="2"/>
  <c r="CR190" i="2"/>
  <c r="ES190" i="2"/>
  <c r="EV190" i="2" s="1"/>
  <c r="DY190" i="2"/>
  <c r="EB190" i="2" s="1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HI190" i="2" l="1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HH191" i="2" s="1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EC191" i="2" l="1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HH192" i="2" s="1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HG192" i="2" s="1"/>
  <c r="GJ192" i="2"/>
  <c r="EH192" i="2"/>
  <c r="FM192" i="2"/>
  <c r="EG192" i="2"/>
  <c r="FN192" i="2"/>
  <c r="FX192" i="2"/>
  <c r="FO192" i="2"/>
  <c r="ET192" i="2"/>
  <c r="EW192" i="2" s="1"/>
  <c r="FB192" i="2"/>
  <c r="FC192" i="2"/>
  <c r="DZ192" i="2"/>
  <c r="DB192" i="2"/>
  <c r="FL192" i="2"/>
  <c r="DC192" i="2"/>
  <c r="DM192" i="2"/>
  <c r="FP192" i="2"/>
  <c r="DV192" i="2"/>
  <c r="DW192" i="2"/>
  <c r="EC192" i="2" s="1"/>
  <c r="CQ192" i="2"/>
  <c r="CI192" i="2"/>
  <c r="BN192" i="2"/>
  <c r="EQ192" i="2"/>
  <c r="DX192" i="2"/>
  <c r="EA192" i="2" s="1"/>
  <c r="CR192" i="2"/>
  <c r="CJ192" i="2"/>
  <c r="BO192" i="2"/>
  <c r="ER192" i="2"/>
  <c r="DY192" i="2"/>
  <c r="EB192" i="2" s="1"/>
  <c r="ES192" i="2"/>
  <c r="EV192" i="2" s="1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AW192" i="2" l="1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EX193" i="2" s="1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A193" i="2" s="1"/>
  <c r="EU193" i="2"/>
  <c r="DY193" i="2"/>
  <c r="EB193" i="2" s="1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FS193" i="2" l="1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HI194" i="2" s="1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AW194" i="2" l="1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HH196" i="2" s="1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FS196" i="2" l="1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EC197" i="2" s="1"/>
  <c r="CQ197" i="2"/>
  <c r="GK197" i="2"/>
  <c r="FM197" i="2"/>
  <c r="FS197" i="2" s="1"/>
  <c r="EH197" i="2"/>
  <c r="DX197" i="2"/>
  <c r="EA197" i="2" s="1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X197" i="2" l="1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EV198" i="2" s="1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EW198" i="2" s="1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FS198" i="2" l="1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I199" i="2" l="1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EX200" i="2" s="1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HI200" i="2" l="1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EA201" i="2" s="1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ED200" i="2"/>
  <c r="DI200" i="2"/>
  <c r="HI201" i="2" l="1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FR202" i="2" s="1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EV202" i="2" l="1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AH151" i="2" l="1" a="1"/>
  <c r="AH151" i="2" s="1"/>
  <c r="AH62" i="2" a="1"/>
  <c r="AH62" i="2" s="1"/>
  <c r="AH199" i="2" a="1"/>
  <c r="AH199" i="2" s="1"/>
  <c r="AH19" i="2" a="1"/>
  <c r="AH19" i="2" s="1"/>
  <c r="AH90" i="2" a="1"/>
  <c r="AH90" i="2" s="1"/>
  <c r="AH166" i="2" a="1"/>
  <c r="AH166" i="2" s="1"/>
  <c r="AH92" i="2" a="1"/>
  <c r="AH92" i="2" s="1"/>
  <c r="AH163" i="2" a="1"/>
  <c r="AH163" i="2" s="1"/>
  <c r="BP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<sst xmlns="http://schemas.openxmlformats.org/spreadsheetml/2006/main" count="1174" uniqueCount="326">
  <si>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</si>
  <si>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</si>
  <si>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</si>
  <si>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</si>
  <si>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</si>
  <si>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</si>
  <si>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</si>
  <si>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</si>
  <si>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</si>
  <si>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</si>
  <si>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</si>
  <si>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</si>
  <si>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</si>
  <si>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</si>
  <si>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</si>
  <si>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</si>
  <si>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</si>
  <si>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</si>
  <si>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</si>
  <si>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</si>
  <si>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</si>
  <si>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</si>
  <si>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</si>
  <si>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</si>
  <si>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</si>
  <si>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</si>
  <si>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</si>
  <si>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</si>
  <si>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</si>
  <si>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</si>
  <si>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</si>
  <si>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</si>
  <si>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</si>
  <si>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</si>
  <si>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</si>
  <si>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</si>
  <si>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</si>
  <si>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</si>
  <si>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</si>
  <si>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</si>
  <si>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</si>
  <si>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</si>
  <si>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</si>
  <si>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</si>
  <si>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</si>
  <si>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</si>
  <si>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</si>
  <si>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</si>
  <si>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</si>
  <si>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</si>
  <si>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</si>
  <si>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</si>
  <si>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</si>
  <si>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</si>
  <si>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</si>
  <si>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</si>
  <si>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</si>
  <si>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</si>
  <si>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</si>
  <si>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</si>
  <si>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</si>
  <si>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</si>
  <si>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</si>
  <si>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</si>
  <si>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</si>
  <si>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</si>
  <si>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</si>
  <si>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</si>
  <si>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</si>
  <si>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</si>
  <si>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</si>
  <si>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</si>
  <si>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</si>
  <si>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</si>
  <si>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</si>
  <si>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</si>
  <si>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</si>
  <si>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</si>
  <si>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</si>
  <si>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</si>
  <si>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</si>
  <si>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</si>
  <si>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</si>
  <si>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</si>
  <si>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</si>
  <si>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</si>
  <si>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</si>
  <si>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</si>
  <si>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</si>
  <si>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</si>
  <si>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</si>
  <si>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</si>
  <si>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</si>
  <si>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</si>
  <si>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</si>
  <si>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</si>
  <si>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</si>
  <si>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</si>
  <si>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</si>
  <si>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</si>
  <si>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</si>
  <si>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</si>
  <si>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</si>
  <si>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</si>
  <si>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</si>
  <si>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</si>
  <si>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</si>
  <si>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</si>
  <si>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</si>
  <si>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</si>
  <si>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</si>
  <si>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</si>
  <si>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</si>
  <si>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</si>
  <si>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</si>
  <si>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</si>
  <si>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</si>
  <si>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</si>
  <si>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</si>
  <si>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</si>
  <si>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</si>
  <si>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</si>
  <si>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</si>
  <si>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</si>
  <si>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</si>
  <si>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</si>
  <si>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</si>
  <si>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</si>
  <si>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</si>
  <si>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</si>
  <si>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</si>
  <si>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</si>
  <si>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</si>
  <si>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</si>
  <si>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</si>
  <si>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</si>
  <si>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</si>
  <si>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</si>
  <si>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</si>
  <si>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</si>
  <si>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</si>
  <si>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</si>
  <si>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</si>
  <si>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</si>
  <si>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</si>
  <si>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</si>
  <si>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</si>
  <si>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</si>
  <si>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</si>
  <si>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</si>
  <si>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</si>
  <si>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</si>
  <si>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</si>
  <si>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</si>
  <si>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</si>
  <si>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</si>
  <si>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</si>
  <si>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</si>
  <si>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</si>
  <si>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</si>
  <si>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</si>
  <si>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</si>
  <si>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</si>
  <si>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</si>
  <si>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</si>
  <si>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</si>
  <si>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</si>
  <si>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</si>
  <si>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</si>
  <si>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</si>
  <si>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</si>
  <si>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</si>
  <si>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</si>
  <si>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</si>
  <si>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</si>
  <si>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</si>
  <si>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</si>
  <si>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</si>
  <si>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</si>
  <si>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</si>
  <si>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</si>
  <si>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</si>
  <si>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</si>
  <si>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</si>
  <si>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</si>
  <si>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</si>
  <si>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</si>
  <si>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</si>
  <si>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</si>
  <si>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</si>
  <si>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</si>
  <si>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</si>
  <si>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</si>
  <si>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</si>
  <si>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</si>
  <si>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</si>
  <si>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</si>
  <si>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</si>
  <si>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</si>
  <si>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</si>
  <si>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</si>
  <si>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</si>
  <si>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</si>
  <si>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</si>
  <si>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</si>
  <si>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</si>
  <si>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</si>
  <si>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</si>
  <si>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</si>
  <si>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</si>
  <si>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</si>
  <si>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</si>
  <si>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</si>
  <si>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</si>
  <si>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</si>
  <si>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</si>
  <si>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</si>
  <si>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</si>
  <si>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</si>
  <si>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</si>
  <si>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</si>
  <si>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</si>
  <si>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</si>
  <si>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</si>
  <si>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</si>
  <si>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</si>
  <si>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</si>
  <si>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</si>
  <si>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</si>
  <si>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</si>
  <si>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</si>
  <si>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</si>
  <si>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</si>
  <si>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</si>
  <si>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</si>
  <si>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</si>
  <si>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</si>
  <si>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</si>
  <si>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</si>
  <si>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</si>
  <si>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</si>
  <si>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</si>
  <si>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</si>
  <si>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</si>
  <si>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</si>
  <si>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</si>
  <si>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</si>
  <si>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</si>
  <si>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</si>
  <si>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</si>
  <si>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</si>
  <si>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</si>
  <si>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</si>
  <si>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</si>
  <si>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</si>
  <si>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</si>
  <si>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</si>
  <si>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</si>
  <si>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</si>
  <si>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</si>
  <si>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</si>
  <si>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</si>
  <si>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</si>
  <si>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</si>
  <si>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</si>
  <si>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</si>
  <si>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</si>
  <si>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</si>
  <si>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</si>
  <si>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</si>
  <si>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</si>
  <si>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</si>
  <si>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</si>
  <si>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</si>
  <si>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</si>
  <si>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</si>
  <si>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</si>
  <si>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</si>
  <si>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</si>
  <si>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</si>
  <si>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</si>
  <si>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</si>
  <si>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</si>
  <si>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</si>
  <si>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</si>
  <si>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</si>
  <si>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</si>
  <si>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</si>
  <si>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</si>
  <si>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</si>
  <si>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</si>
  <si>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</si>
  <si>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</si>
  <si>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</si>
  <si>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</si>
  <si>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</si>
  <si>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</si>
  <si>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</si>
  <si>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</si>
  <si>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</si>
  <si>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</si>
  <si>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</si>
  <si>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</si>
  <si>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</si>
  <si>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</si>
  <si>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</si>
  <si>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</si>
  <si>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</si>
  <si>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</si>
  <si>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</si>
  <si>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</si>
  <si>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</si>
  <si>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</si>
  <si>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</si>
  <si>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</si>
  <si>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</si>
  <si>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</si>
  <si>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</si>
  <si>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</si>
  <si>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</si>
  <si>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</si>
  <si>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</si>
  <si>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</si>
  <si>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</si>
  <si>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Pas de recettes liées au pâturage</t>
  </si>
  <si>
    <t>Négligéable car on estime une récolte de 200 T/ha à 2€/T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</si>
</sst>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1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2.7663252338256172</c:v>
                </c:pt>
                <c:pt idx="2">
                  <c:v>3.3122877098209038</c:v>
                </c:pt>
                <c:pt idx="3">
                  <c:v>3.966401906447405</c:v>
                </c:pt>
                <c:pt idx="4">
                  <c:v>4.7501668593059909</c:v>
                </c:pt>
                <c:pt idx="5">
                  <c:v>5.6893692517736758</c:v>
                </c:pt>
                <c:pt idx="6">
                  <c:v>6.8149411073641248</c:v>
                </c:pt>
                <c:pt idx="7">
                  <c:v>8.1639895318585136</c:v>
                </c:pt>
                <c:pt idx="8">
                  <c:v>9.7810331060211926</c:v>
                </c:pt>
                <c:pt idx="9">
                  <c:v>11.719486504501022</c:v>
                </c:pt>
                <c:pt idx="10">
                  <c:v>14.043443300253207</c:v>
                </c:pt>
                <c:pt idx="11">
                  <c:v>16.829816991658799</c:v>
                </c:pt>
                <c:pt idx="12">
                  <c:v>20.170912404444739</c:v>
                </c:pt>
                <c:pt idx="13">
                  <c:v>24.177514185044988</c:v>
                </c:pt>
                <c:pt idx="14">
                  <c:v>28.982596612402116</c:v>
                </c:pt>
                <c:pt idx="15">
                  <c:v>34.745780008276633</c:v>
                </c:pt>
                <c:pt idx="16">
                  <c:v>41.658684339935689</c:v>
                </c:pt>
                <c:pt idx="17">
                  <c:v>49.951361047417038</c:v>
                </c:pt>
                <c:pt idx="18">
                  <c:v>59.900020729580547</c:v>
                </c:pt>
                <c:pt idx="19">
                  <c:v>71.836318339091292</c:v>
                </c:pt>
                <c:pt idx="20">
                  <c:v>86.158510470515978</c:v>
                </c:pt>
                <c:pt idx="21">
                  <c:v>97.318927922969635</c:v>
                </c:pt>
                <c:pt idx="22">
                  <c:v>108.4475019129206</c:v>
                </c:pt>
                <c:pt idx="23">
                  <c:v>119.54796628555846</c:v>
                </c:pt>
                <c:pt idx="24">
                  <c:v>130.62330272297189</c:v>
                </c:pt>
                <c:pt idx="25">
                  <c:v>141.67594470663133</c:v>
                </c:pt>
                <c:pt idx="26">
                  <c:v>139.70382844505221</c:v>
                </c:pt>
                <c:pt idx="27">
                  <c:v>153.49516770691636</c:v>
                </c:pt>
                <c:pt idx="28">
                  <c:v>167.25702755094335</c:v>
                </c:pt>
                <c:pt idx="29">
                  <c:v>180.99217685858619</c:v>
                </c:pt>
                <c:pt idx="30">
                  <c:v>194.7029293179402</c:v>
                </c:pt>
                <c:pt idx="31">
                  <c:v>169.22076873606747</c:v>
                </c:pt>
                <c:pt idx="32">
                  <c:v>184.91193253803269</c:v>
                </c:pt>
                <c:pt idx="33">
                  <c:v>200.57199414028256</c:v>
                </c:pt>
                <c:pt idx="34">
                  <c:v>216.20372460175972</c:v>
                </c:pt>
                <c:pt idx="35">
                  <c:v>231.8094611658297</c:v>
                </c:pt>
                <c:pt idx="36">
                  <c:v>207.21879690654114</c:v>
                </c:pt>
                <c:pt idx="37">
                  <c:v>223.61956111075639</c:v>
                </c:pt>
                <c:pt idx="38">
                  <c:v>239.99275146392395</c:v>
                </c:pt>
                <c:pt idx="39">
                  <c:v>256.34051411178774</c:v>
                </c:pt>
                <c:pt idx="40">
                  <c:v>272.6646989766358</c:v>
                </c:pt>
                <c:pt idx="41">
                  <c:v>248.16968942779496</c:v>
                </c:pt>
                <c:pt idx="42">
                  <c:v>264.50544806917623</c:v>
                </c:pt>
                <c:pt idx="43">
                  <c:v>280.81846105391611</c:v>
                </c:pt>
                <c:pt idx="44">
                  <c:v>297.11023564036327</c:v>
                </c:pt>
                <c:pt idx="45">
                  <c:v>313.38210026249641</c:v>
                </c:pt>
                <c:pt idx="46">
                  <c:v>288.57901240448905</c:v>
                </c:pt>
                <c:pt idx="47">
                  <c:v>304.47370954373423</c:v>
                </c:pt>
                <c:pt idx="48">
                  <c:v>320.34995854628937</c:v>
                </c:pt>
                <c:pt idx="49">
                  <c:v>336.20880231759617</c:v>
                </c:pt>
                <c:pt idx="50">
                  <c:v>352.05117734371055</c:v>
                </c:pt>
                <c:pt idx="51">
                  <c:v>326.9276331083118</c:v>
                </c:pt>
                <c:pt idx="52">
                  <c:v>342.393103483792</c:v>
                </c:pt>
                <c:pt idx="53">
                  <c:v>357.84322260194625</c:v>
                </c:pt>
                <c:pt idx="54">
                  <c:v>373.27874650728046</c:v>
                </c:pt>
                <c:pt idx="55">
                  <c:v>388.70036362009404</c:v>
                </c:pt>
                <c:pt idx="56">
                  <c:v>362.8613341480654</c:v>
                </c:pt>
                <c:pt idx="57">
                  <c:v>377.52104986809326</c:v>
                </c:pt>
                <c:pt idx="58">
                  <c:v>392.16837634017293</c:v>
                </c:pt>
                <c:pt idx="59">
                  <c:v>406.80384141548689</c:v>
                </c:pt>
                <c:pt idx="60">
                  <c:v>421.42793186976087</c:v>
                </c:pt>
                <c:pt idx="61">
                  <c:v>394.86525935006392</c:v>
                </c:pt>
                <c:pt idx="62">
                  <c:v>408.72870365690932</c:v>
                </c:pt>
                <c:pt idx="63">
                  <c:v>422.5819944009279</c:v>
                </c:pt>
                <c:pt idx="64">
                  <c:v>436.42551129808606</c:v>
                </c:pt>
                <c:pt idx="65">
                  <c:v>450.25960801246725</c:v>
                </c:pt>
                <c:pt idx="66">
                  <c:v>422.96666682108594</c:v>
                </c:pt>
                <c:pt idx="67">
                  <c:v>436.04109794385857</c:v>
                </c:pt>
                <c:pt idx="68">
                  <c:v>449.10711821530072</c:v>
                </c:pt>
                <c:pt idx="69">
                  <c:v>462.16500679362099</c:v>
                </c:pt>
                <c:pt idx="70">
                  <c:v>475.21502577729035</c:v>
                </c:pt>
                <c:pt idx="71">
                  <c:v>446.80194854061978</c:v>
                </c:pt>
                <c:pt idx="72">
                  <c:v>458.70928319621316</c:v>
                </c:pt>
                <c:pt idx="73">
                  <c:v>470.61001955868886</c:v>
                </c:pt>
                <c:pt idx="74">
                  <c:v>482.50434799892832</c:v>
                </c:pt>
                <c:pt idx="75">
                  <c:v>494.3924487367961</c:v>
                </c:pt>
                <c:pt idx="76">
                  <c:v>465.62017905920658</c:v>
                </c:pt>
                <c:pt idx="77">
                  <c:v>477.13349754486745</c:v>
                </c:pt>
                <c:pt idx="78">
                  <c:v>488.64090858857691</c:v>
                </c:pt>
                <c:pt idx="79">
                  <c:v>500.14257091604264</c:v>
                </c:pt>
                <c:pt idx="80">
                  <c:v>511.63863535742689</c:v>
                </c:pt>
                <c:pt idx="81">
                  <c:v>482.50434799892832</c:v>
                </c:pt>
                <c:pt idx="82">
                  <c:v>493.62565905582659</c:v>
                </c:pt>
                <c:pt idx="83">
                  <c:v>504.74166024448397</c:v>
                </c:pt>
                <c:pt idx="84">
                  <c:v>515.85248498703129</c:v>
                </c:pt>
                <c:pt idx="85">
                  <c:v>526.95826048952051</c:v>
                </c:pt>
                <c:pt idx="86">
                  <c:v>497.07601440225949</c:v>
                </c:pt>
                <c:pt idx="87">
                  <c:v>507.42405248193222</c:v>
                </c:pt>
                <c:pt idx="88">
                  <c:v>517.76763064124964</c:v>
                </c:pt>
                <c:pt idx="89">
                  <c:v>528.10685054075043</c:v>
                </c:pt>
                <c:pt idx="90">
                  <c:v>538.44180953565808</c:v>
                </c:pt>
                <c:pt idx="91">
                  <c:v>507.80722686130588</c:v>
                </c:pt>
                <c:pt idx="92">
                  <c:v>517.38461348648946</c:v>
                </c:pt>
                <c:pt idx="93">
                  <c:v>526.95826048952051</c:v>
                </c:pt>
                <c:pt idx="94">
                  <c:v>536.52824539615096</c:v>
                </c:pt>
                <c:pt idx="95">
                  <c:v>546.09464274073537</c:v>
                </c:pt>
                <c:pt idx="96">
                  <c:v>515.08638473795281</c:v>
                </c:pt>
                <c:pt idx="97">
                  <c:v>524.27801174542856</c:v>
                </c:pt>
                <c:pt idx="98">
                  <c:v>533.46624406259423</c:v>
                </c:pt>
                <c:pt idx="99">
                  <c:v>542.65114840915578</c:v>
                </c:pt>
                <c:pt idx="100">
                  <c:v>551.83278906179692</c:v>
                </c:pt>
                <c:pt idx="101">
                  <c:v>520.44858362500713</c:v>
                </c:pt>
                <c:pt idx="102">
                  <c:v>529.25538799232447</c:v>
                </c:pt>
                <c:pt idx="103">
                  <c:v>538.05910815921254</c:v>
                </c:pt>
                <c:pt idx="104">
                  <c:v>546.8598017122614</c:v>
                </c:pt>
                <c:pt idx="105">
                  <c:v>555.65752423315951</c:v>
                </c:pt>
                <c:pt idx="106">
                  <c:v>525.42672503969118</c:v>
                </c:pt>
                <c:pt idx="107">
                  <c:v>533.46624406259446</c:v>
                </c:pt>
                <c:pt idx="108">
                  <c:v>541.50321514452014</c:v>
                </c:pt>
                <c:pt idx="109">
                  <c:v>549.53768144295748</c:v>
                </c:pt>
                <c:pt idx="110">
                  <c:v>557.56968475025781</c:v>
                </c:pt>
                <c:pt idx="111">
                  <c:v>528.48970219589683</c:v>
                </c:pt>
                <c:pt idx="112">
                  <c:v>535.76277959494894</c:v>
                </c:pt>
                <c:pt idx="113">
                  <c:v>543.03378149300659</c:v>
                </c:pt>
                <c:pt idx="114">
                  <c:v>550.30273960772308</c:v>
                </c:pt>
                <c:pt idx="115">
                  <c:v>557.56968475025803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42134672"/>
        <c:axId val="542124880"/>
      </c:scatterChart>
      <c:valAx>
        <c:axId val="5421346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42124880"/>
        <c:crosses val="autoZero"/>
        <c:crossBetween val="midCat"/>
      </c:valAx>
      <c:valAx>
        <c:axId val="5421248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421346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34074736"/>
        <c:axId val="390332928"/>
      </c:scatterChart>
      <c:valAx>
        <c:axId val="53407473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90332928"/>
        <c:crosses val="autoZero"/>
        <c:crossBetween val="midCat"/>
      </c:valAx>
      <c:valAx>
        <c:axId val="390332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340747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3.0873954293069432</c:v>
                </c:pt>
                <c:pt idx="2">
                  <c:v>3.6969523327533285</c:v>
                </c:pt>
                <c:pt idx="3">
                  <c:v>4.4273012249221102</c:v>
                </c:pt>
                <c:pt idx="4">
                  <c:v>5.3024617849498643</c:v>
                </c:pt>
                <c:pt idx="5">
                  <c:v>6.3512455158746723</c:v>
                </c:pt>
                <c:pt idx="6">
                  <c:v>7.6082145638704972</c:v>
                </c:pt>
                <c:pt idx="7">
                  <c:v>9.1148329231718037</c:v>
                </c:pt>
                <c:pt idx="8">
                  <c:v>10.92084872649014</c:v>
                </c:pt>
                <c:pt idx="9">
                  <c:v>13.085954123475267</c:v>
                </c:pt>
                <c:pt idx="10">
                  <c:v>15.681778629035497</c:v>
                </c:pt>
                <c:pt idx="11">
                  <c:v>18.794283098237205</c:v>
                </c:pt>
                <c:pt idx="12">
                  <c:v>22.526635038894295</c:v>
                </c:pt>
                <c:pt idx="13">
                  <c:v>27.002662268531896</c:v>
                </c:pt>
                <c:pt idx="14">
                  <c:v>32.371001514529802</c:v>
                </c:pt>
                <c:pt idx="15">
                  <c:v>38.810082112983899</c:v>
                </c:pt>
                <c:pt idx="16">
                  <c:v>46.534113286836906</c:v>
                </c:pt>
                <c:pt idx="17">
                  <c:v>55.800277543955367</c:v>
                </c:pt>
                <c:pt idx="18">
                  <c:v>66.917373694244205</c:v>
                </c:pt>
                <c:pt idx="19">
                  <c:v>80.256202241032796</c:v>
                </c:pt>
                <c:pt idx="20">
                  <c:v>96.262045139603686</c:v>
                </c:pt>
                <c:pt idx="21">
                  <c:v>108.73492274451898</c:v>
                </c:pt>
                <c:pt idx="22">
                  <c:v>121.17258390131538</c:v>
                </c:pt>
                <c:pt idx="23">
                  <c:v>133.57915795884725</c:v>
                </c:pt>
                <c:pt idx="24">
                  <c:v>145.95794243077449</c:v>
                </c:pt>
                <c:pt idx="25">
                  <c:v>158.31162856255909</c:v>
                </c:pt>
                <c:pt idx="26">
                  <c:v>156.10734926897979</c:v>
                </c:pt>
                <c:pt idx="27">
                  <c:v>171.52240247513097</c:v>
                </c:pt>
                <c:pt idx="28">
                  <c:v>186.90485368679899</c:v>
                </c:pt>
                <c:pt idx="29">
                  <c:v>202.25776507632233</c:v>
                </c:pt>
                <c:pt idx="30">
                  <c:v>217.58369540679928</c:v>
                </c:pt>
                <c:pt idx="31">
                  <c:v>189.09987078266829</c:v>
                </c:pt>
                <c:pt idx="32">
                  <c:v>206.63925413557971</c:v>
                </c:pt>
                <c:pt idx="33">
                  <c:v>224.14424082064872</c:v>
                </c:pt>
                <c:pt idx="34">
                  <c:v>241.61789541835174</c:v>
                </c:pt>
                <c:pt idx="35">
                  <c:v>259.06280274212457</c:v>
                </c:pt>
                <c:pt idx="36">
                  <c:v>231.57421272848475</c:v>
                </c:pt>
                <c:pt idx="37">
                  <c:v>249.9076676355476</c:v>
                </c:pt>
                <c:pt idx="38">
                  <c:v>268.21062796009522</c:v>
                </c:pt>
                <c:pt idx="39">
                  <c:v>286.48546717612544</c:v>
                </c:pt>
                <c:pt idx="40">
                  <c:v>304.73423115701877</c:v>
                </c:pt>
                <c:pt idx="41">
                  <c:v>277.35142797945298</c:v>
                </c:pt>
                <c:pt idx="42">
                  <c:v>295.61299167711024</c:v>
                </c:pt>
                <c:pt idx="43">
                  <c:v>313.84940040812506</c:v>
                </c:pt>
                <c:pt idx="44">
                  <c:v>332.06232108561721</c:v>
                </c:pt>
                <c:pt idx="45">
                  <c:v>350.25322285655193</c:v>
                </c:pt>
                <c:pt idx="46">
                  <c:v>322.52505476163668</c:v>
                </c:pt>
                <c:pt idx="47">
                  <c:v>340.29418424269664</c:v>
                </c:pt>
                <c:pt idx="48">
                  <c:v>358.0429114873923</c:v>
                </c:pt>
                <c:pt idx="49">
                  <c:v>375.77238986983883</c:v>
                </c:pt>
                <c:pt idx="50">
                  <c:v>393.4836550724026</c:v>
                </c:pt>
                <c:pt idx="51">
                  <c:v>365.39643285792187</c:v>
                </c:pt>
                <c:pt idx="52">
                  <c:v>382.68621644309741</c:v>
                </c:pt>
                <c:pt idx="53">
                  <c:v>399.95902270499568</c:v>
                </c:pt>
                <c:pt idx="54">
                  <c:v>417.21568777134962</c:v>
                </c:pt>
                <c:pt idx="55">
                  <c:v>434.45697298266236</c:v>
                </c:pt>
                <c:pt idx="56">
                  <c:v>405.56917103469476</c:v>
                </c:pt>
                <c:pt idx="57">
                  <c:v>421.95854377334393</c:v>
                </c:pt>
                <c:pt idx="58">
                  <c:v>438.33421494585309</c:v>
                </c:pt>
                <c:pt idx="59">
                  <c:v>454.69676831549214</c:v>
                </c:pt>
                <c:pt idx="60">
                  <c:v>471.04674221919896</c:v>
                </c:pt>
                <c:pt idx="61">
                  <c:v>441.3493386190641</c:v>
                </c:pt>
                <c:pt idx="62">
                  <c:v>456.84878825602163</c:v>
                </c:pt>
                <c:pt idx="63">
                  <c:v>472.33700882458015</c:v>
                </c:pt>
                <c:pt idx="64">
                  <c:v>487.81442026172425</c:v>
                </c:pt>
                <c:pt idx="65">
                  <c:v>503.281413693037</c:v>
                </c:pt>
                <c:pt idx="66">
                  <c:v>472.76708100439259</c:v>
                </c:pt>
                <c:pt idx="67">
                  <c:v>487.38463458913128</c:v>
                </c:pt>
                <c:pt idx="68">
                  <c:v>501.99288641186791</c:v>
                </c:pt>
                <c:pt idx="69">
                  <c:v>516.59214520035414</c:v>
                </c:pt>
                <c:pt idx="70">
                  <c:v>531.18270081556818</c:v>
                </c:pt>
                <c:pt idx="71">
                  <c:v>499.41562163511867</c:v>
                </c:pt>
                <c:pt idx="72">
                  <c:v>512.72849407236004</c:v>
                </c:pt>
                <c:pt idx="73">
                  <c:v>526.034069299154</c:v>
                </c:pt>
                <c:pt idx="74">
                  <c:v>539.33255785121992</c:v>
                </c:pt>
                <c:pt idx="75">
                  <c:v>552.62415903802309</c:v>
                </c:pt>
                <c:pt idx="76">
                  <c:v>520.45518659727634</c:v>
                </c:pt>
                <c:pt idx="77">
                  <c:v>533.32765337796286</c:v>
                </c:pt>
                <c:pt idx="78">
                  <c:v>546.193586977059</c:v>
                </c:pt>
                <c:pt idx="79">
                  <c:v>559.05316293312762</c:v>
                </c:pt>
                <c:pt idx="80">
                  <c:v>571.90654805285897</c:v>
                </c:pt>
                <c:pt idx="81">
                  <c:v>539.3325578512198</c:v>
                </c:pt>
                <c:pt idx="82">
                  <c:v>551.7668404903385</c:v>
                </c:pt>
                <c:pt idx="83">
                  <c:v>564.19525081895074</c:v>
                </c:pt>
                <c:pt idx="84">
                  <c:v>576.61793639178723</c:v>
                </c:pt>
                <c:pt idx="85">
                  <c:v>589.03503788906914</c:v>
                </c:pt>
                <c:pt idx="86">
                  <c:v>555.62455474096134</c:v>
                </c:pt>
                <c:pt idx="87">
                  <c:v>567.19434879973289</c:v>
                </c:pt>
                <c:pt idx="88">
                  <c:v>578.75921052572812</c:v>
                </c:pt>
                <c:pt idx="89">
                  <c:v>590.3192523477727</c:v>
                </c:pt>
                <c:pt idx="90">
                  <c:v>601.87458193334112</c:v>
                </c:pt>
                <c:pt idx="91">
                  <c:v>567.62276426035044</c:v>
                </c:pt>
                <c:pt idx="92">
                  <c:v>578.33096894357766</c:v>
                </c:pt>
                <c:pt idx="93">
                  <c:v>589.03503788906892</c:v>
                </c:pt>
                <c:pt idx="94">
                  <c:v>599.73505683441078</c:v>
                </c:pt>
                <c:pt idx="95">
                  <c:v>610.43110820893151</c:v>
                </c:pt>
                <c:pt idx="96">
                  <c:v>575.76138030334926</c:v>
                </c:pt>
                <c:pt idx="97">
                  <c:v>586.03831044894537</c:v>
                </c:pt>
                <c:pt idx="98">
                  <c:v>596.31148632519455</c:v>
                </c:pt>
                <c:pt idx="99">
                  <c:v>606.58098171901759</c:v>
                </c:pt>
                <c:pt idx="100">
                  <c:v>616.84686771553959</c:v>
                </c:pt>
                <c:pt idx="101">
                  <c:v>581.75671680137077</c:v>
                </c:pt>
                <c:pt idx="102">
                  <c:v>591.6034086352571</c:v>
                </c:pt>
                <c:pt idx="103">
                  <c:v>601.44668957799445</c:v>
                </c:pt>
                <c:pt idx="104">
                  <c:v>611.28662331597241</c:v>
                </c:pt>
                <c:pt idx="105">
                  <c:v>621.12327131831159</c:v>
                </c:pt>
                <c:pt idx="106">
                  <c:v>587.322661205072</c:v>
                </c:pt>
                <c:pt idx="107">
                  <c:v>596.31148632519489</c:v>
                </c:pt>
                <c:pt idx="108">
                  <c:v>605.29749361634447</c:v>
                </c:pt>
                <c:pt idx="109">
                  <c:v>614.28073080742217</c:v>
                </c:pt>
                <c:pt idx="110">
                  <c:v>623.26124411759065</c:v>
                </c:pt>
                <c:pt idx="111">
                  <c:v>590.74731089993531</c:v>
                </c:pt>
                <c:pt idx="112">
                  <c:v>598.87920239707967</c:v>
                </c:pt>
                <c:pt idx="113">
                  <c:v>607.00879854794766</c:v>
                </c:pt>
                <c:pt idx="114">
                  <c:v>615.1361344298515</c:v>
                </c:pt>
                <c:pt idx="115">
                  <c:v>623.26124411759076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42125424"/>
        <c:axId val="542135760"/>
      </c:scatterChart>
      <c:valAx>
        <c:axId val="5421254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42135760"/>
        <c:crosses val="autoZero"/>
        <c:crossBetween val="midCat"/>
      </c:valAx>
      <c:valAx>
        <c:axId val="5421357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421254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1.5630855774068424</c:v>
                </c:pt>
                <c:pt idx="2">
                  <c:v>1.9941405754104276</c:v>
                </c:pt>
                <c:pt idx="3">
                  <c:v>2.5445505069102112</c:v>
                </c:pt>
                <c:pt idx="4">
                  <c:v>3.2474898112455457</c:v>
                </c:pt>
                <c:pt idx="5">
                  <c:v>4.1453866021713255</c:v>
                </c:pt>
                <c:pt idx="6">
                  <c:v>5.292512436219778</c:v>
                </c:pt>
                <c:pt idx="7">
                  <c:v>6.7582990763748976</c:v>
                </c:pt>
                <c:pt idx="8">
                  <c:v>8.631586902833817</c:v>
                </c:pt>
                <c:pt idx="9">
                  <c:v>11.026067379669733</c:v>
                </c:pt>
                <c:pt idx="10">
                  <c:v>14.087256081165423</c:v>
                </c:pt>
                <c:pt idx="11">
                  <c:v>18.001427845645381</c:v>
                </c:pt>
                <c:pt idx="12">
                  <c:v>23.00706760422047</c:v>
                </c:pt>
                <c:pt idx="13">
                  <c:v>29.409546962764335</c:v>
                </c:pt>
                <c:pt idx="14">
                  <c:v>37.599937503570509</c:v>
                </c:pt>
                <c:pt idx="15">
                  <c:v>48.079129612237985</c:v>
                </c:pt>
                <c:pt idx="16">
                  <c:v>61.488756600822086</c:v>
                </c:pt>
                <c:pt idx="17">
                  <c:v>78.650848767435647</c:v>
                </c:pt>
                <c:pt idx="18">
                  <c:v>100.61868749558056</c:v>
                </c:pt>
                <c:pt idx="19">
                  <c:v>128.7420298420451</c:v>
                </c:pt>
                <c:pt idx="20">
                  <c:v>164.75077334312192</c:v>
                </c:pt>
                <c:pt idx="21">
                  <c:v>138.47942045752964</c:v>
                </c:pt>
                <c:pt idx="22">
                  <c:v>147.86008251943289</c:v>
                </c:pt>
                <c:pt idx="23">
                  <c:v>157.226536630081</c:v>
                </c:pt>
                <c:pt idx="24">
                  <c:v>166.57974956981323</c:v>
                </c:pt>
                <c:pt idx="25">
                  <c:v>175.92057051227536</c:v>
                </c:pt>
                <c:pt idx="26">
                  <c:v>149.69373543126193</c:v>
                </c:pt>
                <c:pt idx="27">
                  <c:v>159.05752681622565</c:v>
                </c:pt>
                <c:pt idx="28">
                  <c:v>168.408251731631</c:v>
                </c:pt>
                <c:pt idx="29">
                  <c:v>177.74673882318038</c:v>
                </c:pt>
                <c:pt idx="30">
                  <c:v>187.07372242622966</c:v>
                </c:pt>
                <c:pt idx="31">
                  <c:v>146.43353271796298</c:v>
                </c:pt>
                <c:pt idx="32">
                  <c:v>156.61609434461192</c:v>
                </c:pt>
                <c:pt idx="33">
                  <c:v>166.78293977832848</c:v>
                </c:pt>
                <c:pt idx="34">
                  <c:v>176.93516310576442</c:v>
                </c:pt>
                <c:pt idx="35">
                  <c:v>187.07372242622966</c:v>
                </c:pt>
                <c:pt idx="36">
                  <c:v>197.19946337106239</c:v>
                </c:pt>
                <c:pt idx="37">
                  <c:v>207.31313753029772</c:v>
                </c:pt>
                <c:pt idx="38">
                  <c:v>167.6536888624527</c:v>
                </c:pt>
                <c:pt idx="39">
                  <c:v>178.67414750598275</c:v>
                </c:pt>
                <c:pt idx="40">
                  <c:v>189.67867707512858</c:v>
                </c:pt>
                <c:pt idx="41">
                  <c:v>200.66833272928136</c:v>
                </c:pt>
                <c:pt idx="42">
                  <c:v>211.64404448548677</c:v>
                </c:pt>
                <c:pt idx="43">
                  <c:v>222.60663792261985</c:v>
                </c:pt>
                <c:pt idx="44">
                  <c:v>233.5568505873855</c:v>
                </c:pt>
                <c:pt idx="45">
                  <c:v>184.9022803714488</c:v>
                </c:pt>
                <c:pt idx="46">
                  <c:v>196.91032732181304</c:v>
                </c:pt>
                <c:pt idx="47">
                  <c:v>208.90137702028542</c:v>
                </c:pt>
                <c:pt idx="48">
                  <c:v>220.87654319528517</c:v>
                </c:pt>
                <c:pt idx="49">
                  <c:v>232.83680883849482</c:v>
                </c:pt>
                <c:pt idx="50">
                  <c:v>244.78304762467158</c:v>
                </c:pt>
                <c:pt idx="51">
                  <c:v>256.71604092575205</c:v>
                </c:pt>
                <c:pt idx="52">
                  <c:v>199.6727821613074</c:v>
                </c:pt>
                <c:pt idx="53">
                  <c:v>213.26359685720604</c:v>
                </c:pt>
                <c:pt idx="54">
                  <c:v>226.83446508061607</c:v>
                </c:pt>
                <c:pt idx="55">
                  <c:v>240.38674870398219</c:v>
                </c:pt>
                <c:pt idx="56">
                  <c:v>253.92164339965282</c:v>
                </c:pt>
                <c:pt idx="57">
                  <c:v>267.44020689106782</c:v>
                </c:pt>
                <c:pt idx="58">
                  <c:v>280.94338118634391</c:v>
                </c:pt>
                <c:pt idx="59">
                  <c:v>294.43201030959904</c:v>
                </c:pt>
                <c:pt idx="60">
                  <c:v>307.90685461043876</c:v>
                </c:pt>
                <c:pt idx="61">
                  <c:v>8.583811758418665E-13</c:v>
                </c:pt>
                <c:pt idx="62">
                  <c:v>8.583811758418665E-13</c:v>
                </c:pt>
                <c:pt idx="63">
                  <c:v>8.583811758418665E-13</c:v>
                </c:pt>
                <c:pt idx="64">
                  <c:v>8.583811758418665E-13</c:v>
                </c:pt>
                <c:pt idx="65">
                  <c:v>8.583811758418665E-13</c:v>
                </c:pt>
                <c:pt idx="66">
                  <c:v>8.583811758418665E-13</c:v>
                </c:pt>
                <c:pt idx="67">
                  <c:v>8.583811758418665E-13</c:v>
                </c:pt>
                <c:pt idx="68">
                  <c:v>8.583811758418665E-13</c:v>
                </c:pt>
                <c:pt idx="69">
                  <c:v>8.583811758418665E-13</c:v>
                </c:pt>
                <c:pt idx="70">
                  <c:v>8.583811758418665E-13</c:v>
                </c:pt>
                <c:pt idx="71">
                  <c:v>8.583811758418665E-13</c:v>
                </c:pt>
                <c:pt idx="72">
                  <c:v>8.583811758418665E-13</c:v>
                </c:pt>
                <c:pt idx="73">
                  <c:v>8.583811758418665E-13</c:v>
                </c:pt>
                <c:pt idx="74">
                  <c:v>8.583811758418665E-13</c:v>
                </c:pt>
                <c:pt idx="75">
                  <c:v>8.583811758418665E-13</c:v>
                </c:pt>
                <c:pt idx="76">
                  <c:v>8.583811758418665E-13</c:v>
                </c:pt>
                <c:pt idx="77">
                  <c:v>8.583811758418665E-13</c:v>
                </c:pt>
                <c:pt idx="78">
                  <c:v>8.583811758418665E-13</c:v>
                </c:pt>
                <c:pt idx="79">
                  <c:v>8.583811758418665E-13</c:v>
                </c:pt>
                <c:pt idx="80">
                  <c:v>8.583811758418665E-13</c:v>
                </c:pt>
                <c:pt idx="81">
                  <c:v>8.583811758418665E-13</c:v>
                </c:pt>
                <c:pt idx="82">
                  <c:v>8.583811758418665E-13</c:v>
                </c:pt>
                <c:pt idx="83">
                  <c:v>8.583811758418665E-13</c:v>
                </c:pt>
                <c:pt idx="84">
                  <c:v>8.583811758418665E-13</c:v>
                </c:pt>
                <c:pt idx="85">
                  <c:v>8.583811758418665E-13</c:v>
                </c:pt>
                <c:pt idx="86">
                  <c:v>8.583811758418665E-13</c:v>
                </c:pt>
                <c:pt idx="87">
                  <c:v>8.583811758418665E-13</c:v>
                </c:pt>
                <c:pt idx="88">
                  <c:v>8.583811758418665E-13</c:v>
                </c:pt>
                <c:pt idx="89">
                  <c:v>8.583811758418665E-13</c:v>
                </c:pt>
                <c:pt idx="90">
                  <c:v>8.583811758418665E-13</c:v>
                </c:pt>
                <c:pt idx="91">
                  <c:v>8.583811758418665E-13</c:v>
                </c:pt>
                <c:pt idx="92">
                  <c:v>8.583811758418665E-13</c:v>
                </c:pt>
                <c:pt idx="93">
                  <c:v>8.583811758418665E-13</c:v>
                </c:pt>
                <c:pt idx="94">
                  <c:v>8.583811758418665E-13</c:v>
                </c:pt>
                <c:pt idx="95">
                  <c:v>8.583811758418665E-13</c:v>
                </c:pt>
                <c:pt idx="96">
                  <c:v>8.583811758418665E-13</c:v>
                </c:pt>
                <c:pt idx="97">
                  <c:v>8.583811758418665E-13</c:v>
                </c:pt>
                <c:pt idx="98">
                  <c:v>8.583811758418665E-13</c:v>
                </c:pt>
                <c:pt idx="99">
                  <c:v>8.583811758418665E-13</c:v>
                </c:pt>
                <c:pt idx="100">
                  <c:v>8.583811758418665E-13</c:v>
                </c:pt>
                <c:pt idx="101">
                  <c:v>8.583811758418665E-13</c:v>
                </c:pt>
                <c:pt idx="102">
                  <c:v>8.583811758418665E-13</c:v>
                </c:pt>
                <c:pt idx="103">
                  <c:v>8.583811758418665E-13</c:v>
                </c:pt>
                <c:pt idx="104">
                  <c:v>8.583811758418665E-13</c:v>
                </c:pt>
                <c:pt idx="105">
                  <c:v>8.583811758418665E-13</c:v>
                </c:pt>
                <c:pt idx="106">
                  <c:v>8.583811758418665E-13</c:v>
                </c:pt>
                <c:pt idx="107">
                  <c:v>8.583811758418665E-13</c:v>
                </c:pt>
                <c:pt idx="108">
                  <c:v>8.583811758418665E-13</c:v>
                </c:pt>
                <c:pt idx="109">
                  <c:v>8.583811758418665E-13</c:v>
                </c:pt>
                <c:pt idx="110">
                  <c:v>8.583811758418665E-13</c:v>
                </c:pt>
                <c:pt idx="111">
                  <c:v>8.583811758418665E-13</c:v>
                </c:pt>
                <c:pt idx="112">
                  <c:v>8.583811758418665E-13</c:v>
                </c:pt>
                <c:pt idx="113">
                  <c:v>8.583811758418665E-13</c:v>
                </c:pt>
                <c:pt idx="114">
                  <c:v>8.583811758418665E-13</c:v>
                </c:pt>
                <c:pt idx="115">
                  <c:v>8.583811758418665E-13</c:v>
                </c:pt>
                <c:pt idx="116">
                  <c:v>8.583811758418665E-13</c:v>
                </c:pt>
                <c:pt idx="117">
                  <c:v>8.583811758418665E-13</c:v>
                </c:pt>
                <c:pt idx="118">
                  <c:v>8.583811758418665E-13</c:v>
                </c:pt>
                <c:pt idx="119">
                  <c:v>8.583811758418665E-13</c:v>
                </c:pt>
                <c:pt idx="120">
                  <c:v>8.583811758418665E-13</c:v>
                </c:pt>
                <c:pt idx="121">
                  <c:v>8.583811758418665E-13</c:v>
                </c:pt>
                <c:pt idx="122">
                  <c:v>8.583811758418665E-13</c:v>
                </c:pt>
                <c:pt idx="123">
                  <c:v>8.583811758418665E-13</c:v>
                </c:pt>
                <c:pt idx="124">
                  <c:v>8.583811758418665E-13</c:v>
                </c:pt>
                <c:pt idx="125">
                  <c:v>8.583811758418665E-13</c:v>
                </c:pt>
                <c:pt idx="126">
                  <c:v>8.583811758418665E-13</c:v>
                </c:pt>
                <c:pt idx="127">
                  <c:v>8.583811758418665E-13</c:v>
                </c:pt>
                <c:pt idx="128">
                  <c:v>8.583811758418665E-13</c:v>
                </c:pt>
                <c:pt idx="129">
                  <c:v>8.583811758418665E-13</c:v>
                </c:pt>
                <c:pt idx="130">
                  <c:v>8.583811758418665E-13</c:v>
                </c:pt>
                <c:pt idx="131">
                  <c:v>8.583811758418665E-13</c:v>
                </c:pt>
                <c:pt idx="132">
                  <c:v>8.583811758418665E-13</c:v>
                </c:pt>
                <c:pt idx="133">
                  <c:v>8.583811758418665E-13</c:v>
                </c:pt>
                <c:pt idx="134">
                  <c:v>8.583811758418665E-13</c:v>
                </c:pt>
                <c:pt idx="135">
                  <c:v>8.583811758418665E-13</c:v>
                </c:pt>
                <c:pt idx="136">
                  <c:v>8.583811758418665E-13</c:v>
                </c:pt>
                <c:pt idx="137">
                  <c:v>8.583811758418665E-13</c:v>
                </c:pt>
                <c:pt idx="138">
                  <c:v>8.583811758418665E-13</c:v>
                </c:pt>
                <c:pt idx="139">
                  <c:v>8.583811758418665E-13</c:v>
                </c:pt>
                <c:pt idx="140">
                  <c:v>8.583811758418665E-13</c:v>
                </c:pt>
                <c:pt idx="141">
                  <c:v>8.583811758418665E-13</c:v>
                </c:pt>
                <c:pt idx="142">
                  <c:v>8.583811758418665E-13</c:v>
                </c:pt>
                <c:pt idx="143">
                  <c:v>8.583811758418665E-13</c:v>
                </c:pt>
                <c:pt idx="144">
                  <c:v>8.583811758418665E-13</c:v>
                </c:pt>
                <c:pt idx="145">
                  <c:v>8.583811758418665E-13</c:v>
                </c:pt>
                <c:pt idx="146">
                  <c:v>8.583811758418665E-13</c:v>
                </c:pt>
                <c:pt idx="147">
                  <c:v>8.583811758418665E-13</c:v>
                </c:pt>
                <c:pt idx="148">
                  <c:v>8.583811758418665E-13</c:v>
                </c:pt>
                <c:pt idx="149">
                  <c:v>8.583811758418665E-13</c:v>
                </c:pt>
                <c:pt idx="150">
                  <c:v>8.583811758418665E-13</c:v>
                </c:pt>
                <c:pt idx="151">
                  <c:v>8.583811758418665E-13</c:v>
                </c:pt>
                <c:pt idx="152">
                  <c:v>8.583811758418665E-13</c:v>
                </c:pt>
                <c:pt idx="153">
                  <c:v>8.583811758418665E-13</c:v>
                </c:pt>
                <c:pt idx="154">
                  <c:v>8.583811758418665E-13</c:v>
                </c:pt>
                <c:pt idx="155">
                  <c:v>8.583811758418665E-13</c:v>
                </c:pt>
                <c:pt idx="156">
                  <c:v>8.583811758418665E-13</c:v>
                </c:pt>
                <c:pt idx="157">
                  <c:v>8.583811758418665E-13</c:v>
                </c:pt>
                <c:pt idx="158">
                  <c:v>8.583811758418665E-13</c:v>
                </c:pt>
                <c:pt idx="159">
                  <c:v>8.583811758418665E-13</c:v>
                </c:pt>
                <c:pt idx="160">
                  <c:v>8.583811758418665E-13</c:v>
                </c:pt>
                <c:pt idx="161">
                  <c:v>8.583811758418665E-13</c:v>
                </c:pt>
                <c:pt idx="162">
                  <c:v>8.583811758418665E-13</c:v>
                </c:pt>
                <c:pt idx="163">
                  <c:v>8.583811758418665E-13</c:v>
                </c:pt>
                <c:pt idx="164">
                  <c:v>8.583811758418665E-13</c:v>
                </c:pt>
                <c:pt idx="165">
                  <c:v>8.583811758418665E-13</c:v>
                </c:pt>
                <c:pt idx="166">
                  <c:v>8.583811758418665E-13</c:v>
                </c:pt>
                <c:pt idx="167">
                  <c:v>8.583811758418665E-13</c:v>
                </c:pt>
                <c:pt idx="168">
                  <c:v>8.583811758418665E-13</c:v>
                </c:pt>
                <c:pt idx="169">
                  <c:v>8.583811758418665E-13</c:v>
                </c:pt>
                <c:pt idx="170">
                  <c:v>8.583811758418665E-13</c:v>
                </c:pt>
                <c:pt idx="171">
                  <c:v>8.583811758418665E-13</c:v>
                </c:pt>
                <c:pt idx="172">
                  <c:v>8.583811758418665E-13</c:v>
                </c:pt>
                <c:pt idx="173">
                  <c:v>8.583811758418665E-13</c:v>
                </c:pt>
                <c:pt idx="174">
                  <c:v>8.583811758418665E-13</c:v>
                </c:pt>
                <c:pt idx="175">
                  <c:v>8.583811758418665E-13</c:v>
                </c:pt>
                <c:pt idx="176">
                  <c:v>8.583811758418665E-13</c:v>
                </c:pt>
                <c:pt idx="177">
                  <c:v>8.583811758418665E-13</c:v>
                </c:pt>
                <c:pt idx="178">
                  <c:v>8.583811758418665E-13</c:v>
                </c:pt>
                <c:pt idx="179">
                  <c:v>8.583811758418665E-13</c:v>
                </c:pt>
                <c:pt idx="180">
                  <c:v>8.583811758418665E-13</c:v>
                </c:pt>
                <c:pt idx="181">
                  <c:v>8.583811758418665E-13</c:v>
                </c:pt>
                <c:pt idx="182">
                  <c:v>8.583811758418665E-13</c:v>
                </c:pt>
                <c:pt idx="183">
                  <c:v>8.583811758418665E-13</c:v>
                </c:pt>
                <c:pt idx="184">
                  <c:v>8.583811758418665E-13</c:v>
                </c:pt>
                <c:pt idx="185">
                  <c:v>8.583811758418665E-13</c:v>
                </c:pt>
                <c:pt idx="186">
                  <c:v>8.583811758418665E-13</c:v>
                </c:pt>
                <c:pt idx="187">
                  <c:v>8.583811758418665E-13</c:v>
                </c:pt>
                <c:pt idx="188">
                  <c:v>8.583811758418665E-13</c:v>
                </c:pt>
                <c:pt idx="189">
                  <c:v>8.583811758418665E-13</c:v>
                </c:pt>
                <c:pt idx="190">
                  <c:v>8.583811758418665E-13</c:v>
                </c:pt>
                <c:pt idx="191">
                  <c:v>8.583811758418665E-13</c:v>
                </c:pt>
                <c:pt idx="192">
                  <c:v>8.583811758418665E-13</c:v>
                </c:pt>
                <c:pt idx="193">
                  <c:v>8.583811758418665E-13</c:v>
                </c:pt>
                <c:pt idx="194">
                  <c:v>8.583811758418665E-13</c:v>
                </c:pt>
                <c:pt idx="195">
                  <c:v>8.583811758418665E-13</c:v>
                </c:pt>
                <c:pt idx="196">
                  <c:v>8.583811758418665E-13</c:v>
                </c:pt>
                <c:pt idx="197">
                  <c:v>8.583811758418665E-13</c:v>
                </c:pt>
                <c:pt idx="198">
                  <c:v>8.583811758418665E-13</c:v>
                </c:pt>
                <c:pt idx="199">
                  <c:v>8.583811758418665E-13</c:v>
                </c:pt>
                <c:pt idx="200">
                  <c:v>8.583811758418665E-13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42136848"/>
        <c:axId val="542127056"/>
      </c:scatterChart>
      <c:valAx>
        <c:axId val="54213684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42127056"/>
        <c:crosses val="autoZero"/>
        <c:crossBetween val="midCat"/>
      </c:valAx>
      <c:valAx>
        <c:axId val="5421270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4213684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42128688"/>
        <c:axId val="542128144"/>
      </c:scatterChart>
      <c:valAx>
        <c:axId val="54212868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42128144"/>
        <c:crosses val="autoZero"/>
        <c:crossBetween val="midCat"/>
      </c:valAx>
      <c:valAx>
        <c:axId val="5421281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4212868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34077456"/>
        <c:axId val="534075280"/>
      </c:scatterChart>
      <c:valAx>
        <c:axId val="5340774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34075280"/>
        <c:crosses val="autoZero"/>
        <c:crossBetween val="midCat"/>
      </c:valAx>
      <c:valAx>
        <c:axId val="5340752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340774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34078544"/>
        <c:axId val="534070384"/>
      </c:scatterChart>
      <c:valAx>
        <c:axId val="5340785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34070384"/>
        <c:crosses val="autoZero"/>
        <c:crossBetween val="midCat"/>
      </c:valAx>
      <c:valAx>
        <c:axId val="534070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340785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34064944"/>
        <c:axId val="534071472"/>
      </c:scatterChart>
      <c:valAx>
        <c:axId val="534064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34071472"/>
        <c:crosses val="autoZero"/>
        <c:crossBetween val="midCat"/>
      </c:valAx>
      <c:valAx>
        <c:axId val="5340714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34064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34075824"/>
        <c:axId val="534065488"/>
      </c:scatterChart>
      <c:valAx>
        <c:axId val="5340758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34065488"/>
        <c:crosses val="autoZero"/>
        <c:crossBetween val="midCat"/>
      </c:valAx>
      <c:valAx>
        <c:axId val="5340654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340758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34073648"/>
        <c:axId val="534068752"/>
      </c:scatterChart>
      <c:valAx>
        <c:axId val="53407364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34068752"/>
        <c:crosses val="autoZero"/>
        <c:crossBetween val="midCat"/>
      </c:valAx>
      <c:valAx>
        <c:axId val="53406875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3407364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=""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=""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=""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=""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=""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=""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=""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=""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=""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=""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1"/>
  <dimension ref="B12:M31"/>
  <sheetViews>
    <sheetView showGridLines="0" showRowColHeaders="0" zoomScale="115" zoomScaleNormal="115" workbookViewId="0">
      <selection activeCell="B18" sqref="B18:M31"/>
    </sheetView>
  </sheetViews>
  <sheetFormatPr baseColWidth="10" defaultRowHeight="14.4" x14ac:dyDescent="0.3"/>
  <cols>
    <col min="1" max="1" width="6.77734375" customWidth="1"/>
    <col min="2" max="13" width="15.77734375" customWidth="1"/>
  </cols>
  <sheetData>
    <row r="12" spans="2:13" ht="15" customHeight="1" x14ac:dyDescent="0.3">
      <c r="B12" s="291" t="s">
        <v>291</v>
      </c>
      <c r="C12" s="291"/>
      <c r="D12" s="291"/>
      <c r="E12" s="291"/>
      <c r="F12" s="291"/>
      <c r="G12" s="291"/>
      <c r="H12" s="291"/>
      <c r="I12" s="291"/>
      <c r="J12" s="291"/>
      <c r="K12" s="291"/>
      <c r="L12" s="291"/>
      <c r="M12" s="291"/>
    </row>
    <row r="13" spans="2:13" ht="15" customHeight="1" x14ac:dyDescent="0.3">
      <c r="B13" s="291"/>
      <c r="C13" s="291"/>
      <c r="D13" s="291"/>
      <c r="E13" s="291"/>
      <c r="F13" s="291"/>
      <c r="G13" s="291"/>
      <c r="H13" s="291"/>
      <c r="I13" s="291"/>
      <c r="J13" s="291"/>
      <c r="K13" s="291"/>
      <c r="L13" s="291"/>
      <c r="M13" s="291"/>
    </row>
    <row r="14" spans="2:13" ht="15" customHeight="1" x14ac:dyDescent="0.3">
      <c r="B14" s="291"/>
      <c r="C14" s="291"/>
      <c r="D14" s="291"/>
      <c r="E14" s="291"/>
      <c r="F14" s="291"/>
      <c r="G14" s="291"/>
      <c r="H14" s="291"/>
      <c r="I14" s="291"/>
      <c r="J14" s="291"/>
      <c r="K14" s="291"/>
      <c r="L14" s="291"/>
      <c r="M14" s="291"/>
    </row>
    <row r="15" spans="2:13" ht="18.75" customHeight="1" x14ac:dyDescent="0.3">
      <c r="B15" s="291"/>
      <c r="C15" s="291"/>
      <c r="D15" s="291"/>
      <c r="E15" s="291"/>
      <c r="F15" s="291"/>
      <c r="G15" s="291"/>
      <c r="H15" s="291"/>
      <c r="I15" s="291"/>
      <c r="J15" s="291"/>
      <c r="K15" s="291"/>
      <c r="L15" s="291"/>
      <c r="M15" s="291"/>
    </row>
    <row r="16" spans="2:13" ht="18.75" customHeight="1" x14ac:dyDescent="0.3">
      <c r="B16" s="291"/>
      <c r="C16" s="291"/>
      <c r="D16" s="291"/>
      <c r="E16" s="291"/>
      <c r="F16" s="291"/>
      <c r="G16" s="291"/>
      <c r="H16" s="291"/>
      <c r="I16" s="291"/>
      <c r="J16" s="291"/>
      <c r="K16" s="291"/>
      <c r="L16" s="291"/>
      <c r="M16" s="291"/>
    </row>
    <row r="18" spans="2:13" ht="12" customHeight="1" x14ac:dyDescent="0.3">
      <c r="B18" s="291" t="s">
        <v>292</v>
      </c>
      <c r="C18" s="291"/>
      <c r="D18" s="291"/>
      <c r="E18" s="291"/>
      <c r="F18" s="291"/>
      <c r="G18" s="291"/>
      <c r="H18" s="291"/>
      <c r="I18" s="291"/>
      <c r="J18" s="291"/>
      <c r="K18" s="291"/>
      <c r="L18" s="291"/>
      <c r="M18" s="291"/>
    </row>
    <row r="19" spans="2:13" ht="12" customHeight="1" x14ac:dyDescent="0.3">
      <c r="B19" s="291"/>
      <c r="C19" s="291"/>
      <c r="D19" s="291"/>
      <c r="E19" s="291"/>
      <c r="F19" s="291"/>
      <c r="G19" s="291"/>
      <c r="H19" s="291"/>
      <c r="I19" s="291"/>
      <c r="J19" s="291"/>
      <c r="K19" s="291"/>
      <c r="L19" s="291"/>
      <c r="M19" s="291"/>
    </row>
    <row r="20" spans="2:13" ht="12" customHeight="1" x14ac:dyDescent="0.3">
      <c r="B20" s="291"/>
      <c r="C20" s="291"/>
      <c r="D20" s="291"/>
      <c r="E20" s="291"/>
      <c r="F20" s="291"/>
      <c r="G20" s="291"/>
      <c r="H20" s="291"/>
      <c r="I20" s="291"/>
      <c r="J20" s="291"/>
      <c r="K20" s="291"/>
      <c r="L20" s="291"/>
      <c r="M20" s="291"/>
    </row>
    <row r="21" spans="2:13" ht="12" customHeight="1" x14ac:dyDescent="0.3">
      <c r="B21" s="291"/>
      <c r="C21" s="291"/>
      <c r="D21" s="291"/>
      <c r="E21" s="291"/>
      <c r="F21" s="291"/>
      <c r="G21" s="291"/>
      <c r="H21" s="291"/>
      <c r="I21" s="291"/>
      <c r="J21" s="291"/>
      <c r="K21" s="291"/>
      <c r="L21" s="291"/>
      <c r="M21" s="291"/>
    </row>
    <row r="22" spans="2:13" ht="12" customHeight="1" x14ac:dyDescent="0.3">
      <c r="B22" s="291"/>
      <c r="C22" s="291"/>
      <c r="D22" s="291"/>
      <c r="E22" s="291"/>
      <c r="F22" s="291"/>
      <c r="G22" s="291"/>
      <c r="H22" s="291"/>
      <c r="I22" s="291"/>
      <c r="J22" s="291"/>
      <c r="K22" s="291"/>
      <c r="L22" s="291"/>
      <c r="M22" s="291"/>
    </row>
    <row r="23" spans="2:13" ht="12" customHeight="1" x14ac:dyDescent="0.3">
      <c r="B23" s="291"/>
      <c r="C23" s="291"/>
      <c r="D23" s="291"/>
      <c r="E23" s="291"/>
      <c r="F23" s="291"/>
      <c r="G23" s="291"/>
      <c r="H23" s="291"/>
      <c r="I23" s="291"/>
      <c r="J23" s="291"/>
      <c r="K23" s="291"/>
      <c r="L23" s="291"/>
      <c r="M23" s="291"/>
    </row>
    <row r="24" spans="2:13" ht="12" customHeight="1" x14ac:dyDescent="0.3">
      <c r="B24" s="291"/>
      <c r="C24" s="291"/>
      <c r="D24" s="291"/>
      <c r="E24" s="291"/>
      <c r="F24" s="291"/>
      <c r="G24" s="291"/>
      <c r="H24" s="291"/>
      <c r="I24" s="291"/>
      <c r="J24" s="291"/>
      <c r="K24" s="291"/>
      <c r="L24" s="291"/>
      <c r="M24" s="291"/>
    </row>
    <row r="25" spans="2:13" ht="12" customHeight="1" x14ac:dyDescent="0.3">
      <c r="B25" s="291"/>
      <c r="C25" s="291"/>
      <c r="D25" s="291"/>
      <c r="E25" s="291"/>
      <c r="F25" s="291"/>
      <c r="G25" s="291"/>
      <c r="H25" s="291"/>
      <c r="I25" s="291"/>
      <c r="J25" s="291"/>
      <c r="K25" s="291"/>
      <c r="L25" s="291"/>
      <c r="M25" s="291"/>
    </row>
    <row r="26" spans="2:13" ht="12" customHeight="1" x14ac:dyDescent="0.3">
      <c r="B26" s="291"/>
      <c r="C26" s="291"/>
      <c r="D26" s="291"/>
      <c r="E26" s="291"/>
      <c r="F26" s="291"/>
      <c r="G26" s="291"/>
      <c r="H26" s="291"/>
      <c r="I26" s="291"/>
      <c r="J26" s="291"/>
      <c r="K26" s="291"/>
      <c r="L26" s="291"/>
      <c r="M26" s="291"/>
    </row>
    <row r="27" spans="2:13" ht="12" customHeight="1" x14ac:dyDescent="0.3">
      <c r="B27" s="291"/>
      <c r="C27" s="291"/>
      <c r="D27" s="291"/>
      <c r="E27" s="291"/>
      <c r="F27" s="291"/>
      <c r="G27" s="291"/>
      <c r="H27" s="291"/>
      <c r="I27" s="291"/>
      <c r="J27" s="291"/>
      <c r="K27" s="291"/>
      <c r="L27" s="291"/>
      <c r="M27" s="291"/>
    </row>
    <row r="28" spans="2:13" ht="12" customHeight="1" x14ac:dyDescent="0.3">
      <c r="B28" s="291"/>
      <c r="C28" s="291"/>
      <c r="D28" s="291"/>
      <c r="E28" s="291"/>
      <c r="F28" s="291"/>
      <c r="G28" s="291"/>
      <c r="H28" s="291"/>
      <c r="I28" s="291"/>
      <c r="J28" s="291"/>
      <c r="K28" s="291"/>
      <c r="L28" s="291"/>
      <c r="M28" s="291"/>
    </row>
    <row r="29" spans="2:13" ht="12" customHeight="1" x14ac:dyDescent="0.3">
      <c r="B29" s="291"/>
      <c r="C29" s="291"/>
      <c r="D29" s="291"/>
      <c r="E29" s="291"/>
      <c r="F29" s="291"/>
      <c r="G29" s="291"/>
      <c r="H29" s="291"/>
      <c r="I29" s="291"/>
      <c r="J29" s="291"/>
      <c r="K29" s="291"/>
      <c r="L29" s="291"/>
      <c r="M29" s="291"/>
    </row>
    <row r="30" spans="2:13" ht="12" customHeight="1" x14ac:dyDescent="0.3">
      <c r="B30" s="291"/>
      <c r="C30" s="291"/>
      <c r="D30" s="291"/>
      <c r="E30" s="291"/>
      <c r="F30" s="291"/>
      <c r="G30" s="291"/>
      <c r="H30" s="291"/>
      <c r="I30" s="291"/>
      <c r="J30" s="291"/>
      <c r="K30" s="291"/>
      <c r="L30" s="291"/>
      <c r="M30" s="291"/>
    </row>
    <row r="31" spans="2:13" ht="12" customHeight="1" x14ac:dyDescent="0.3">
      <c r="B31" s="291"/>
      <c r="C31" s="291"/>
      <c r="D31" s="291"/>
      <c r="E31" s="291"/>
      <c r="F31" s="291"/>
      <c r="G31" s="291"/>
      <c r="H31" s="291"/>
      <c r="I31" s="291"/>
      <c r="J31" s="291"/>
      <c r="K31" s="291"/>
      <c r="L31" s="291"/>
      <c r="M31" s="291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1:AS427"/>
  <sheetViews>
    <sheetView topLeftCell="A30" zoomScale="90" zoomScaleNormal="90" workbookViewId="0">
      <selection activeCell="M21" sqref="M21"/>
    </sheetView>
  </sheetViews>
  <sheetFormatPr baseColWidth="10" defaultColWidth="11.44140625" defaultRowHeight="14.4" x14ac:dyDescent="0.3"/>
  <cols>
    <col min="1" max="1" width="13.77734375" style="25" customWidth="1"/>
    <col min="2" max="2" width="36.21875" style="25" customWidth="1"/>
    <col min="3" max="3" width="14.77734375" style="25" bestFit="1" customWidth="1"/>
    <col min="4" max="4" width="16.44140625" style="25" customWidth="1"/>
    <col min="5" max="5" width="23.21875" style="25" customWidth="1"/>
    <col min="6" max="6" width="28.77734375" style="25" bestFit="1" customWidth="1"/>
    <col min="7" max="8" width="14.77734375" style="25" customWidth="1"/>
    <col min="9" max="9" width="17" style="25" customWidth="1"/>
    <col min="10" max="10" width="13.77734375" style="25" customWidth="1"/>
    <col min="11" max="16384" width="11.44140625" style="25"/>
  </cols>
  <sheetData>
    <row r="1" spans="1:38" x14ac:dyDescent="0.3">
      <c r="A1" s="5"/>
      <c r="B1" s="5"/>
      <c r="C1" s="292" t="s">
        <v>190</v>
      </c>
      <c r="D1" s="292"/>
      <c r="E1" s="292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" thickBot="1" x14ac:dyDescent="0.35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6.4" thickBot="1" x14ac:dyDescent="0.35">
      <c r="A3" s="5"/>
      <c r="B3" s="297" t="s">
        <v>192</v>
      </c>
      <c r="C3" s="298"/>
      <c r="D3" s="298"/>
      <c r="E3" s="298"/>
      <c r="F3" s="299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5.8" x14ac:dyDescent="0.3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5.8" x14ac:dyDescent="0.3">
      <c r="A5" s="303" t="s">
        <v>231</v>
      </c>
      <c r="B5" s="303"/>
      <c r="C5" s="26">
        <v>7</v>
      </c>
      <c r="D5" s="304" t="s">
        <v>229</v>
      </c>
      <c r="E5" s="305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3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5.8" x14ac:dyDescent="0.3">
      <c r="A7" s="301" t="s">
        <v>226</v>
      </c>
      <c r="B7" s="301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3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3">
      <c r="A9" s="33" t="s">
        <v>165</v>
      </c>
      <c r="B9" s="34" t="s">
        <v>14</v>
      </c>
      <c r="C9" s="35">
        <v>0.17</v>
      </c>
      <c r="D9" s="36">
        <f t="shared" ref="D9:D18" si="0">C9*$C$5</f>
        <v>1.1900000000000002</v>
      </c>
      <c r="E9" s="37">
        <v>115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3">
      <c r="A10" s="33" t="s">
        <v>166</v>
      </c>
      <c r="B10" s="34" t="s">
        <v>12</v>
      </c>
      <c r="C10" s="35">
        <v>0.3</v>
      </c>
      <c r="D10" s="36">
        <f t="shared" si="0"/>
        <v>2.1</v>
      </c>
      <c r="E10" s="37">
        <v>115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3">
      <c r="A11" s="33" t="s">
        <v>167</v>
      </c>
      <c r="B11" s="34" t="s">
        <v>164</v>
      </c>
      <c r="C11" s="35">
        <v>0.4</v>
      </c>
      <c r="D11" s="36">
        <f t="shared" si="0"/>
        <v>2.8000000000000003</v>
      </c>
      <c r="E11" s="37">
        <v>60</v>
      </c>
      <c r="F11" s="38" t="str">
        <f t="array" ref="F11">IF(E11="","",IF(INDEX(A:A,MAX(IF(ISNUMBER($A$88:$A$107),ROW($A$88:$A$107),"")))&lt;&gt;E11,"Corrigez : révolution incorrecte","OK"))</f>
        <v>OK</v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3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3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3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3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3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3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3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3">
      <c r="A19" s="100"/>
      <c r="B19" s="39" t="s">
        <v>175</v>
      </c>
      <c r="C19" s="40">
        <f>SUM(C9:C18)</f>
        <v>0.87</v>
      </c>
      <c r="D19" s="41">
        <f>SUM(D9:D18)</f>
        <v>6.09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3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3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4">
      <c r="A22" s="300" t="s">
        <v>232</v>
      </c>
      <c r="B22" s="300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3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3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3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3">
      <c r="A26" s="44" t="s">
        <v>222</v>
      </c>
      <c r="B26" s="45" t="s">
        <v>221</v>
      </c>
      <c r="C26" s="46">
        <v>0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3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3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3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3">
      <c r="A30" s="302" t="s">
        <v>227</v>
      </c>
      <c r="B30" s="302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3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3">
      <c r="A32" s="49" t="s">
        <v>165</v>
      </c>
      <c r="B32" s="50" t="str">
        <f>IF(B9="","",B9)</f>
        <v>Chêne sessile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3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3">
      <c r="A34" s="5"/>
      <c r="B34" s="91" t="s">
        <v>185</v>
      </c>
      <c r="C34" s="293" t="s">
        <v>186</v>
      </c>
      <c r="D34" s="293"/>
      <c r="E34" s="294" t="s">
        <v>187</v>
      </c>
      <c r="F34" s="295"/>
      <c r="G34" s="295"/>
      <c r="H34" s="296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3.2" x14ac:dyDescent="0.3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3">
      <c r="A36" s="53">
        <v>20</v>
      </c>
      <c r="B36" s="63">
        <f>42</f>
        <v>42</v>
      </c>
      <c r="C36" s="63">
        <v>1</v>
      </c>
      <c r="D36" s="63">
        <v>0</v>
      </c>
      <c r="E36" s="54"/>
      <c r="F36" s="54"/>
      <c r="G36" s="54"/>
      <c r="H36" s="54"/>
      <c r="I36" s="52">
        <f>IFERROR(B36/A36,"")</f>
        <v>2.1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3">
      <c r="A37" s="53">
        <v>25</v>
      </c>
      <c r="B37" s="63">
        <f>62+8</f>
        <v>70</v>
      </c>
      <c r="C37" s="63">
        <v>2</v>
      </c>
      <c r="D37" s="63">
        <v>8</v>
      </c>
      <c r="E37" s="54"/>
      <c r="F37" s="54"/>
      <c r="G37" s="54"/>
      <c r="H37" s="54">
        <v>1</v>
      </c>
      <c r="I37" s="56">
        <f t="shared" ref="I37:I55" si="1">IF(A37&lt;&gt;0,(B37-(B36-D36))/(A37-A36),"")</f>
        <v>5.6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3">
      <c r="A38" s="53">
        <v>30</v>
      </c>
      <c r="B38" s="63">
        <f>76+21</f>
        <v>97</v>
      </c>
      <c r="C38" s="63">
        <v>3</v>
      </c>
      <c r="D38" s="63">
        <v>21</v>
      </c>
      <c r="E38" s="54"/>
      <c r="F38" s="54"/>
      <c r="G38" s="54"/>
      <c r="H38" s="54">
        <v>1</v>
      </c>
      <c r="I38" s="56">
        <f t="shared" si="1"/>
        <v>7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3">
      <c r="A39" s="53">
        <v>35</v>
      </c>
      <c r="B39" s="63">
        <f>95+21</f>
        <v>116</v>
      </c>
      <c r="C39" s="63">
        <v>4</v>
      </c>
      <c r="D39" s="63">
        <v>21</v>
      </c>
      <c r="E39" s="54"/>
      <c r="F39" s="54"/>
      <c r="G39" s="54"/>
      <c r="H39" s="54"/>
      <c r="I39" s="52">
        <f t="shared" si="1"/>
        <v>8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3">
      <c r="A40" s="53">
        <v>40</v>
      </c>
      <c r="B40" s="63">
        <f>116+21</f>
        <v>137</v>
      </c>
      <c r="C40" s="63">
        <v>5</v>
      </c>
      <c r="D40" s="63">
        <v>21</v>
      </c>
      <c r="E40" s="54"/>
      <c r="F40" s="54"/>
      <c r="G40" s="54"/>
      <c r="H40" s="54"/>
      <c r="I40" s="52">
        <f t="shared" si="1"/>
        <v>8.4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3">
      <c r="A41" s="53">
        <v>45</v>
      </c>
      <c r="B41" s="63">
        <f>137+21</f>
        <v>158</v>
      </c>
      <c r="C41" s="63">
        <v>6</v>
      </c>
      <c r="D41" s="63">
        <v>21</v>
      </c>
      <c r="E41" s="54"/>
      <c r="F41" s="54"/>
      <c r="G41" s="54"/>
      <c r="H41" s="54"/>
      <c r="I41" s="56">
        <f t="shared" si="1"/>
        <v>8.4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3">
      <c r="A42" s="53">
        <v>50</v>
      </c>
      <c r="B42" s="63">
        <f>157+21</f>
        <v>178</v>
      </c>
      <c r="C42" s="63">
        <v>7</v>
      </c>
      <c r="D42" s="63">
        <v>21</v>
      </c>
      <c r="E42" s="54"/>
      <c r="F42" s="54"/>
      <c r="G42" s="54"/>
      <c r="H42" s="54"/>
      <c r="I42" s="56">
        <f t="shared" si="1"/>
        <v>8.1999999999999993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3">
      <c r="A43" s="53">
        <v>55</v>
      </c>
      <c r="B43" s="53">
        <v>197</v>
      </c>
      <c r="C43" s="53">
        <v>8</v>
      </c>
      <c r="D43" s="53">
        <v>21</v>
      </c>
      <c r="E43" s="54"/>
      <c r="F43" s="54"/>
      <c r="G43" s="54"/>
      <c r="H43" s="54"/>
      <c r="I43" s="52">
        <f t="shared" si="1"/>
        <v>8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3">
      <c r="A44" s="53">
        <v>60</v>
      </c>
      <c r="B44" s="53">
        <v>214</v>
      </c>
      <c r="C44" s="53">
        <v>9</v>
      </c>
      <c r="D44" s="53">
        <v>21</v>
      </c>
      <c r="E44" s="54"/>
      <c r="F44" s="54"/>
      <c r="G44" s="54"/>
      <c r="H44" s="54"/>
      <c r="I44" s="52">
        <f t="shared" si="1"/>
        <v>7.6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3">
      <c r="A45" s="53">
        <v>65</v>
      </c>
      <c r="B45" s="53">
        <v>229</v>
      </c>
      <c r="C45" s="53">
        <v>10</v>
      </c>
      <c r="D45" s="53">
        <v>21</v>
      </c>
      <c r="E45" s="54"/>
      <c r="F45" s="54"/>
      <c r="G45" s="54"/>
      <c r="H45" s="54"/>
      <c r="I45" s="52">
        <f t="shared" si="1"/>
        <v>7.2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3">
      <c r="A46" s="53">
        <v>70</v>
      </c>
      <c r="B46" s="53">
        <v>242</v>
      </c>
      <c r="C46" s="53">
        <v>11</v>
      </c>
      <c r="D46" s="53">
        <v>21</v>
      </c>
      <c r="E46" s="54"/>
      <c r="F46" s="54"/>
      <c r="G46" s="54"/>
      <c r="H46" s="54"/>
      <c r="I46" s="52">
        <f t="shared" si="1"/>
        <v>6.8</v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3">
      <c r="A47" s="53">
        <v>75</v>
      </c>
      <c r="B47" s="53">
        <v>252</v>
      </c>
      <c r="C47" s="53">
        <v>12</v>
      </c>
      <c r="D47" s="53">
        <v>21</v>
      </c>
      <c r="E47" s="54"/>
      <c r="F47" s="54"/>
      <c r="G47" s="54"/>
      <c r="H47" s="54"/>
      <c r="I47" s="52">
        <f t="shared" si="1"/>
        <v>6.2</v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3">
      <c r="A48" s="53">
        <v>80</v>
      </c>
      <c r="B48" s="53">
        <v>261</v>
      </c>
      <c r="C48" s="53">
        <v>13</v>
      </c>
      <c r="D48" s="53">
        <v>21</v>
      </c>
      <c r="E48" s="54"/>
      <c r="F48" s="54"/>
      <c r="G48" s="54"/>
      <c r="H48" s="54"/>
      <c r="I48" s="52">
        <f t="shared" si="1"/>
        <v>6</v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3">
      <c r="A49" s="53">
        <v>85</v>
      </c>
      <c r="B49" s="53">
        <v>269</v>
      </c>
      <c r="C49" s="53">
        <v>14</v>
      </c>
      <c r="D49" s="53">
        <v>21</v>
      </c>
      <c r="E49" s="54"/>
      <c r="F49" s="54"/>
      <c r="G49" s="54"/>
      <c r="H49" s="54"/>
      <c r="I49" s="52">
        <f t="shared" si="1"/>
        <v>5.8</v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3">
      <c r="A50" s="53">
        <v>90</v>
      </c>
      <c r="B50" s="53">
        <v>275</v>
      </c>
      <c r="C50" s="53">
        <v>15</v>
      </c>
      <c r="D50" s="53">
        <v>21</v>
      </c>
      <c r="E50" s="54"/>
      <c r="F50" s="54"/>
      <c r="G50" s="54"/>
      <c r="H50" s="54"/>
      <c r="I50" s="52">
        <f t="shared" si="1"/>
        <v>5.4</v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3">
      <c r="A51" s="53">
        <v>95</v>
      </c>
      <c r="B51" s="53">
        <v>279</v>
      </c>
      <c r="C51" s="53">
        <v>16</v>
      </c>
      <c r="D51" s="53">
        <v>21</v>
      </c>
      <c r="E51" s="54"/>
      <c r="F51" s="54"/>
      <c r="G51" s="54"/>
      <c r="H51" s="54"/>
      <c r="I51" s="52">
        <f t="shared" si="1"/>
        <v>5</v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3">
      <c r="A52" s="53">
        <v>100</v>
      </c>
      <c r="B52" s="53">
        <v>282</v>
      </c>
      <c r="C52" s="53">
        <v>17</v>
      </c>
      <c r="D52" s="53">
        <v>21</v>
      </c>
      <c r="E52" s="54"/>
      <c r="F52" s="54"/>
      <c r="G52" s="54"/>
      <c r="H52" s="54"/>
      <c r="I52" s="52">
        <f t="shared" si="1"/>
        <v>4.8</v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3">
      <c r="A53" s="53">
        <v>105</v>
      </c>
      <c r="B53" s="53">
        <v>284</v>
      </c>
      <c r="C53" s="53">
        <v>18</v>
      </c>
      <c r="D53" s="53">
        <v>20</v>
      </c>
      <c r="E53" s="54"/>
      <c r="F53" s="54"/>
      <c r="G53" s="54"/>
      <c r="H53" s="54"/>
      <c r="I53" s="52">
        <f t="shared" si="1"/>
        <v>4.5999999999999996</v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3">
      <c r="A54" s="53">
        <v>110</v>
      </c>
      <c r="B54" s="53">
        <v>285</v>
      </c>
      <c r="C54" s="53">
        <v>19</v>
      </c>
      <c r="D54" s="53">
        <v>19</v>
      </c>
      <c r="E54" s="54"/>
      <c r="F54" s="54"/>
      <c r="G54" s="54"/>
      <c r="H54" s="54"/>
      <c r="I54" s="52">
        <f t="shared" si="1"/>
        <v>4.2</v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3">
      <c r="A55" s="53">
        <v>115</v>
      </c>
      <c r="B55" s="53">
        <v>285</v>
      </c>
      <c r="C55" s="53"/>
      <c r="D55" s="53">
        <v>285</v>
      </c>
      <c r="E55" s="54"/>
      <c r="F55" s="54"/>
      <c r="G55" s="54"/>
      <c r="H55" s="54"/>
      <c r="I55" s="52">
        <f t="shared" si="1"/>
        <v>3.8</v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3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3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3">
      <c r="A58" s="49" t="s">
        <v>166</v>
      </c>
      <c r="B58" s="55" t="str">
        <f>IF(B10="","",B10)</f>
        <v>Chêne pubescent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3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3">
      <c r="A60" s="5"/>
      <c r="B60" s="91" t="s">
        <v>185</v>
      </c>
      <c r="C60" s="293" t="s">
        <v>186</v>
      </c>
      <c r="D60" s="293"/>
      <c r="E60" s="294" t="s">
        <v>187</v>
      </c>
      <c r="F60" s="295"/>
      <c r="G60" s="295"/>
      <c r="H60" s="296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3.2" x14ac:dyDescent="0.3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3">
      <c r="A62" s="53">
        <v>20</v>
      </c>
      <c r="B62" s="63">
        <f>42</f>
        <v>42</v>
      </c>
      <c r="C62" s="63">
        <v>1</v>
      </c>
      <c r="D62" s="63">
        <v>0</v>
      </c>
      <c r="E62" s="54"/>
      <c r="F62" s="54"/>
      <c r="G62" s="54"/>
      <c r="H62" s="54"/>
      <c r="I62" s="56">
        <f>IFERROR(B62/A62,"")</f>
        <v>2.1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3">
      <c r="A63" s="53">
        <v>25</v>
      </c>
      <c r="B63" s="63">
        <f>62+8</f>
        <v>70</v>
      </c>
      <c r="C63" s="63">
        <v>2</v>
      </c>
      <c r="D63" s="63">
        <v>8</v>
      </c>
      <c r="E63" s="54"/>
      <c r="F63" s="54"/>
      <c r="G63" s="54"/>
      <c r="H63" s="54">
        <v>1</v>
      </c>
      <c r="I63" s="52">
        <f>IF(A63&lt;&gt;0,(B63-(B62-D62))/(A63-A62),"")</f>
        <v>5.6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3">
      <c r="A64" s="53">
        <v>30</v>
      </c>
      <c r="B64" s="63">
        <f>76+21</f>
        <v>97</v>
      </c>
      <c r="C64" s="63">
        <v>3</v>
      </c>
      <c r="D64" s="63">
        <v>21</v>
      </c>
      <c r="E64" s="54"/>
      <c r="F64" s="54"/>
      <c r="G64" s="54"/>
      <c r="H64" s="54">
        <v>1</v>
      </c>
      <c r="I64" s="52">
        <f>IF(A64&lt;&gt;0,(B64-(B63-D63))/(A64-A63),"")</f>
        <v>7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3">
      <c r="A65" s="53">
        <v>35</v>
      </c>
      <c r="B65" s="63">
        <f>95+21</f>
        <v>116</v>
      </c>
      <c r="C65" s="63">
        <v>4</v>
      </c>
      <c r="D65" s="63">
        <v>21</v>
      </c>
      <c r="E65" s="54"/>
      <c r="F65" s="54"/>
      <c r="G65" s="54"/>
      <c r="H65" s="54"/>
      <c r="I65" s="52">
        <f>IF(A65&lt;&gt;0,(B65-(B64-D64))/(A65-A64),"")</f>
        <v>8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3">
      <c r="A66" s="53">
        <v>40</v>
      </c>
      <c r="B66" s="63">
        <f>116+21</f>
        <v>137</v>
      </c>
      <c r="C66" s="63">
        <v>5</v>
      </c>
      <c r="D66" s="63">
        <v>21</v>
      </c>
      <c r="E66" s="54"/>
      <c r="F66" s="54"/>
      <c r="G66" s="54"/>
      <c r="H66" s="54"/>
      <c r="I66" s="52">
        <f t="shared" ref="I66:I81" si="2">IF(A66&lt;&gt;0,(B66-(B65-D65))/(A66-A65),"")</f>
        <v>8.4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3">
      <c r="A67" s="53">
        <v>45</v>
      </c>
      <c r="B67" s="63">
        <f>137+21</f>
        <v>158</v>
      </c>
      <c r="C67" s="63">
        <v>6</v>
      </c>
      <c r="D67" s="63">
        <v>21</v>
      </c>
      <c r="E67" s="54"/>
      <c r="F67" s="54"/>
      <c r="G67" s="54"/>
      <c r="H67" s="54"/>
      <c r="I67" s="52">
        <f t="shared" si="2"/>
        <v>8.4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3">
      <c r="A68" s="53">
        <v>50</v>
      </c>
      <c r="B68" s="63">
        <f>157+21</f>
        <v>178</v>
      </c>
      <c r="C68" s="63">
        <v>7</v>
      </c>
      <c r="D68" s="63">
        <v>21</v>
      </c>
      <c r="E68" s="54"/>
      <c r="F68" s="54"/>
      <c r="G68" s="54"/>
      <c r="H68" s="54"/>
      <c r="I68" s="52">
        <f t="shared" si="2"/>
        <v>8.1999999999999993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3">
      <c r="A69" s="53">
        <v>55</v>
      </c>
      <c r="B69" s="53">
        <v>197</v>
      </c>
      <c r="C69" s="53">
        <v>8</v>
      </c>
      <c r="D69" s="53">
        <v>21</v>
      </c>
      <c r="E69" s="54"/>
      <c r="F69" s="54"/>
      <c r="G69" s="54"/>
      <c r="H69" s="54"/>
      <c r="I69" s="52">
        <f t="shared" si="2"/>
        <v>8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3">
      <c r="A70" s="53">
        <v>60</v>
      </c>
      <c r="B70" s="53">
        <v>214</v>
      </c>
      <c r="C70" s="53">
        <v>9</v>
      </c>
      <c r="D70" s="53">
        <v>21</v>
      </c>
      <c r="E70" s="54"/>
      <c r="F70" s="54"/>
      <c r="G70" s="54"/>
      <c r="H70" s="54"/>
      <c r="I70" s="52">
        <f t="shared" si="2"/>
        <v>7.6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3">
      <c r="A71" s="53">
        <v>65</v>
      </c>
      <c r="B71" s="53">
        <v>229</v>
      </c>
      <c r="C71" s="53">
        <v>10</v>
      </c>
      <c r="D71" s="53">
        <v>21</v>
      </c>
      <c r="E71" s="54"/>
      <c r="F71" s="54"/>
      <c r="G71" s="54"/>
      <c r="H71" s="54"/>
      <c r="I71" s="52">
        <f t="shared" si="2"/>
        <v>7.2</v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3">
      <c r="A72" s="53">
        <v>70</v>
      </c>
      <c r="B72" s="53">
        <v>242</v>
      </c>
      <c r="C72" s="53">
        <v>11</v>
      </c>
      <c r="D72" s="53">
        <v>21</v>
      </c>
      <c r="E72" s="54"/>
      <c r="F72" s="54"/>
      <c r="G72" s="54"/>
      <c r="H72" s="54"/>
      <c r="I72" s="52">
        <f t="shared" si="2"/>
        <v>6.8</v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3">
      <c r="A73" s="53">
        <v>75</v>
      </c>
      <c r="B73" s="53">
        <v>252</v>
      </c>
      <c r="C73" s="53">
        <v>12</v>
      </c>
      <c r="D73" s="53">
        <v>21</v>
      </c>
      <c r="E73" s="54"/>
      <c r="F73" s="54"/>
      <c r="G73" s="54"/>
      <c r="H73" s="54"/>
      <c r="I73" s="52">
        <f t="shared" si="2"/>
        <v>6.2</v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3">
      <c r="A74" s="53">
        <v>80</v>
      </c>
      <c r="B74" s="53">
        <v>261</v>
      </c>
      <c r="C74" s="53">
        <v>13</v>
      </c>
      <c r="D74" s="53">
        <v>21</v>
      </c>
      <c r="E74" s="54"/>
      <c r="F74" s="54"/>
      <c r="G74" s="54"/>
      <c r="H74" s="54"/>
      <c r="I74" s="52">
        <f t="shared" si="2"/>
        <v>6</v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3">
      <c r="A75" s="53">
        <v>85</v>
      </c>
      <c r="B75" s="53">
        <v>269</v>
      </c>
      <c r="C75" s="53">
        <v>14</v>
      </c>
      <c r="D75" s="53">
        <v>21</v>
      </c>
      <c r="E75" s="54"/>
      <c r="F75" s="54"/>
      <c r="G75" s="54"/>
      <c r="H75" s="54"/>
      <c r="I75" s="52">
        <f t="shared" si="2"/>
        <v>5.8</v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3">
      <c r="A76" s="53">
        <v>90</v>
      </c>
      <c r="B76" s="53">
        <v>275</v>
      </c>
      <c r="C76" s="53">
        <v>15</v>
      </c>
      <c r="D76" s="53">
        <v>21</v>
      </c>
      <c r="E76" s="54"/>
      <c r="F76" s="54"/>
      <c r="G76" s="54"/>
      <c r="H76" s="54"/>
      <c r="I76" s="52">
        <f t="shared" si="2"/>
        <v>5.4</v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3">
      <c r="A77" s="53">
        <v>95</v>
      </c>
      <c r="B77" s="53">
        <v>279</v>
      </c>
      <c r="C77" s="53">
        <v>16</v>
      </c>
      <c r="D77" s="53">
        <v>21</v>
      </c>
      <c r="E77" s="54"/>
      <c r="F77" s="54"/>
      <c r="G77" s="54"/>
      <c r="H77" s="54"/>
      <c r="I77" s="52">
        <f t="shared" si="2"/>
        <v>5</v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3">
      <c r="A78" s="53">
        <v>100</v>
      </c>
      <c r="B78" s="53">
        <v>282</v>
      </c>
      <c r="C78" s="53">
        <v>17</v>
      </c>
      <c r="D78" s="53">
        <v>21</v>
      </c>
      <c r="E78" s="54"/>
      <c r="F78" s="54"/>
      <c r="G78" s="54"/>
      <c r="H78" s="54"/>
      <c r="I78" s="52">
        <f t="shared" si="2"/>
        <v>4.8</v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3">
      <c r="A79" s="53">
        <v>105</v>
      </c>
      <c r="B79" s="53">
        <v>284</v>
      </c>
      <c r="C79" s="53">
        <v>18</v>
      </c>
      <c r="D79" s="53">
        <v>20</v>
      </c>
      <c r="E79" s="54"/>
      <c r="F79" s="54"/>
      <c r="G79" s="54"/>
      <c r="H79" s="54"/>
      <c r="I79" s="52">
        <f t="shared" si="2"/>
        <v>4.5999999999999996</v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3">
      <c r="A80" s="53">
        <v>110</v>
      </c>
      <c r="B80" s="53">
        <v>285</v>
      </c>
      <c r="C80" s="53">
        <v>19</v>
      </c>
      <c r="D80" s="53">
        <v>19</v>
      </c>
      <c r="E80" s="54"/>
      <c r="F80" s="54"/>
      <c r="G80" s="54"/>
      <c r="H80" s="54"/>
      <c r="I80" s="52">
        <f t="shared" si="2"/>
        <v>4.2</v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3">
      <c r="A81" s="53">
        <v>115</v>
      </c>
      <c r="B81" s="53">
        <v>285</v>
      </c>
      <c r="C81" s="53"/>
      <c r="D81" s="53">
        <v>285</v>
      </c>
      <c r="E81" s="54"/>
      <c r="F81" s="54"/>
      <c r="G81" s="54"/>
      <c r="H81" s="54"/>
      <c r="I81" s="52">
        <f t="shared" si="2"/>
        <v>3.8</v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3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3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3">
      <c r="A84" s="49" t="s">
        <v>167</v>
      </c>
      <c r="B84" s="55" t="str">
        <f>IF(B11="","",B11)</f>
        <v>Cèdre de l'Atlas</v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3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3">
      <c r="A86" s="5"/>
      <c r="B86" s="91" t="s">
        <v>185</v>
      </c>
      <c r="C86" s="293" t="s">
        <v>186</v>
      </c>
      <c r="D86" s="293"/>
      <c r="E86" s="294" t="s">
        <v>187</v>
      </c>
      <c r="F86" s="295"/>
      <c r="G86" s="295"/>
      <c r="H86" s="296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3.2" x14ac:dyDescent="0.3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3">
      <c r="A88" s="53">
        <v>20</v>
      </c>
      <c r="B88" s="63">
        <v>158</v>
      </c>
      <c r="C88" s="63">
        <v>1</v>
      </c>
      <c r="D88" s="63">
        <v>35</v>
      </c>
      <c r="E88" s="54">
        <v>0.2</v>
      </c>
      <c r="F88" s="54"/>
      <c r="G88" s="54">
        <v>0.8</v>
      </c>
      <c r="H88" s="93"/>
      <c r="I88" s="56">
        <f>IFERROR(B88/A88,"")</f>
        <v>7.9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3">
      <c r="A89" s="53">
        <v>25</v>
      </c>
      <c r="B89" s="63">
        <v>169</v>
      </c>
      <c r="C89" s="63">
        <v>2</v>
      </c>
      <c r="D89" s="63">
        <v>35</v>
      </c>
      <c r="E89" s="54">
        <v>0.45</v>
      </c>
      <c r="F89" s="54"/>
      <c r="G89" s="54">
        <v>0.55000000000000004</v>
      </c>
      <c r="H89" s="93"/>
      <c r="I89" s="56">
        <f t="shared" ref="I89:I107" si="3">IF(A89&lt;&gt;0,(B89-(B88-D88))/(A89-A88),"")</f>
        <v>9.1999999999999993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3">
      <c r="A90" s="53">
        <v>30</v>
      </c>
      <c r="B90" s="63">
        <v>180</v>
      </c>
      <c r="C90" s="63">
        <v>3</v>
      </c>
      <c r="D90" s="63">
        <v>50</v>
      </c>
      <c r="E90" s="93">
        <v>0.5</v>
      </c>
      <c r="F90" s="93"/>
      <c r="G90" s="93">
        <v>0.5</v>
      </c>
      <c r="H90" s="93"/>
      <c r="I90" s="56">
        <f t="shared" si="3"/>
        <v>9.1999999999999993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3">
      <c r="A91" s="53">
        <v>37</v>
      </c>
      <c r="B91" s="63">
        <v>200</v>
      </c>
      <c r="C91" s="63">
        <v>4</v>
      </c>
      <c r="D91" s="63">
        <v>50</v>
      </c>
      <c r="E91" s="93"/>
      <c r="F91" s="93"/>
      <c r="G91" s="93"/>
      <c r="H91" s="93"/>
      <c r="I91" s="56">
        <f t="shared" si="3"/>
        <v>10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3">
      <c r="A92" s="53">
        <v>44</v>
      </c>
      <c r="B92" s="63">
        <v>226</v>
      </c>
      <c r="C92" s="63">
        <v>5</v>
      </c>
      <c r="D92" s="63">
        <v>60</v>
      </c>
      <c r="E92" s="93"/>
      <c r="F92" s="93"/>
      <c r="G92" s="93"/>
      <c r="H92" s="93"/>
      <c r="I92" s="56">
        <f t="shared" si="3"/>
        <v>10.857142857142858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3">
      <c r="A93" s="53">
        <v>51</v>
      </c>
      <c r="B93" s="63">
        <v>249</v>
      </c>
      <c r="C93" s="63">
        <v>6</v>
      </c>
      <c r="D93" s="63">
        <v>70</v>
      </c>
      <c r="E93" s="93"/>
      <c r="F93" s="93"/>
      <c r="G93" s="93"/>
      <c r="H93" s="93"/>
      <c r="I93" s="56">
        <f t="shared" si="3"/>
        <v>11.857142857142858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3">
      <c r="A94" s="53">
        <v>60</v>
      </c>
      <c r="B94" s="63">
        <v>300</v>
      </c>
      <c r="C94" s="63"/>
      <c r="D94" s="63">
        <v>300</v>
      </c>
      <c r="E94" s="93"/>
      <c r="F94" s="93"/>
      <c r="G94" s="93"/>
      <c r="H94" s="93"/>
      <c r="I94" s="56">
        <f t="shared" si="3"/>
        <v>13.444444444444445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3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3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3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3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3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3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3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3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3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3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3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3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3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3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3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3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3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3">
      <c r="A112" s="5"/>
      <c r="B112" s="91" t="s">
        <v>185</v>
      </c>
      <c r="C112" s="293" t="s">
        <v>186</v>
      </c>
      <c r="D112" s="293"/>
      <c r="E112" s="294" t="s">
        <v>187</v>
      </c>
      <c r="F112" s="295"/>
      <c r="G112" s="295"/>
      <c r="H112" s="296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3.2" x14ac:dyDescent="0.3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3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3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3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3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3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3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3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3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3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3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3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3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3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3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3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3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3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3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3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3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3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3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3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3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3">
      <c r="A138" s="5"/>
      <c r="B138" s="91" t="s">
        <v>185</v>
      </c>
      <c r="C138" s="293" t="s">
        <v>186</v>
      </c>
      <c r="D138" s="293"/>
      <c r="E138" s="294" t="s">
        <v>187</v>
      </c>
      <c r="F138" s="295"/>
      <c r="G138" s="295"/>
      <c r="H138" s="296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3.2" x14ac:dyDescent="0.3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3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3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3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3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3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3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3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3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3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3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3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3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3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3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3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3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3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3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3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3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3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3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3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3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3">
      <c r="A164" s="5"/>
      <c r="B164" s="91" t="s">
        <v>185</v>
      </c>
      <c r="C164" s="293" t="s">
        <v>186</v>
      </c>
      <c r="D164" s="293"/>
      <c r="E164" s="294" t="s">
        <v>187</v>
      </c>
      <c r="F164" s="295"/>
      <c r="G164" s="295"/>
      <c r="H164" s="296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3.2" x14ac:dyDescent="0.3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3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3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3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3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3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3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3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3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3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3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3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3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3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3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3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3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3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3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3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3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3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3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3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3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3">
      <c r="A190" s="5"/>
      <c r="B190" s="91" t="s">
        <v>185</v>
      </c>
      <c r="C190" s="293" t="s">
        <v>186</v>
      </c>
      <c r="D190" s="293"/>
      <c r="E190" s="294" t="s">
        <v>187</v>
      </c>
      <c r="F190" s="295"/>
      <c r="G190" s="295"/>
      <c r="H190" s="296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3.2" x14ac:dyDescent="0.3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3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3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3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3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3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3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3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3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3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3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3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3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3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3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3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3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3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3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3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3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3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3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3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3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3">
      <c r="A216" s="5"/>
      <c r="B216" s="91" t="s">
        <v>185</v>
      </c>
      <c r="C216" s="293" t="s">
        <v>186</v>
      </c>
      <c r="D216" s="293"/>
      <c r="E216" s="294" t="s">
        <v>187</v>
      </c>
      <c r="F216" s="295"/>
      <c r="G216" s="295"/>
      <c r="H216" s="296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3.2" x14ac:dyDescent="0.3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3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3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3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3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3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3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3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3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3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3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3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3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3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3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3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3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3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3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3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3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3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3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3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3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3">
      <c r="A242" s="5"/>
      <c r="B242" s="91" t="s">
        <v>185</v>
      </c>
      <c r="C242" s="293" t="s">
        <v>186</v>
      </c>
      <c r="D242" s="293"/>
      <c r="E242" s="294" t="s">
        <v>187</v>
      </c>
      <c r="F242" s="295"/>
      <c r="G242" s="295"/>
      <c r="H242" s="296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3.2" x14ac:dyDescent="0.3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3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3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3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3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3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3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3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3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3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3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3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3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3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3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3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3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3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3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3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3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3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3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3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3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3">
      <c r="A268" s="5"/>
      <c r="B268" s="91" t="s">
        <v>185</v>
      </c>
      <c r="C268" s="293" t="s">
        <v>186</v>
      </c>
      <c r="D268" s="293"/>
      <c r="E268" s="294" t="s">
        <v>187</v>
      </c>
      <c r="F268" s="295"/>
      <c r="G268" s="295"/>
      <c r="H268" s="296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3.2" x14ac:dyDescent="0.3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3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3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3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3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3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3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3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3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3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3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3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3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3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3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3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3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3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3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3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3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3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3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3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3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3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3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3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3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3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3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3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3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3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3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3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3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3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3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3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3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3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3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3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3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3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3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3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3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3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3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3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3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3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3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3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3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3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3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3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3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3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3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3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3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3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3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3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3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3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3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3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3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3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3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3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3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3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3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3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3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3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3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3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3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3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3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3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3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3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3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3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3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3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3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3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3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3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3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3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3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3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3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3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3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3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3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3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3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3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3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3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3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3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3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3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3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3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3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3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3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3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3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3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3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3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3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3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3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3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3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3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3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3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3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3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3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3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3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3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3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3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3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3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3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3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3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3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3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3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3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3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3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3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3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3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3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3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3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>
      <formula1>VAN</formula1>
    </dataValidation>
    <dataValidation type="list" allowBlank="1" showInputMessage="1" showErrorMessage="1" sqref="C26">
      <formula1>Incendie</formula1>
    </dataValidation>
    <dataValidation type="list" allowBlank="1" showInputMessage="1" showErrorMessage="1" sqref="C27">
      <formula1>Fertilité</formula1>
    </dataValidation>
  </dataValidations>
  <hyperlinks>
    <hyperlink ref="A9" location="'Données projet'!A44" tooltip="Table de production à compléter ci-dessous" display="Essence 1"/>
    <hyperlink ref="A10" location="'Données projet'!A70" tooltip="Table de production à compléter ci-dessous" display="Essence 2"/>
    <hyperlink ref="A11" location="'Données projet'!A96" tooltip="Table de production à compléter ci-dessous" display="Essence 3"/>
    <hyperlink ref="A12" location="'Données projet'!A122" tooltip="Table de production à compléter ci-dessous" display="Essence 4"/>
    <hyperlink ref="A13" location="'Données projet'!A148" tooltip="Table de production à compléter ci-dessous" display="Essence 5"/>
    <hyperlink ref="A14" location="'Données projet'!A174" tooltip="Table de production à compléter ci-dessous" display="Essence 6"/>
    <hyperlink ref="A15" location="'Données projet'!A202" tooltip="Table de production à compléter ci-dessous" display="Essence 7"/>
    <hyperlink ref="A16" location="'Données projet'!A228" tooltip="Table de production à compléter ci-dessous" display="Essence 8"/>
    <hyperlink ref="A17" location="'Données projet'!A254" tooltip="Table de production à compléter ci-dessous" display="Essence 9"/>
    <hyperlink ref="A18" location="'Données projet'!A280" tooltip="Table de production à compléter ci-dessous" display="Essence 10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Paramètres!$A$2:$A$87</xm:f>
          </x14:formula1>
          <xm:sqref>B10:B18</xm:sqref>
        </x14:dataValidation>
        <x14:dataValidation type="list" allowBlank="1" showInputMessage="1" showErrorMessage="1">
          <x14:formula1>
            <xm:f>Paramètres!$A$2:$A$87</xm:f>
          </x14:formula1>
          <xm:sqref>B9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1:AL163"/>
  <sheetViews>
    <sheetView zoomScale="115" zoomScaleNormal="115" workbookViewId="0">
      <selection activeCell="G15" sqref="G15"/>
    </sheetView>
  </sheetViews>
  <sheetFormatPr baseColWidth="10" defaultColWidth="11.44140625" defaultRowHeight="14.4" x14ac:dyDescent="0.3"/>
  <cols>
    <col min="1" max="1" width="5.77734375" style="1" customWidth="1"/>
    <col min="2" max="2" width="14.21875" style="1" customWidth="1"/>
    <col min="3" max="3" width="62.21875" style="1" customWidth="1"/>
    <col min="4" max="5" width="4.21875" style="1" customWidth="1"/>
    <col min="6" max="6" width="14.21875" style="1" customWidth="1"/>
    <col min="7" max="7" width="73.2187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6.4" thickBot="1" x14ac:dyDescent="0.55000000000000004">
      <c r="A2" s="5"/>
      <c r="B2" s="307" t="s">
        <v>191</v>
      </c>
      <c r="C2" s="308"/>
      <c r="D2" s="308"/>
      <c r="E2" s="308"/>
      <c r="F2" s="308"/>
      <c r="G2" s="309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3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3">
      <c r="A4" s="5"/>
      <c r="B4" s="306"/>
      <c r="C4" s="306"/>
      <c r="D4" s="306"/>
      <c r="E4" s="306"/>
      <c r="F4" s="306"/>
      <c r="G4" s="306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3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3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3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3">
      <c r="A8" s="114">
        <v>1</v>
      </c>
      <c r="B8" s="64">
        <v>0.68600000000000005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3">
      <c r="A9" s="114">
        <v>2</v>
      </c>
      <c r="B9" s="64">
        <v>0.314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3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3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3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3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3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3">
      <c r="A15" s="25"/>
      <c r="B15" s="29" t="s">
        <v>295</v>
      </c>
      <c r="C15" s="5"/>
      <c r="D15" s="25"/>
      <c r="E15" s="5"/>
      <c r="F15" s="5"/>
      <c r="G15" s="2" t="s">
        <v>149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3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3">
      <c r="A17" s="25"/>
      <c r="B17" s="64">
        <v>0.68600000000000005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3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3">
      <c r="A19" s="25"/>
      <c r="B19" s="115">
        <f>SUM(B16:B18)</f>
        <v>0.68600000000000005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3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3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3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3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3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3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3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3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3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3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3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3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3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3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3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3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3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3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3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3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3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3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3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3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3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3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3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3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3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3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3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3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3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3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3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3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3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3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3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3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3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3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3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3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3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3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3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3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3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3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3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3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3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3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3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3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3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3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3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3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3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3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3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3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3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3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3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3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3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3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3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3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3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3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3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3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3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3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3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3">
      <c r="C104" s="5"/>
      <c r="F104" s="5"/>
    </row>
    <row r="105" spans="3:35" x14ac:dyDescent="0.3">
      <c r="C105" s="5"/>
      <c r="F105" s="5"/>
    </row>
    <row r="106" spans="3:35" x14ac:dyDescent="0.3">
      <c r="C106" s="5"/>
      <c r="F106" s="5"/>
    </row>
    <row r="107" spans="3:35" x14ac:dyDescent="0.3">
      <c r="C107" s="5"/>
      <c r="F107" s="5"/>
    </row>
    <row r="108" spans="3:35" x14ac:dyDescent="0.3">
      <c r="C108" s="5"/>
      <c r="F108" s="5"/>
    </row>
    <row r="109" spans="3:35" x14ac:dyDescent="0.3">
      <c r="C109" s="5"/>
      <c r="F109" s="5"/>
    </row>
    <row r="110" spans="3:35" x14ac:dyDescent="0.3">
      <c r="C110" s="5"/>
      <c r="F110" s="5"/>
    </row>
    <row r="111" spans="3:35" x14ac:dyDescent="0.3">
      <c r="C111" s="5"/>
      <c r="F111" s="5"/>
    </row>
    <row r="112" spans="3:35" x14ac:dyDescent="0.3">
      <c r="C112" s="5"/>
      <c r="F112" s="5"/>
    </row>
    <row r="113" spans="3:6" x14ac:dyDescent="0.3">
      <c r="C113" s="5"/>
      <c r="F113" s="5"/>
    </row>
    <row r="114" spans="3:6" x14ac:dyDescent="0.3">
      <c r="C114" s="5"/>
      <c r="F114" s="5"/>
    </row>
    <row r="115" spans="3:6" x14ac:dyDescent="0.3">
      <c r="C115" s="5"/>
      <c r="F115" s="5"/>
    </row>
    <row r="116" spans="3:6" x14ac:dyDescent="0.3">
      <c r="C116" s="5"/>
      <c r="F116" s="5"/>
    </row>
    <row r="117" spans="3:6" x14ac:dyDescent="0.3">
      <c r="C117" s="5"/>
      <c r="F117" s="5"/>
    </row>
    <row r="118" spans="3:6" x14ac:dyDescent="0.3">
      <c r="C118" s="5"/>
      <c r="F118" s="5"/>
    </row>
    <row r="119" spans="3:6" x14ac:dyDescent="0.3">
      <c r="C119" s="5"/>
      <c r="F119" s="5"/>
    </row>
    <row r="120" spans="3:6" x14ac:dyDescent="0.3">
      <c r="C120" s="5"/>
      <c r="F120" s="5"/>
    </row>
    <row r="121" spans="3:6" x14ac:dyDescent="0.3">
      <c r="C121" s="5"/>
      <c r="F121" s="5"/>
    </row>
    <row r="122" spans="3:6" x14ac:dyDescent="0.3">
      <c r="C122" s="5"/>
      <c r="F122" s="5"/>
    </row>
    <row r="123" spans="3:6" x14ac:dyDescent="0.3">
      <c r="C123" s="5"/>
      <c r="F123" s="5"/>
    </row>
    <row r="124" spans="3:6" x14ac:dyDescent="0.3">
      <c r="C124" s="5"/>
      <c r="F124" s="5"/>
    </row>
    <row r="125" spans="3:6" x14ac:dyDescent="0.3">
      <c r="C125" s="5"/>
      <c r="F125" s="5"/>
    </row>
    <row r="126" spans="3:6" x14ac:dyDescent="0.3">
      <c r="C126" s="5"/>
      <c r="F126" s="5"/>
    </row>
    <row r="127" spans="3:6" x14ac:dyDescent="0.3">
      <c r="C127" s="5"/>
      <c r="F127" s="5"/>
    </row>
    <row r="128" spans="3:6" x14ac:dyDescent="0.3">
      <c r="C128" s="5"/>
      <c r="F128" s="5"/>
    </row>
    <row r="129" spans="3:6" x14ac:dyDescent="0.3">
      <c r="C129" s="5"/>
      <c r="F129" s="5"/>
    </row>
    <row r="130" spans="3:6" x14ac:dyDescent="0.3">
      <c r="C130" s="5"/>
      <c r="F130" s="5"/>
    </row>
    <row r="131" spans="3:6" x14ac:dyDescent="0.3">
      <c r="C131" s="5"/>
      <c r="F131" s="5"/>
    </row>
    <row r="132" spans="3:6" x14ac:dyDescent="0.3">
      <c r="F132" s="5"/>
    </row>
    <row r="133" spans="3:6" x14ac:dyDescent="0.3">
      <c r="F133" s="5"/>
    </row>
    <row r="134" spans="3:6" x14ac:dyDescent="0.3">
      <c r="F134" s="5"/>
    </row>
    <row r="135" spans="3:6" x14ac:dyDescent="0.3">
      <c r="F135" s="5"/>
    </row>
    <row r="136" spans="3:6" x14ac:dyDescent="0.3">
      <c r="F136" s="5"/>
    </row>
    <row r="137" spans="3:6" x14ac:dyDescent="0.3">
      <c r="F137" s="5"/>
    </row>
    <row r="138" spans="3:6" x14ac:dyDescent="0.3">
      <c r="F138" s="5"/>
    </row>
    <row r="139" spans="3:6" x14ac:dyDescent="0.3">
      <c r="F139" s="5"/>
    </row>
    <row r="140" spans="3:6" x14ac:dyDescent="0.3">
      <c r="F140" s="5"/>
    </row>
    <row r="141" spans="3:6" x14ac:dyDescent="0.3">
      <c r="F141" s="5"/>
    </row>
    <row r="142" spans="3:6" x14ac:dyDescent="0.3">
      <c r="F142" s="5"/>
    </row>
    <row r="143" spans="3:6" x14ac:dyDescent="0.3">
      <c r="F143" s="5"/>
    </row>
    <row r="144" spans="3:6" x14ac:dyDescent="0.3">
      <c r="F144" s="5"/>
    </row>
    <row r="145" spans="6:6" x14ac:dyDescent="0.3">
      <c r="F145" s="5"/>
    </row>
    <row r="146" spans="6:6" x14ac:dyDescent="0.3">
      <c r="F146" s="5"/>
    </row>
    <row r="147" spans="6:6" x14ac:dyDescent="0.3">
      <c r="F147" s="5"/>
    </row>
    <row r="148" spans="6:6" x14ac:dyDescent="0.3">
      <c r="F148" s="5"/>
    </row>
    <row r="149" spans="6:6" x14ac:dyDescent="0.3">
      <c r="F149" s="5"/>
    </row>
    <row r="150" spans="6:6" x14ac:dyDescent="0.3">
      <c r="F150" s="5"/>
    </row>
    <row r="151" spans="6:6" x14ac:dyDescent="0.3">
      <c r="F151" s="5"/>
    </row>
    <row r="152" spans="6:6" x14ac:dyDescent="0.3">
      <c r="F152" s="5"/>
    </row>
    <row r="153" spans="6:6" x14ac:dyDescent="0.3">
      <c r="F153" s="5"/>
    </row>
    <row r="154" spans="6:6" x14ac:dyDescent="0.3">
      <c r="F154" s="5"/>
    </row>
    <row r="155" spans="6:6" x14ac:dyDescent="0.3">
      <c r="F155" s="5"/>
    </row>
    <row r="156" spans="6:6" x14ac:dyDescent="0.3">
      <c r="F156" s="5"/>
    </row>
    <row r="157" spans="6:6" x14ac:dyDescent="0.3">
      <c r="F157" s="5"/>
    </row>
    <row r="158" spans="6:6" x14ac:dyDescent="0.3">
      <c r="F158" s="5"/>
    </row>
    <row r="159" spans="6:6" x14ac:dyDescent="0.3">
      <c r="F159" s="5"/>
    </row>
    <row r="160" spans="6:6" x14ac:dyDescent="0.3">
      <c r="F160" s="5"/>
    </row>
    <row r="161" spans="6:6" x14ac:dyDescent="0.3">
      <c r="F161" s="5"/>
    </row>
    <row r="162" spans="6:6" x14ac:dyDescent="0.3">
      <c r="F162" s="5"/>
    </row>
    <row r="163" spans="6:6" x14ac:dyDescent="0.3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77734375" style="71" bestFit="1" customWidth="1"/>
    <col min="2" max="4" width="11.44140625" style="71"/>
    <col min="5" max="5" width="9.5546875" style="71" customWidth="1"/>
    <col min="6" max="7" width="11.44140625" style="71"/>
    <col min="8" max="8" width="10.77734375" style="71" customWidth="1"/>
    <col min="9" max="9" width="9.44140625" style="71" customWidth="1"/>
    <col min="10" max="11" width="10.5546875" style="71" bestFit="1" customWidth="1"/>
    <col min="12" max="12" width="14" style="71" bestFit="1" customWidth="1"/>
    <col min="13" max="13" width="14" style="71" customWidth="1"/>
    <col min="14" max="23" width="11.44140625" style="71"/>
    <col min="24" max="24" width="11.77734375" style="71" bestFit="1" customWidth="1"/>
    <col min="25" max="25" width="14.5546875" style="71" bestFit="1" customWidth="1"/>
    <col min="26" max="26" width="12.44140625" style="71" bestFit="1" customWidth="1"/>
    <col min="27" max="27" width="9.77734375" style="71" bestFit="1" customWidth="1"/>
    <col min="28" max="28" width="11" style="71" bestFit="1" customWidth="1"/>
    <col min="29" max="29" width="9.44140625" style="71" bestFit="1" customWidth="1"/>
    <col min="30" max="31" width="9.44140625" style="71" customWidth="1"/>
    <col min="32" max="32" width="11.44140625" style="71"/>
    <col min="33" max="34" width="14" style="71" bestFit="1" customWidth="1"/>
    <col min="35" max="35" width="10.5546875" style="71" bestFit="1" customWidth="1"/>
    <col min="36" max="36" width="9.44140625" style="71" bestFit="1" customWidth="1"/>
    <col min="37" max="38" width="10.5546875" style="71" bestFit="1" customWidth="1"/>
    <col min="39" max="41" width="10.5546875" style="71" customWidth="1"/>
    <col min="42" max="42" width="9" style="71" bestFit="1" customWidth="1"/>
    <col min="43" max="43" width="10.5546875" style="71" bestFit="1" customWidth="1"/>
    <col min="44" max="44" width="9.21875" style="71" bestFit="1" customWidth="1"/>
    <col min="45" max="45" width="11.77734375" style="71" bestFit="1" customWidth="1"/>
    <col min="46" max="46" width="8.44140625" style="71" bestFit="1" customWidth="1"/>
    <col min="47" max="47" width="9.44140625" style="71" bestFit="1" customWidth="1"/>
    <col min="48" max="48" width="9.77734375" style="71" bestFit="1" customWidth="1"/>
    <col min="49" max="49" width="11" style="71" bestFit="1" customWidth="1"/>
    <col min="50" max="50" width="9.44140625" style="71" bestFit="1" customWidth="1"/>
    <col min="51" max="52" width="9.44140625" style="71" customWidth="1"/>
    <col min="53" max="53" width="10.5546875" style="71" bestFit="1" customWidth="1"/>
    <col min="54" max="54" width="14.21875" style="71" customWidth="1"/>
    <col min="55" max="55" width="14" style="71" customWidth="1"/>
    <col min="56" max="56" width="10.5546875" style="71" bestFit="1" customWidth="1"/>
    <col min="57" max="57" width="9.44140625" style="71" bestFit="1" customWidth="1"/>
    <col min="58" max="59" width="10.5546875" style="71" bestFit="1" customWidth="1"/>
    <col min="60" max="62" width="10.5546875" style="71" customWidth="1"/>
    <col min="63" max="63" width="9" style="71" bestFit="1" customWidth="1"/>
    <col min="64" max="64" width="10.5546875" style="71" bestFit="1" customWidth="1"/>
    <col min="65" max="65" width="9.21875" style="71" bestFit="1" customWidth="1"/>
    <col min="66" max="66" width="11.77734375" style="71" bestFit="1" customWidth="1"/>
    <col min="67" max="67" width="8.44140625" style="71" bestFit="1" customWidth="1"/>
    <col min="68" max="68" width="9.44140625" style="71" bestFit="1" customWidth="1"/>
    <col min="69" max="69" width="9.77734375" style="71" bestFit="1" customWidth="1"/>
    <col min="70" max="70" width="11" style="71" bestFit="1" customWidth="1"/>
    <col min="71" max="71" width="9.44140625" style="71" bestFit="1" customWidth="1"/>
    <col min="72" max="73" width="9.44140625" style="71" customWidth="1"/>
    <col min="74" max="74" width="10.5546875" style="71" bestFit="1" customWidth="1"/>
    <col min="75" max="75" width="14" style="71" bestFit="1" customWidth="1"/>
    <col min="76" max="76" width="13.77734375" style="71" customWidth="1"/>
    <col min="77" max="77" width="10.5546875" style="71" bestFit="1" customWidth="1"/>
    <col min="78" max="78" width="9.44140625" style="71" bestFit="1" customWidth="1"/>
    <col min="79" max="80" width="10.5546875" style="71" bestFit="1" customWidth="1"/>
    <col min="81" max="83" width="10.5546875" style="71" customWidth="1"/>
    <col min="84" max="84" width="11.44140625" style="71"/>
    <col min="85" max="85" width="10.5546875" style="71" bestFit="1" customWidth="1"/>
    <col min="86" max="86" width="9.21875" style="71" bestFit="1" customWidth="1"/>
    <col min="87" max="87" width="11.77734375" style="71" bestFit="1" customWidth="1"/>
    <col min="88" max="88" width="8.44140625" style="71" bestFit="1" customWidth="1"/>
    <col min="89" max="89" width="9.44140625" style="71" bestFit="1" customWidth="1"/>
    <col min="90" max="90" width="9.77734375" style="71" bestFit="1" customWidth="1"/>
    <col min="91" max="91" width="11" style="71" bestFit="1" customWidth="1"/>
    <col min="92" max="92" width="9.44140625" style="71" bestFit="1" customWidth="1"/>
    <col min="93" max="94" width="9.44140625" style="71" customWidth="1"/>
    <col min="95" max="95" width="11.44140625" style="71"/>
    <col min="96" max="97" width="14" style="71" customWidth="1"/>
    <col min="98" max="98" width="10.5546875" style="71" bestFit="1" customWidth="1"/>
    <col min="99" max="99" width="9.44140625" style="71" bestFit="1" customWidth="1"/>
    <col min="100" max="101" width="10.5546875" style="71" bestFit="1" customWidth="1"/>
    <col min="102" max="104" width="10.5546875" style="71" customWidth="1"/>
    <col min="105" max="105" width="9" style="71" bestFit="1" customWidth="1"/>
    <col min="106" max="106" width="10.5546875" style="71" bestFit="1" customWidth="1"/>
    <col min="107" max="107" width="9.21875" style="71" bestFit="1" customWidth="1"/>
    <col min="108" max="108" width="11.77734375" style="71" bestFit="1" customWidth="1"/>
    <col min="109" max="109" width="8.44140625" style="71" bestFit="1" customWidth="1"/>
    <col min="110" max="110" width="9.44140625" style="71" bestFit="1" customWidth="1"/>
    <col min="111" max="111" width="9.77734375" style="71" bestFit="1" customWidth="1"/>
    <col min="112" max="112" width="11" style="71" bestFit="1" customWidth="1"/>
    <col min="113" max="113" width="9.44140625" style="71" bestFit="1" customWidth="1"/>
    <col min="114" max="115" width="9.44140625" style="71" customWidth="1"/>
    <col min="116" max="116" width="10.5546875" style="71" bestFit="1" customWidth="1"/>
    <col min="117" max="117" width="14.21875" style="71" customWidth="1"/>
    <col min="118" max="118" width="14" style="71" bestFit="1" customWidth="1"/>
    <col min="119" max="119" width="10.5546875" style="71" bestFit="1" customWidth="1"/>
    <col min="120" max="120" width="9.44140625" style="71" bestFit="1" customWidth="1"/>
    <col min="121" max="122" width="10.5546875" style="71" bestFit="1" customWidth="1"/>
    <col min="123" max="125" width="10.5546875" style="71" customWidth="1"/>
    <col min="126" max="126" width="9" style="71" bestFit="1" customWidth="1"/>
    <col min="127" max="127" width="10.5546875" style="71" bestFit="1" customWidth="1"/>
    <col min="128" max="128" width="9.21875" style="71" bestFit="1" customWidth="1"/>
    <col min="129" max="129" width="11.77734375" style="71" bestFit="1" customWidth="1"/>
    <col min="130" max="130" width="8.44140625" style="71" bestFit="1" customWidth="1"/>
    <col min="131" max="131" width="9.44140625" style="71" bestFit="1" customWidth="1"/>
    <col min="132" max="132" width="9.77734375" style="71" bestFit="1" customWidth="1"/>
    <col min="133" max="133" width="11" style="71" bestFit="1" customWidth="1"/>
    <col min="134" max="134" width="9.44140625" style="71" bestFit="1" customWidth="1"/>
    <col min="135" max="136" width="9.44140625" style="71" customWidth="1"/>
    <col min="137" max="137" width="10.5546875" style="71" bestFit="1" customWidth="1"/>
    <col min="138" max="139" width="14" style="71" customWidth="1"/>
    <col min="140" max="140" width="10.5546875" style="71" bestFit="1" customWidth="1"/>
    <col min="141" max="141" width="9.44140625" style="71" bestFit="1" customWidth="1"/>
    <col min="142" max="143" width="10.5546875" style="71" bestFit="1" customWidth="1"/>
    <col min="144" max="146" width="10.5546875" style="71" customWidth="1"/>
    <col min="147" max="147" width="9" style="71" bestFit="1" customWidth="1"/>
    <col min="148" max="148" width="10.5546875" style="71" bestFit="1" customWidth="1"/>
    <col min="149" max="149" width="9.21875" style="71" bestFit="1" customWidth="1"/>
    <col min="150" max="150" width="11.77734375" style="71" bestFit="1" customWidth="1"/>
    <col min="151" max="151" width="8.44140625" style="71" bestFit="1" customWidth="1"/>
    <col min="152" max="152" width="9.44140625" style="71" bestFit="1" customWidth="1"/>
    <col min="153" max="153" width="9.77734375" style="71" bestFit="1" customWidth="1"/>
    <col min="154" max="154" width="11" style="71" bestFit="1" customWidth="1"/>
    <col min="155" max="155" width="9.44140625" style="71" bestFit="1" customWidth="1"/>
    <col min="156" max="157" width="9.44140625" style="71" customWidth="1"/>
    <col min="158" max="158" width="11.44140625" style="71"/>
    <col min="159" max="160" width="14" style="71" bestFit="1" customWidth="1"/>
    <col min="161" max="161" width="10.5546875" style="71" bestFit="1" customWidth="1"/>
    <col min="162" max="162" width="9.44140625" style="71" bestFit="1" customWidth="1"/>
    <col min="163" max="164" width="10.5546875" style="71" bestFit="1" customWidth="1"/>
    <col min="165" max="167" width="10.5546875" style="71" customWidth="1"/>
    <col min="168" max="168" width="9" style="71" bestFit="1" customWidth="1"/>
    <col min="169" max="169" width="10.5546875" style="71" bestFit="1" customWidth="1"/>
    <col min="170" max="170" width="9.21875" style="71" bestFit="1" customWidth="1"/>
    <col min="171" max="171" width="11.77734375" style="71" bestFit="1" customWidth="1"/>
    <col min="172" max="172" width="8.21875" style="71" bestFit="1" customWidth="1"/>
    <col min="173" max="173" width="9.44140625" style="71" bestFit="1" customWidth="1"/>
    <col min="174" max="174" width="9.77734375" style="71" bestFit="1" customWidth="1"/>
    <col min="175" max="175" width="11" style="71" bestFit="1" customWidth="1"/>
    <col min="176" max="176" width="9.44140625" style="71" bestFit="1" customWidth="1"/>
    <col min="177" max="178" width="9.44140625" style="71" customWidth="1"/>
    <col min="179" max="179" width="10.5546875" style="71" bestFit="1" customWidth="1"/>
    <col min="180" max="181" width="14" style="71" bestFit="1" customWidth="1"/>
    <col min="182" max="182" width="10.5546875" style="71" bestFit="1" customWidth="1"/>
    <col min="183" max="183" width="9.44140625" style="71" bestFit="1" customWidth="1"/>
    <col min="184" max="185" width="10.5546875" style="71" bestFit="1" customWidth="1"/>
    <col min="186" max="188" width="10.5546875" style="71" customWidth="1"/>
    <col min="189" max="189" width="9" style="71" bestFit="1" customWidth="1"/>
    <col min="190" max="190" width="10.5546875" style="71" bestFit="1" customWidth="1"/>
    <col min="191" max="191" width="9.21875" style="71" bestFit="1" customWidth="1"/>
    <col min="192" max="192" width="11.44140625" style="71"/>
    <col min="193" max="193" width="8.44140625" style="71" bestFit="1" customWidth="1"/>
    <col min="194" max="194" width="9.44140625" style="71" bestFit="1" customWidth="1"/>
    <col min="195" max="195" width="9.77734375" style="71" bestFit="1" customWidth="1"/>
    <col min="196" max="196" width="11" style="71" bestFit="1" customWidth="1"/>
    <col min="197" max="197" width="9.44140625" style="71" bestFit="1" customWidth="1"/>
    <col min="198" max="199" width="9.44140625" style="71" customWidth="1"/>
    <col min="200" max="200" width="10.5546875" style="71" bestFit="1" customWidth="1"/>
    <col min="201" max="201" width="14" style="71" customWidth="1"/>
    <col min="202" max="202" width="14.21875" style="71" customWidth="1"/>
    <col min="203" max="203" width="10.5546875" style="71" bestFit="1" customWidth="1"/>
    <col min="204" max="204" width="9.44140625" style="71" bestFit="1" customWidth="1"/>
    <col min="205" max="206" width="10.5546875" style="71" bestFit="1" customWidth="1"/>
    <col min="207" max="209" width="10.5546875" style="71" customWidth="1"/>
    <col min="210" max="210" width="9" style="71" bestFit="1" customWidth="1"/>
    <col min="211" max="211" width="10.5546875" style="71" bestFit="1" customWidth="1"/>
    <col min="212" max="212" width="9.21875" style="71" bestFit="1" customWidth="1"/>
    <col min="213" max="213" width="11.77734375" style="71" bestFit="1" customWidth="1"/>
    <col min="214" max="214" width="8.44140625" style="71" bestFit="1" customWidth="1"/>
    <col min="215" max="215" width="9.44140625" style="71" bestFit="1" customWidth="1"/>
    <col min="216" max="216" width="9.77734375" style="71" bestFit="1" customWidth="1"/>
    <col min="217" max="217" width="11" style="71" bestFit="1" customWidth="1"/>
    <col min="218" max="218" width="9.44140625" style="71" bestFit="1" customWidth="1"/>
    <col min="219" max="16384" width="11.44140625" style="71"/>
  </cols>
  <sheetData>
    <row r="1" spans="1:218" s="5" customFormat="1" ht="26.4" thickBot="1" x14ac:dyDescent="0.55000000000000004">
      <c r="B1" s="313" t="s">
        <v>176</v>
      </c>
      <c r="C1" s="314"/>
      <c r="D1" s="314"/>
      <c r="E1" s="314"/>
      <c r="F1" s="314"/>
      <c r="G1" s="314"/>
      <c r="H1" s="315"/>
      <c r="I1" s="310" t="str">
        <f>IF('Données projet'!$B$9="","",'Données projet'!$B$9)</f>
        <v>Chêne sessile</v>
      </c>
      <c r="J1" s="311"/>
      <c r="K1" s="311"/>
      <c r="L1" s="311"/>
      <c r="M1" s="311"/>
      <c r="N1" s="311"/>
      <c r="O1" s="311"/>
      <c r="P1" s="311"/>
      <c r="Q1" s="311"/>
      <c r="R1" s="311"/>
      <c r="S1" s="311"/>
      <c r="T1" s="311"/>
      <c r="U1" s="311"/>
      <c r="V1" s="311"/>
      <c r="W1" s="311"/>
      <c r="X1" s="311"/>
      <c r="Y1" s="311"/>
      <c r="Z1" s="311"/>
      <c r="AA1" s="311"/>
      <c r="AB1" s="311"/>
      <c r="AC1" s="312"/>
      <c r="AD1" s="311" t="str">
        <f>IF('Données projet'!$B$10="","",'Données projet'!$B$10)</f>
        <v>Chêne pubescent</v>
      </c>
      <c r="AE1" s="311"/>
      <c r="AF1" s="311"/>
      <c r="AG1" s="311"/>
      <c r="AH1" s="311"/>
      <c r="AI1" s="311"/>
      <c r="AJ1" s="311"/>
      <c r="AK1" s="311"/>
      <c r="AL1" s="311"/>
      <c r="AM1" s="311"/>
      <c r="AN1" s="311"/>
      <c r="AO1" s="311"/>
      <c r="AP1" s="311"/>
      <c r="AQ1" s="311"/>
      <c r="AR1" s="311"/>
      <c r="AS1" s="311"/>
      <c r="AT1" s="311"/>
      <c r="AU1" s="311"/>
      <c r="AV1" s="311"/>
      <c r="AW1" s="311"/>
      <c r="AX1" s="312"/>
      <c r="AY1" s="310" t="str">
        <f>IF('Données projet'!$B$11="","",'Données projet'!$B$11)</f>
        <v>Cèdre de l'Atlas</v>
      </c>
      <c r="AZ1" s="311"/>
      <c r="BA1" s="311"/>
      <c r="BB1" s="311"/>
      <c r="BC1" s="311"/>
      <c r="BD1" s="311"/>
      <c r="BE1" s="311"/>
      <c r="BF1" s="311"/>
      <c r="BG1" s="311"/>
      <c r="BH1" s="311"/>
      <c r="BI1" s="311"/>
      <c r="BJ1" s="311"/>
      <c r="BK1" s="311"/>
      <c r="BL1" s="311"/>
      <c r="BM1" s="311"/>
      <c r="BN1" s="311"/>
      <c r="BO1" s="311"/>
      <c r="BP1" s="311"/>
      <c r="BQ1" s="311"/>
      <c r="BR1" s="311"/>
      <c r="BS1" s="312"/>
      <c r="BT1" s="310" t="str">
        <f>IF('Données projet'!$B$12="","",'Données projet'!$B$12)</f>
        <v/>
      </c>
      <c r="BU1" s="311"/>
      <c r="BV1" s="311"/>
      <c r="BW1" s="311"/>
      <c r="BX1" s="311"/>
      <c r="BY1" s="311"/>
      <c r="BZ1" s="311"/>
      <c r="CA1" s="311"/>
      <c r="CB1" s="311"/>
      <c r="CC1" s="311"/>
      <c r="CD1" s="311"/>
      <c r="CE1" s="311"/>
      <c r="CF1" s="311"/>
      <c r="CG1" s="311"/>
      <c r="CH1" s="311"/>
      <c r="CI1" s="311"/>
      <c r="CJ1" s="311"/>
      <c r="CK1" s="311"/>
      <c r="CL1" s="311"/>
      <c r="CM1" s="311"/>
      <c r="CN1" s="312"/>
      <c r="CO1" s="310" t="str">
        <f>IF('Données projet'!$B$13="","",'Données projet'!$B$13)</f>
        <v/>
      </c>
      <c r="CP1" s="311"/>
      <c r="CQ1" s="311"/>
      <c r="CR1" s="311"/>
      <c r="CS1" s="311"/>
      <c r="CT1" s="311"/>
      <c r="CU1" s="311"/>
      <c r="CV1" s="311"/>
      <c r="CW1" s="311"/>
      <c r="CX1" s="311"/>
      <c r="CY1" s="311"/>
      <c r="CZ1" s="311"/>
      <c r="DA1" s="311"/>
      <c r="DB1" s="311"/>
      <c r="DC1" s="311"/>
      <c r="DD1" s="311"/>
      <c r="DE1" s="311"/>
      <c r="DF1" s="311"/>
      <c r="DG1" s="311"/>
      <c r="DH1" s="311"/>
      <c r="DI1" s="312"/>
      <c r="DJ1" s="310" t="str">
        <f>IF('Données projet'!$B$14="","",'Données projet'!$B$14)</f>
        <v/>
      </c>
      <c r="DK1" s="311"/>
      <c r="DL1" s="311"/>
      <c r="DM1" s="311"/>
      <c r="DN1" s="311"/>
      <c r="DO1" s="311"/>
      <c r="DP1" s="311"/>
      <c r="DQ1" s="311"/>
      <c r="DR1" s="311"/>
      <c r="DS1" s="311"/>
      <c r="DT1" s="311"/>
      <c r="DU1" s="311"/>
      <c r="DV1" s="311"/>
      <c r="DW1" s="311"/>
      <c r="DX1" s="311"/>
      <c r="DY1" s="311"/>
      <c r="DZ1" s="311"/>
      <c r="EA1" s="311"/>
      <c r="EB1" s="311"/>
      <c r="EC1" s="311"/>
      <c r="ED1" s="312"/>
      <c r="EE1" s="310" t="str">
        <f>IF('Données projet'!$B$15="","",'Données projet'!$B$15)</f>
        <v/>
      </c>
      <c r="EF1" s="311"/>
      <c r="EG1" s="311"/>
      <c r="EH1" s="311"/>
      <c r="EI1" s="311"/>
      <c r="EJ1" s="311"/>
      <c r="EK1" s="311"/>
      <c r="EL1" s="311"/>
      <c r="EM1" s="311"/>
      <c r="EN1" s="311"/>
      <c r="EO1" s="311"/>
      <c r="EP1" s="311"/>
      <c r="EQ1" s="311"/>
      <c r="ER1" s="311"/>
      <c r="ES1" s="311"/>
      <c r="ET1" s="311"/>
      <c r="EU1" s="311"/>
      <c r="EV1" s="311"/>
      <c r="EW1" s="311"/>
      <c r="EX1" s="311"/>
      <c r="EY1" s="312"/>
      <c r="EZ1" s="310" t="str">
        <f>IF('Données projet'!$B$16="","",'Données projet'!$B$16)</f>
        <v/>
      </c>
      <c r="FA1" s="311"/>
      <c r="FB1" s="311"/>
      <c r="FC1" s="311"/>
      <c r="FD1" s="311"/>
      <c r="FE1" s="311"/>
      <c r="FF1" s="311"/>
      <c r="FG1" s="311"/>
      <c r="FH1" s="311"/>
      <c r="FI1" s="311"/>
      <c r="FJ1" s="311"/>
      <c r="FK1" s="311"/>
      <c r="FL1" s="311"/>
      <c r="FM1" s="311"/>
      <c r="FN1" s="311"/>
      <c r="FO1" s="311"/>
      <c r="FP1" s="311"/>
      <c r="FQ1" s="311"/>
      <c r="FR1" s="311"/>
      <c r="FS1" s="311"/>
      <c r="FT1" s="312"/>
      <c r="FU1" s="310" t="str">
        <f>IF('Données projet'!$B$17="","",'Données projet'!$B$17)</f>
        <v/>
      </c>
      <c r="FV1" s="311"/>
      <c r="FW1" s="311"/>
      <c r="FX1" s="311"/>
      <c r="FY1" s="311"/>
      <c r="FZ1" s="311"/>
      <c r="GA1" s="311"/>
      <c r="GB1" s="311"/>
      <c r="GC1" s="311"/>
      <c r="GD1" s="311"/>
      <c r="GE1" s="311"/>
      <c r="GF1" s="311"/>
      <c r="GG1" s="311"/>
      <c r="GH1" s="311"/>
      <c r="GI1" s="311"/>
      <c r="GJ1" s="311"/>
      <c r="GK1" s="311"/>
      <c r="GL1" s="311"/>
      <c r="GM1" s="311"/>
      <c r="GN1" s="311"/>
      <c r="GO1" s="312"/>
      <c r="GP1" s="310" t="str">
        <f>IF('Données projet'!$B$18="","",'Données projet'!$B$18)</f>
        <v/>
      </c>
      <c r="GQ1" s="311"/>
      <c r="GR1" s="311"/>
      <c r="GS1" s="311"/>
      <c r="GT1" s="311"/>
      <c r="GU1" s="311"/>
      <c r="GV1" s="311"/>
      <c r="GW1" s="311"/>
      <c r="GX1" s="311"/>
      <c r="GY1" s="311"/>
      <c r="GZ1" s="311"/>
      <c r="HA1" s="311"/>
      <c r="HB1" s="311"/>
      <c r="HC1" s="311"/>
      <c r="HD1" s="311"/>
      <c r="HE1" s="311"/>
      <c r="HF1" s="311"/>
      <c r="HG1" s="311"/>
      <c r="HH1" s="311"/>
      <c r="HI1" s="311"/>
      <c r="HJ1" s="312"/>
    </row>
    <row r="2" spans="1:218" s="5" customFormat="1" ht="58.2" thickBot="1" x14ac:dyDescent="0.35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3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256.66666666666669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256.66666666666669</v>
      </c>
      <c r="S3" s="62">
        <f ca="1">AVERAGE(OFFSET($R$3,0,0,'Données projet'!$E$9+1,1))-AVERAGE(OFFSET($H$3,0,0,'Données projet'!$E$9+1,1))</f>
        <v>327.25473597900725</v>
      </c>
      <c r="T3" s="62">
        <f>IF('Données projet'!E9&gt;30,$R$33-$H$33,LOOKUP('Données projet'!$E$9,$A$3:$A$203,R3:R203)-LOOKUP('Données projet'!$E$9,$A$3:$A$203,$H$3:$H$203))</f>
        <v>211.5313580973322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256.66666666666669</v>
      </c>
      <c r="AN3" s="62">
        <f ca="1">AVERAGE(OFFSET($AM$3,0,0,'Données projet'!$E$10+1,1))-AVERAGE(OFFSET($H$3,0,0,'Données projet'!$E$10+1,1))</f>
        <v>366.41072413829329</v>
      </c>
      <c r="AO3" s="62">
        <f>IF('Données projet'!E10&gt;30,$AM$33-$H$33,LOOKUP('Données projet'!$E$10,$A$3:$A$203,AM3:AM203)-LOOKUP('Données projet'!$E$10,$A$3:$A$203,$H$3:$H$203))</f>
        <v>234.41212418619125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2">
        <f>BG3+(AY3+AZ3)*44/12</f>
        <v>256.66666666666669</v>
      </c>
      <c r="BI3" s="62">
        <f ca="1">AVERAGE(OFFSET($BH$3,0,0,'Données projet'!$E$11+1,1))-AVERAGE(OFFSET($H$3,0,0,'Données projet'!$E$11+1,1))</f>
        <v>152.72674713084456</v>
      </c>
      <c r="BJ3" s="62">
        <f>IF('Données projet'!E11&gt;30,$BH$33-$H$33,LOOKUP('Données projet'!$E$11,$A$3:$A$203,BH3:BH203)-LOOKUP('Données projet'!$E$11,$A$3:$A$203,$H$3:$H$203))</f>
        <v>203.90215120562164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3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0.27920879999999998</v>
      </c>
      <c r="D4" s="12">
        <f>IFERROR(EXP(-1.0587+0.8836*LN(C4)+0.284),0)</f>
        <v>0.14927085468709725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1.0385745454661293</v>
      </c>
      <c r="H4" s="70">
        <f t="shared" ref="H4:H67" si="1">(B4+E4+F4)*44/12+(C4+D4)*0.475*44/12</f>
        <v>257.41293539858003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2.1</v>
      </c>
      <c r="N4" s="14">
        <f>IF('Données projet'!$A$36&gt;35,N3+M4-V3,IF(A4&lt;'Données projet'!$A$36,$K$205^A4,IF(A4='Données projet'!$A$36,'Données projet'!$B$36,N3+M4-V3)))</f>
        <v>1.2054868146447177</v>
      </c>
      <c r="O4" s="14">
        <f>N4*VLOOKUP('Données projet'!$B$9,Paramètres!$A$1:$I$89,3,0)*VLOOKUP('Données projet'!$B$9,Paramètres!$A$1:$I$89,5,0)</f>
        <v>1.0907244698905405</v>
      </c>
      <c r="P4" s="14">
        <f>EXP(-1.0587+0.8836*LN(O4)+0.284)</f>
        <v>0.49759623852608204</v>
      </c>
      <c r="Q4" s="22">
        <f t="shared" ref="Q4:Q34" si="2">(O4+P4)*0.475*44/12</f>
        <v>2.7663252338256172</v>
      </c>
      <c r="R4" s="62">
        <f t="shared" si="0"/>
        <v>260.65521412271448</v>
      </c>
      <c r="S4" s="62">
        <f ca="1">AVERAGE(OFFSET($R$3,0,0,'Données projet'!$E$9+1,1))-AVERAGE(OFFSET($H$3,0,0,'Données projet'!$E$9+1,1))</f>
        <v>327.25473597900725</v>
      </c>
      <c r="T4" s="62">
        <f>$T$3</f>
        <v>211.5313580973322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2.1</v>
      </c>
      <c r="AI4" s="14">
        <f>IF('Données projet'!$A$62&gt;35,AI3+AH4-AQ3,IF(A4&lt;'Données projet'!$A$62,$AF$205^A4,IF(A4='Données projet'!$A$62,'Données projet'!$B$62,AI3+AH4-AQ3)))</f>
        <v>1.2054868146447177</v>
      </c>
      <c r="AJ4" s="14">
        <f>AI4*VLOOKUP('Données projet'!$B$10,Paramètres!$A$1:$I$89,3,0)*VLOOKUP('Données projet'!$B$10,Paramètres!$A$1:$I$89,5,0)</f>
        <v>1.2223636300497438</v>
      </c>
      <c r="AK4" s="14">
        <f>EXP(-1.0587+0.8836*LN(AJ4)+0.284)</f>
        <v>0.55030360208821416</v>
      </c>
      <c r="AL4" s="22">
        <f t="shared" ref="AL4:AL67" si="4">(AJ4+AK4)*0.475*44/12</f>
        <v>3.0873954293069432</v>
      </c>
      <c r="AM4" s="62">
        <f t="shared" ref="AM4:AM67" si="5">AL4+(AD4+AE4)*44/12</f>
        <v>260.97628431819578</v>
      </c>
      <c r="AN4" s="62">
        <f ca="1">AVERAGE(OFFSET($AM$3,0,0,'Données projet'!$E$10+1,1))-AVERAGE(OFFSET($H$3,0,0,'Données projet'!$E$10+1,1))</f>
        <v>366.41072413829329</v>
      </c>
      <c r="AO4" s="62">
        <f>$AO$3</f>
        <v>234.41212418619125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7.9</v>
      </c>
      <c r="BD4" s="13">
        <f>IF('Données projet'!$A$88&gt;35,BD3+BC4-BL3,IF(A4&lt;'Données projet'!$A$88,$BA$205^A4,IF(A4='Données projet'!$A$88,'Données projet'!$B$88,BD3+BC4-BL3)))</f>
        <v>1.2880503926580862</v>
      </c>
      <c r="BE4" s="14">
        <f>BD4*VLOOKUP('Données projet'!$B$11,Paramètres!$A$1:$I$89,3,0)*VLOOKUP('Données projet'!$B$11,Paramètres!$A$1:$I$89,5,0)</f>
        <v>0.60280758376398436</v>
      </c>
      <c r="BF4" s="14">
        <f>EXP(-1.0587+0.8836*LN(BE4)+0.284)</f>
        <v>0.29465781953181042</v>
      </c>
      <c r="BG4" s="22">
        <f t="shared" ref="BG4:BG67" si="7">(BE4+BF4)*0.475*44/12</f>
        <v>1.5630855774068424</v>
      </c>
      <c r="BH4" s="62">
        <f t="shared" ref="BH4:BH67" si="8">BG4+(AY4+AZ4)*44/12</f>
        <v>259.45197446629572</v>
      </c>
      <c r="BI4" s="62">
        <f ca="1">AVERAGE(OFFSET($BH$3,0,0,'Données projet'!$E$11+1,1))-AVERAGE(OFFSET($H$3,0,0,'Données projet'!$E$11+1,1))</f>
        <v>152.72674713084456</v>
      </c>
      <c r="BJ4" s="62">
        <f>$BJ$3</f>
        <v>203.90215120562164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3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0.55841759999999996</v>
      </c>
      <c r="D5" s="12">
        <f t="shared" ref="D5:D68" si="32">IFERROR(EXP(-1.0587+0.8836*LN(C5)+0.284),0)</f>
        <v>0.27540075318048551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2.021058660972209</v>
      </c>
      <c r="H5" s="70">
        <f t="shared" si="1"/>
        <v>258.11890029845603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2.1</v>
      </c>
      <c r="N5" s="14">
        <f>IF('Données projet'!$A$36&gt;35,N4+M5-V4,IF(A5&lt;'Données projet'!$A$36,$K$205^A5,IF(A5='Données projet'!$A$36,'Données projet'!$B$36,N4+M5-V4)))</f>
        <v>1.4531984602822681</v>
      </c>
      <c r="O5" s="14">
        <f>N5*VLOOKUP('Données projet'!$B$9,Paramètres!$A$1:$I$89,3,0)*VLOOKUP('Données projet'!$B$9,Paramètres!$A$1:$I$89,5,0)</f>
        <v>1.3148539668633961</v>
      </c>
      <c r="P5" s="14">
        <f t="shared" ref="P5:P68" si="33">EXP(-1.0587+0.8836*LN(O5)+0.284)</f>
        <v>0.58693801963664449</v>
      </c>
      <c r="Q5" s="22">
        <f t="shared" si="2"/>
        <v>3.3122877098209038</v>
      </c>
      <c r="R5" s="62">
        <f t="shared" si="0"/>
        <v>262.42339882093205</v>
      </c>
      <c r="S5" s="62">
        <f ca="1">AVERAGE(OFFSET($R$3,0,0,'Données projet'!$E$9+1,1))-AVERAGE(OFFSET($H$3,0,0,'Données projet'!$E$9+1,1))</f>
        <v>327.25473597900725</v>
      </c>
      <c r="T5" s="62">
        <f t="shared" ref="T5:T68" si="34">$T$3</f>
        <v>211.5313580973322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2.1</v>
      </c>
      <c r="AI5" s="14">
        <f>IF('Données projet'!$A$62&gt;35,AI4+AH5-AQ4,IF(A5&lt;'Données projet'!$A$62,$AF$205^A5,IF(A5='Données projet'!$A$62,'Données projet'!$B$62,AI4+AH5-AQ4)))</f>
        <v>1.4531984602822681</v>
      </c>
      <c r="AJ5" s="14">
        <f>AI5*VLOOKUP('Données projet'!$B$10,Paramètres!$A$1:$I$89,3,0)*VLOOKUP('Données projet'!$B$10,Paramètres!$A$1:$I$89,5,0)</f>
        <v>1.47354323872622</v>
      </c>
      <c r="AK5" s="14">
        <f t="shared" ref="AK5:AK68" si="35">EXP(-1.0587+0.8836*LN(AJ5)+0.284)</f>
        <v>0.64910881835703094</v>
      </c>
      <c r="AL5" s="22">
        <f t="shared" si="4"/>
        <v>3.6969523327533285</v>
      </c>
      <c r="AM5" s="62">
        <f t="shared" si="5"/>
        <v>262.80806344386446</v>
      </c>
      <c r="AN5" s="62">
        <f ca="1">AVERAGE(OFFSET($AM$3,0,0,'Données projet'!$E$10+1,1))-AVERAGE(OFFSET($H$3,0,0,'Données projet'!$E$10+1,1))</f>
        <v>366.41072413829329</v>
      </c>
      <c r="AO5" s="62">
        <f t="shared" ref="AO5:AO68" si="36">$AO$3</f>
        <v>234.41212418619125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7.9</v>
      </c>
      <c r="BD5" s="13">
        <f>IF('Données projet'!$A$88&gt;35,BD4+BC5-BL4,IF(A5&lt;'Données projet'!$A$88,$BA$205^A5,IF(A5='Données projet'!$A$88,'Données projet'!$B$88,BD4+BC5-BL4)))</f>
        <v>1.6590738140266501</v>
      </c>
      <c r="BE5" s="14">
        <f>BD5*VLOOKUP('Données projet'!$B$11,Paramètres!$A$1:$I$89,3,0)*VLOOKUP('Données projet'!$B$11,Paramètres!$A$1:$I$89,5,0)</f>
        <v>0.77644654496447219</v>
      </c>
      <c r="BF5" s="14">
        <f t="shared" ref="BF5:BF68" si="37">EXP(-1.0587+0.8836*LN(BE5)+0.284)</f>
        <v>0.36851455096495994</v>
      </c>
      <c r="BG5" s="22">
        <f t="shared" si="7"/>
        <v>1.9941405754104276</v>
      </c>
      <c r="BH5" s="62">
        <f t="shared" si="8"/>
        <v>261.10525168652157</v>
      </c>
      <c r="BI5" s="62">
        <f ca="1">AVERAGE(OFFSET($BH$3,0,0,'Données projet'!$E$11+1,1))-AVERAGE(OFFSET($H$3,0,0,'Données projet'!$E$11+1,1))</f>
        <v>152.72674713084456</v>
      </c>
      <c r="BJ5" s="62">
        <f t="shared" ref="BJ5:BJ68" si="38">$BJ$3</f>
        <v>203.90215120562164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3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0.83762639999999999</v>
      </c>
      <c r="D6" s="12">
        <f t="shared" si="32"/>
        <v>0.3940572844266414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2.9854283831646455</v>
      </c>
      <c r="H6" s="70">
        <f t="shared" si="1"/>
        <v>258.81184908370977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2.1</v>
      </c>
      <c r="N6" s="14">
        <f>IF('Données projet'!$A$36&gt;35,N5+M6-V5,IF(A6&lt;'Données projet'!$A$36,$K$205^A6,IF(A6='Données projet'!$A$36,'Données projet'!$B$36,N5+M6-V5)))</f>
        <v>1.7518115829322798</v>
      </c>
      <c r="O6" s="14">
        <f>N6*VLOOKUP('Données projet'!$B$9,Paramètres!$A$1:$I$89,3,0)*VLOOKUP('Données projet'!$B$9,Paramètres!$A$1:$I$89,5,0)</f>
        <v>1.5850391202371266</v>
      </c>
      <c r="P6" s="14">
        <f t="shared" si="33"/>
        <v>0.69232082604846479</v>
      </c>
      <c r="Q6" s="22">
        <f t="shared" si="2"/>
        <v>3.966401906447405</v>
      </c>
      <c r="R6" s="62">
        <f t="shared" si="0"/>
        <v>264.29973523978072</v>
      </c>
      <c r="S6" s="62">
        <f ca="1">AVERAGE(OFFSET($R$3,0,0,'Données projet'!$E$9+1,1))-AVERAGE(OFFSET($H$3,0,0,'Données projet'!$E$9+1,1))</f>
        <v>327.25473597900725</v>
      </c>
      <c r="T6" s="62">
        <f t="shared" si="34"/>
        <v>211.5313580973322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2.1</v>
      </c>
      <c r="AI6" s="14">
        <f>IF('Données projet'!$A$62&gt;35,AI5+AH6-AQ5,IF(A6&lt;'Données projet'!$A$62,$AF$205^A6,IF(A6='Données projet'!$A$62,'Données projet'!$B$62,AI5+AH6-AQ5)))</f>
        <v>1.7518115829322798</v>
      </c>
      <c r="AJ6" s="14">
        <f>AI6*VLOOKUP('Données projet'!$B$10,Paramètres!$A$1:$I$89,3,0)*VLOOKUP('Données projet'!$B$10,Paramètres!$A$1:$I$89,5,0)</f>
        <v>1.7763369450933317</v>
      </c>
      <c r="AK6" s="14">
        <f t="shared" si="35"/>
        <v>0.76565418883323866</v>
      </c>
      <c r="AL6" s="22">
        <f t="shared" si="4"/>
        <v>4.4273012249221102</v>
      </c>
      <c r="AM6" s="62">
        <f t="shared" si="5"/>
        <v>264.76063455825545</v>
      </c>
      <c r="AN6" s="62">
        <f ca="1">AVERAGE(OFFSET($AM$3,0,0,'Données projet'!$E$10+1,1))-AVERAGE(OFFSET($H$3,0,0,'Données projet'!$E$10+1,1))</f>
        <v>366.41072413829329</v>
      </c>
      <c r="AO6" s="62">
        <f t="shared" si="36"/>
        <v>234.41212418619125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7.9</v>
      </c>
      <c r="BD6" s="13">
        <f>IF('Données projet'!$A$88&gt;35,BD5+BC6-BL5,IF(A6&lt;'Données projet'!$A$88,$BA$205^A6,IF(A6='Données projet'!$A$88,'Données projet'!$B$88,BD5+BC6-BL5)))</f>
        <v>2.1369706776057753</v>
      </c>
      <c r="BE6" s="14">
        <f>BD6*VLOOKUP('Données projet'!$B$11,Paramètres!$A$1:$I$89,3,0)*VLOOKUP('Données projet'!$B$11,Paramètres!$A$1:$I$89,5,0)</f>
        <v>1.0001022771195029</v>
      </c>
      <c r="BF6" s="14">
        <f t="shared" si="37"/>
        <v>0.46088365986243646</v>
      </c>
      <c r="BG6" s="22">
        <f t="shared" si="7"/>
        <v>2.5445505069102112</v>
      </c>
      <c r="BH6" s="62">
        <f t="shared" si="8"/>
        <v>262.8778838402435</v>
      </c>
      <c r="BI6" s="62">
        <f ca="1">AVERAGE(OFFSET($BH$3,0,0,'Données projet'!$E$11+1,1))-AVERAGE(OFFSET($H$3,0,0,'Données projet'!$E$11+1,1))</f>
        <v>152.72674713084456</v>
      </c>
      <c r="BJ6" s="62">
        <f t="shared" si="38"/>
        <v>203.90215120562164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3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1.1168351999999999</v>
      </c>
      <c r="D7" s="12">
        <f t="shared" si="32"/>
        <v>0.50810705821552893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3.938631971843114</v>
      </c>
      <c r="H7" s="70">
        <f t="shared" si="1"/>
        <v>259.4967744330587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2.1</v>
      </c>
      <c r="N7" s="14">
        <f>IF('Données projet'!$A$36&gt;35,N6+M7-V6,IF(A7&lt;'Données projet'!$A$36,$K$205^A7,IF(A7='Données projet'!$A$36,'Données projet'!$B$36,N6+M7-V6)))</f>
        <v>2.1117857649667546</v>
      </c>
      <c r="O7" s="14">
        <f>N7*VLOOKUP('Données projet'!$B$9,Paramètres!$A$1:$I$89,3,0)*VLOOKUP('Données projet'!$B$9,Paramètres!$A$1:$I$89,5,0)</f>
        <v>1.9107437601419195</v>
      </c>
      <c r="P7" s="14">
        <f t="shared" si="33"/>
        <v>0.81662477151702284</v>
      </c>
      <c r="Q7" s="22">
        <f t="shared" si="2"/>
        <v>4.7501668593059909</v>
      </c>
      <c r="R7" s="62">
        <f t="shared" si="0"/>
        <v>266.30572241486152</v>
      </c>
      <c r="S7" s="62">
        <f ca="1">AVERAGE(OFFSET($R$3,0,0,'Données projet'!$E$9+1,1))-AVERAGE(OFFSET($H$3,0,0,'Données projet'!$E$9+1,1))</f>
        <v>327.25473597900725</v>
      </c>
      <c r="T7" s="62">
        <f t="shared" si="34"/>
        <v>211.5313580973322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2.1</v>
      </c>
      <c r="AI7" s="14">
        <f>IF('Données projet'!$A$62&gt;35,AI6+AH7-AQ6,IF(A7&lt;'Données projet'!$A$62,$AF$205^A7,IF(A7='Données projet'!$A$62,'Données projet'!$B$62,AI6+AH7-AQ6)))</f>
        <v>2.1117857649667546</v>
      </c>
      <c r="AJ7" s="14">
        <f>AI7*VLOOKUP('Données projet'!$B$10,Paramètres!$A$1:$I$89,3,0)*VLOOKUP('Données projet'!$B$10,Paramètres!$A$1:$I$89,5,0)</f>
        <v>2.1413507656762891</v>
      </c>
      <c r="AK7" s="14">
        <f t="shared" si="35"/>
        <v>0.9031249003236328</v>
      </c>
      <c r="AL7" s="22">
        <f t="shared" si="4"/>
        <v>5.3024617849498643</v>
      </c>
      <c r="AM7" s="62">
        <f t="shared" si="5"/>
        <v>266.8580173405054</v>
      </c>
      <c r="AN7" s="62">
        <f ca="1">AVERAGE(OFFSET($AM$3,0,0,'Données projet'!$E$10+1,1))-AVERAGE(OFFSET($H$3,0,0,'Données projet'!$E$10+1,1))</f>
        <v>366.41072413829329</v>
      </c>
      <c r="AO7" s="62">
        <f t="shared" si="36"/>
        <v>234.41212418619125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7.9</v>
      </c>
      <c r="BD7" s="13">
        <f>IF('Données projet'!$A$88&gt;35,BD6+BC7-BL6,IF(A7&lt;'Données projet'!$A$88,$BA$205^A7,IF(A7='Données projet'!$A$88,'Données projet'!$B$88,BD6+BC7-BL6)))</f>
        <v>2.7525259203889356</v>
      </c>
      <c r="BE7" s="14">
        <f>BD7*VLOOKUP('Données projet'!$B$11,Paramètres!$A$1:$I$89,3,0)*VLOOKUP('Données projet'!$B$11,Paramètres!$A$1:$I$89,5,0)</f>
        <v>1.2881821307420218</v>
      </c>
      <c r="BF7" s="14">
        <f t="shared" si="37"/>
        <v>0.57640532069082717</v>
      </c>
      <c r="BG7" s="22">
        <f t="shared" si="7"/>
        <v>3.2474898112455457</v>
      </c>
      <c r="BH7" s="62">
        <f t="shared" si="8"/>
        <v>264.80304536680109</v>
      </c>
      <c r="BI7" s="62">
        <f ca="1">AVERAGE(OFFSET($BH$3,0,0,'Données projet'!$E$11+1,1))-AVERAGE(OFFSET($H$3,0,0,'Données projet'!$E$11+1,1))</f>
        <v>152.72674713084456</v>
      </c>
      <c r="BJ7" s="62">
        <f t="shared" si="38"/>
        <v>203.90215120562164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3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1.3960439999999998</v>
      </c>
      <c r="D8" s="12">
        <f t="shared" si="32"/>
        <v>0.61884931607764293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4.8838186061278455</v>
      </c>
      <c r="H8" s="70">
        <f t="shared" si="1"/>
        <v>260.17593919216858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2.1</v>
      </c>
      <c r="N8" s="14">
        <f>IF('Données projet'!$A$36&gt;35,N7+M8-V7,IF(A8&lt;'Données projet'!$A$36,$K$205^A8,IF(A8='Données projet'!$A$36,'Données projet'!$B$36,N7+M8-V7)))</f>
        <v>2.5457298950218314</v>
      </c>
      <c r="O8" s="14">
        <f>N8*VLOOKUP('Données projet'!$B$9,Paramètres!$A$1:$I$89,3,0)*VLOOKUP('Données projet'!$B$9,Paramètres!$A$1:$I$89,5,0)</f>
        <v>2.3033764090157529</v>
      </c>
      <c r="P8" s="14">
        <f t="shared" si="33"/>
        <v>0.96324708482559218</v>
      </c>
      <c r="Q8" s="22">
        <f t="shared" si="2"/>
        <v>5.6893692517736758</v>
      </c>
      <c r="R8" s="62">
        <f t="shared" si="0"/>
        <v>268.46714702955143</v>
      </c>
      <c r="S8" s="62">
        <f ca="1">AVERAGE(OFFSET($R$3,0,0,'Données projet'!$E$9+1,1))-AVERAGE(OFFSET($H$3,0,0,'Données projet'!$E$9+1,1))</f>
        <v>327.25473597900725</v>
      </c>
      <c r="T8" s="62">
        <f t="shared" si="34"/>
        <v>211.5313580973322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2.1</v>
      </c>
      <c r="AI8" s="14">
        <f>IF('Données projet'!$A$62&gt;35,AI7+AH8-AQ7,IF(A8&lt;'Données projet'!$A$62,$AF$205^A8,IF(A8='Données projet'!$A$62,'Données projet'!$B$62,AI7+AH8-AQ7)))</f>
        <v>2.5457298950218314</v>
      </c>
      <c r="AJ8" s="14">
        <f>AI8*VLOOKUP('Données projet'!$B$10,Paramètres!$A$1:$I$89,3,0)*VLOOKUP('Données projet'!$B$10,Paramètres!$A$1:$I$89,5,0)</f>
        <v>2.5813701135521372</v>
      </c>
      <c r="AK8" s="14">
        <f t="shared" si="35"/>
        <v>1.0652780295337991</v>
      </c>
      <c r="AL8" s="22">
        <f t="shared" si="4"/>
        <v>6.3512455158746723</v>
      </c>
      <c r="AM8" s="62">
        <f t="shared" si="5"/>
        <v>269.12902329365244</v>
      </c>
      <c r="AN8" s="62">
        <f ca="1">AVERAGE(OFFSET($AM$3,0,0,'Données projet'!$E$10+1,1))-AVERAGE(OFFSET($H$3,0,0,'Données projet'!$E$10+1,1))</f>
        <v>366.41072413829329</v>
      </c>
      <c r="AO8" s="62">
        <f t="shared" si="36"/>
        <v>234.41212418619125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7.9</v>
      </c>
      <c r="BD8" s="13">
        <f>IF('Données projet'!$A$88&gt;35,BD7+BC8-BL7,IF(A8&lt;'Données projet'!$A$88,$BA$205^A8,IF(A8='Données projet'!$A$88,'Données projet'!$B$88,BD7+BC8-BL7)))</f>
        <v>3.5453920925585285</v>
      </c>
      <c r="BE8" s="14">
        <f>BD8*VLOOKUP('Données projet'!$B$11,Paramètres!$A$1:$I$89,3,0)*VLOOKUP('Données projet'!$B$11,Paramètres!$A$1:$I$89,5,0)</f>
        <v>1.6592434993173915</v>
      </c>
      <c r="BF8" s="14">
        <f t="shared" si="37"/>
        <v>0.72088277944126433</v>
      </c>
      <c r="BG8" s="22">
        <f t="shared" si="7"/>
        <v>4.1453866021713255</v>
      </c>
      <c r="BH8" s="62">
        <f t="shared" si="8"/>
        <v>266.92316437994907</v>
      </c>
      <c r="BI8" s="62">
        <f ca="1">AVERAGE(OFFSET($BH$3,0,0,'Données projet'!$E$11+1,1))-AVERAGE(OFFSET($H$3,0,0,'Données projet'!$E$11+1,1))</f>
        <v>152.72674713084456</v>
      </c>
      <c r="BJ8" s="62">
        <f t="shared" si="38"/>
        <v>203.90215120562164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3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1.6752527999999998</v>
      </c>
      <c r="D9" s="12">
        <f t="shared" si="32"/>
        <v>0.72702519962682599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5.8227847092709162</v>
      </c>
      <c r="H9" s="70">
        <f t="shared" si="1"/>
        <v>260.85063418268339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2.1</v>
      </c>
      <c r="N9" s="14">
        <f>IF('Données projet'!$A$36&gt;35,N8+M9-V8,IF(A9&lt;'Données projet'!$A$36,$K$205^A9,IF(A9='Données projet'!$A$36,'Données projet'!$B$36,N8+M9-V8)))</f>
        <v>3.0688438220956993</v>
      </c>
      <c r="O9" s="14">
        <f>N9*VLOOKUP('Données projet'!$B$9,Paramètres!$A$1:$I$89,3,0)*VLOOKUP('Données projet'!$B$9,Paramètres!$A$1:$I$89,5,0)</f>
        <v>2.7766898902321886</v>
      </c>
      <c r="P9" s="14">
        <f t="shared" si="33"/>
        <v>1.1361949561012803</v>
      </c>
      <c r="Q9" s="22">
        <f t="shared" si="2"/>
        <v>6.8149411073641248</v>
      </c>
      <c r="R9" s="62">
        <f t="shared" si="0"/>
        <v>270.81494110736412</v>
      </c>
      <c r="S9" s="62">
        <f ca="1">AVERAGE(OFFSET($R$3,0,0,'Données projet'!$E$9+1,1))-AVERAGE(OFFSET($H$3,0,0,'Données projet'!$E$9+1,1))</f>
        <v>327.25473597900725</v>
      </c>
      <c r="T9" s="62">
        <f t="shared" si="34"/>
        <v>211.5313580973322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2.1</v>
      </c>
      <c r="AI9" s="14">
        <f>IF('Données projet'!$A$62&gt;35,AI8+AH9-AQ8,IF(A9&lt;'Données projet'!$A$62,$AF$205^A9,IF(A9='Données projet'!$A$62,'Données projet'!$B$62,AI8+AH9-AQ8)))</f>
        <v>3.0688438220956993</v>
      </c>
      <c r="AJ9" s="14">
        <f>AI9*VLOOKUP('Données projet'!$B$10,Paramètres!$A$1:$I$89,3,0)*VLOOKUP('Données projet'!$B$10,Paramètres!$A$1:$I$89,5,0)</f>
        <v>3.111807635605039</v>
      </c>
      <c r="AK9" s="14">
        <f t="shared" si="35"/>
        <v>1.2565452240335246</v>
      </c>
      <c r="AL9" s="22">
        <f t="shared" si="4"/>
        <v>7.6082145638704972</v>
      </c>
      <c r="AM9" s="62">
        <f t="shared" si="5"/>
        <v>271.60821456387049</v>
      </c>
      <c r="AN9" s="62">
        <f ca="1">AVERAGE(OFFSET($AM$3,0,0,'Données projet'!$E$10+1,1))-AVERAGE(OFFSET($H$3,0,0,'Données projet'!$E$10+1,1))</f>
        <v>366.41072413829329</v>
      </c>
      <c r="AO9" s="62">
        <f t="shared" si="36"/>
        <v>234.41212418619125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7.9</v>
      </c>
      <c r="BD9" s="13">
        <f>IF('Données projet'!$A$88&gt;35,BD8+BC9-BL8,IF(A9&lt;'Données projet'!$A$88,$BA$205^A9,IF(A9='Données projet'!$A$88,'Données projet'!$B$88,BD8+BC9-BL8)))</f>
        <v>4.566643676946887</v>
      </c>
      <c r="BE9" s="14">
        <f>BD9*VLOOKUP('Données projet'!$B$11,Paramètres!$A$1:$I$89,3,0)*VLOOKUP('Données projet'!$B$11,Paramètres!$A$1:$I$89,5,0)</f>
        <v>2.1371892408111433</v>
      </c>
      <c r="BF9" s="14">
        <f t="shared" si="37"/>
        <v>0.9015738804633705</v>
      </c>
      <c r="BG9" s="22">
        <f t="shared" si="7"/>
        <v>5.292512436219778</v>
      </c>
      <c r="BH9" s="62">
        <f t="shared" si="8"/>
        <v>269.29251243621979</v>
      </c>
      <c r="BI9" s="62">
        <f ca="1">AVERAGE(OFFSET($BH$3,0,0,'Données projet'!$E$11+1,1))-AVERAGE(OFFSET($H$3,0,0,'Données projet'!$E$11+1,1))</f>
        <v>152.72674713084456</v>
      </c>
      <c r="BJ9" s="62">
        <f t="shared" si="38"/>
        <v>203.90215120562164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3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1.9544615999999997</v>
      </c>
      <c r="D10" s="12">
        <f t="shared" si="32"/>
        <v>0.83311249420486488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6.7566883658832309</v>
      </c>
      <c r="H10" s="70">
        <f t="shared" si="1"/>
        <v>261.52169154740682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2.1</v>
      </c>
      <c r="N10" s="14">
        <f>IF('Données projet'!$A$36&gt;35,N9+M10-V9,IF(A10&lt;'Données projet'!$A$36,$K$205^A10,IF(A10='Données projet'!$A$36,'Données projet'!$B$36,N9+M10-V9)))</f>
        <v>3.6994507637402658</v>
      </c>
      <c r="O10" s="14">
        <f>N10*VLOOKUP('Données projet'!$B$9,Paramètres!$A$1:$I$89,3,0)*VLOOKUP('Données projet'!$B$9,Paramètres!$A$1:$I$89,5,0)</f>
        <v>3.3472630510321921</v>
      </c>
      <c r="P10" s="14">
        <f t="shared" si="33"/>
        <v>1.34019505338418</v>
      </c>
      <c r="Q10" s="22">
        <f t="shared" si="2"/>
        <v>8.1639895318585136</v>
      </c>
      <c r="R10" s="62">
        <f t="shared" si="0"/>
        <v>273.38621175408076</v>
      </c>
      <c r="S10" s="62">
        <f ca="1">AVERAGE(OFFSET($R$3,0,0,'Données projet'!$E$9+1,1))-AVERAGE(OFFSET($H$3,0,0,'Données projet'!$E$9+1,1))</f>
        <v>327.25473597900725</v>
      </c>
      <c r="T10" s="62">
        <f t="shared" si="34"/>
        <v>211.5313580973322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2.1</v>
      </c>
      <c r="AI10" s="14">
        <f>IF('Données projet'!$A$62&gt;35,AI9+AH10-AQ9,IF(A10&lt;'Données projet'!$A$62,$AF$205^A10,IF(A10='Données projet'!$A$62,'Données projet'!$B$62,AI9+AH10-AQ9)))</f>
        <v>3.6994507637402658</v>
      </c>
      <c r="AJ10" s="14">
        <f>AI10*VLOOKUP('Données projet'!$B$10,Paramètres!$A$1:$I$89,3,0)*VLOOKUP('Données projet'!$B$10,Paramètres!$A$1:$I$89,5,0)</f>
        <v>3.7512430744326299</v>
      </c>
      <c r="AK10" s="14">
        <f t="shared" si="35"/>
        <v>1.4821538192545303</v>
      </c>
      <c r="AL10" s="22">
        <f t="shared" si="4"/>
        <v>9.1148329231718037</v>
      </c>
      <c r="AM10" s="62">
        <f t="shared" si="5"/>
        <v>274.33705514539406</v>
      </c>
      <c r="AN10" s="62">
        <f ca="1">AVERAGE(OFFSET($AM$3,0,0,'Données projet'!$E$10+1,1))-AVERAGE(OFFSET($H$3,0,0,'Données projet'!$E$10+1,1))</f>
        <v>366.41072413829329</v>
      </c>
      <c r="AO10" s="62">
        <f t="shared" si="36"/>
        <v>234.41212418619125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7.9</v>
      </c>
      <c r="BD10" s="13">
        <f>IF('Données projet'!$A$88&gt;35,BD9+BC10-BL9,IF(A10&lt;'Données projet'!$A$88,$BA$205^A10,IF(A10='Données projet'!$A$88,'Données projet'!$B$88,BD9+BC10-BL9)))</f>
        <v>5.8820671812210037</v>
      </c>
      <c r="BE10" s="14">
        <f>BD10*VLOOKUP('Données projet'!$B$11,Paramètres!$A$1:$I$89,3,0)*VLOOKUP('Données projet'!$B$11,Paramètres!$A$1:$I$89,5,0)</f>
        <v>2.7528074408114294</v>
      </c>
      <c r="BF10" s="14">
        <f t="shared" si="37"/>
        <v>1.1275556652411438</v>
      </c>
      <c r="BG10" s="22">
        <f t="shared" si="7"/>
        <v>6.7582990763748976</v>
      </c>
      <c r="BH10" s="62">
        <f t="shared" si="8"/>
        <v>271.98052129859713</v>
      </c>
      <c r="BI10" s="62">
        <f ca="1">AVERAGE(OFFSET($BH$3,0,0,'Données projet'!$E$11+1,1))-AVERAGE(OFFSET($H$3,0,0,'Données projet'!$E$11+1,1))</f>
        <v>152.72674713084456</v>
      </c>
      <c r="BJ10" s="62">
        <f t="shared" si="38"/>
        <v>203.90215120562164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3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2.2336703999999998</v>
      </c>
      <c r="D11" s="12">
        <f t="shared" si="32"/>
        <v>0.93744399616526808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7.6863362276174287</v>
      </c>
      <c r="H11" s="70">
        <f t="shared" si="1"/>
        <v>262.1896909066545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2.1</v>
      </c>
      <c r="N11" s="14">
        <f>IF('Données projet'!$A$36&gt;35,N10+M11-V10,IF(A11&lt;'Données projet'!$A$36,$K$205^A11,IF(A11='Données projet'!$A$36,'Données projet'!$B$36,N10+M11-V10)))</f>
        <v>4.4596391171162209</v>
      </c>
      <c r="O11" s="14">
        <f>N11*VLOOKUP('Données projet'!$B$9,Paramètres!$A$1:$I$89,3,0)*VLOOKUP('Données projet'!$B$9,Paramètres!$A$1:$I$89,5,0)</f>
        <v>4.0350814731667564</v>
      </c>
      <c r="P11" s="14">
        <f t="shared" si="33"/>
        <v>1.5808227025391921</v>
      </c>
      <c r="Q11" s="22">
        <f t="shared" si="2"/>
        <v>9.7810331060211926</v>
      </c>
      <c r="R11" s="62">
        <f t="shared" si="0"/>
        <v>276.22547755046565</v>
      </c>
      <c r="S11" s="62">
        <f ca="1">AVERAGE(OFFSET($R$3,0,0,'Données projet'!$E$9+1,1))-AVERAGE(OFFSET($H$3,0,0,'Données projet'!$E$9+1,1))</f>
        <v>327.25473597900725</v>
      </c>
      <c r="T11" s="62">
        <f t="shared" si="34"/>
        <v>211.5313580973322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2.1</v>
      </c>
      <c r="AI11" s="14">
        <f>IF('Données projet'!$A$62&gt;35,AI10+AH11-AQ10,IF(A11&lt;'Données projet'!$A$62,$AF$205^A11,IF(A11='Données projet'!$A$62,'Données projet'!$B$62,AI10+AH11-AQ10)))</f>
        <v>4.4596391171162209</v>
      </c>
      <c r="AJ11" s="14">
        <f>AI11*VLOOKUP('Données projet'!$B$10,Paramètres!$A$1:$I$89,3,0)*VLOOKUP('Données projet'!$B$10,Paramètres!$A$1:$I$89,5,0)</f>
        <v>4.5220740647558486</v>
      </c>
      <c r="AK11" s="14">
        <f t="shared" si="35"/>
        <v>1.7482697016499746</v>
      </c>
      <c r="AL11" s="22">
        <f t="shared" si="4"/>
        <v>10.92084872649014</v>
      </c>
      <c r="AM11" s="62">
        <f t="shared" si="5"/>
        <v>277.36529317093459</v>
      </c>
      <c r="AN11" s="62">
        <f ca="1">AVERAGE(OFFSET($AM$3,0,0,'Données projet'!$E$10+1,1))-AVERAGE(OFFSET($H$3,0,0,'Données projet'!$E$10+1,1))</f>
        <v>366.41072413829329</v>
      </c>
      <c r="AO11" s="62">
        <f t="shared" si="36"/>
        <v>234.41212418619125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7.9</v>
      </c>
      <c r="BD11" s="13">
        <f>IF('Données projet'!$A$88&gt;35,BD10+BC11-BL10,IF(A11&lt;'Données projet'!$A$88,$BA$205^A11,IF(A11='Données projet'!$A$88,'Données projet'!$B$88,BD10+BC11-BL10)))</f>
        <v>7.5763989424129567</v>
      </c>
      <c r="BE11" s="14">
        <f>BD11*VLOOKUP('Données projet'!$B$11,Paramètres!$A$1:$I$89,3,0)*VLOOKUP('Données projet'!$B$11,Paramètres!$A$1:$I$89,5,0)</f>
        <v>3.5457547050492639</v>
      </c>
      <c r="BF11" s="14">
        <f t="shared" si="37"/>
        <v>1.4101803587787649</v>
      </c>
      <c r="BG11" s="22">
        <f t="shared" si="7"/>
        <v>8.631586902833817</v>
      </c>
      <c r="BH11" s="62">
        <f t="shared" si="8"/>
        <v>275.07603134727827</v>
      </c>
      <c r="BI11" s="62">
        <f ca="1">AVERAGE(OFFSET($BH$3,0,0,'Données projet'!$E$11+1,1))-AVERAGE(OFFSET($H$3,0,0,'Données projet'!$E$11+1,1))</f>
        <v>152.72674713084456</v>
      </c>
      <c r="BJ11" s="62">
        <f t="shared" si="38"/>
        <v>203.90215120562164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3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2.5128792</v>
      </c>
      <c r="D12" s="12">
        <f t="shared" si="32"/>
        <v>1.0402643150613728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8.6123211936996373</v>
      </c>
      <c r="H12" s="70">
        <f t="shared" si="1"/>
        <v>262.85505828873193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2.1</v>
      </c>
      <c r="N12" s="14">
        <f>IF('Données projet'!$A$36&gt;35,N11+M12-V11,IF(A12&lt;'Données projet'!$A$36,$K$205^A12,IF(A12='Données projet'!$A$36,'Données projet'!$B$36,N11+M12-V11)))</f>
        <v>5.3760361537574148</v>
      </c>
      <c r="O12" s="14">
        <f>N12*VLOOKUP('Données projet'!$B$9,Paramètres!$A$1:$I$89,3,0)*VLOOKUP('Données projet'!$B$9,Paramètres!$A$1:$I$89,5,0)</f>
        <v>4.8642375119197085</v>
      </c>
      <c r="P12" s="14">
        <f t="shared" si="33"/>
        <v>1.8646542609995393</v>
      </c>
      <c r="Q12" s="22">
        <f t="shared" si="2"/>
        <v>11.719486504501022</v>
      </c>
      <c r="R12" s="62">
        <f t="shared" si="0"/>
        <v>279.38615317116773</v>
      </c>
      <c r="S12" s="62">
        <f ca="1">AVERAGE(OFFSET($R$3,0,0,'Données projet'!$E$9+1,1))-AVERAGE(OFFSET($H$3,0,0,'Données projet'!$E$9+1,1))</f>
        <v>327.25473597900725</v>
      </c>
      <c r="T12" s="62">
        <f t="shared" si="34"/>
        <v>211.5313580973322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2.1</v>
      </c>
      <c r="AI12" s="14">
        <f>IF('Données projet'!$A$62&gt;35,AI11+AH12-AQ11,IF(A12&lt;'Données projet'!$A$62,$AF$205^A12,IF(A12='Données projet'!$A$62,'Données projet'!$B$62,AI11+AH12-AQ11)))</f>
        <v>5.3760361537574148</v>
      </c>
      <c r="AJ12" s="14">
        <f>AI12*VLOOKUP('Données projet'!$B$10,Paramètres!$A$1:$I$89,3,0)*VLOOKUP('Données projet'!$B$10,Paramètres!$A$1:$I$89,5,0)</f>
        <v>5.4513006599100189</v>
      </c>
      <c r="AK12" s="14">
        <f t="shared" si="35"/>
        <v>2.062165822468125</v>
      </c>
      <c r="AL12" s="22">
        <f t="shared" si="4"/>
        <v>13.085954123475267</v>
      </c>
      <c r="AM12" s="62">
        <f t="shared" si="5"/>
        <v>280.75262079014198</v>
      </c>
      <c r="AN12" s="62">
        <f ca="1">AVERAGE(OFFSET($AM$3,0,0,'Données projet'!$E$10+1,1))-AVERAGE(OFFSET($H$3,0,0,'Données projet'!$E$10+1,1))</f>
        <v>366.41072413829329</v>
      </c>
      <c r="AO12" s="62">
        <f t="shared" si="36"/>
        <v>234.41212418619125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7.9</v>
      </c>
      <c r="BD12" s="13">
        <f>IF('Données projet'!$A$88&gt;35,BD11+BC12-BL11,IF(A12&lt;'Données projet'!$A$88,$BA$205^A12,IF(A12='Données projet'!$A$88,'Données projet'!$B$88,BD11+BC12-BL11)))</f>
        <v>9.7587836327093171</v>
      </c>
      <c r="BE12" s="14">
        <f>BD12*VLOOKUP('Données projet'!$B$11,Paramètres!$A$1:$I$89,3,0)*VLOOKUP('Données projet'!$B$11,Paramètres!$A$1:$I$89,5,0)</f>
        <v>4.5671107401079603</v>
      </c>
      <c r="BF12" s="14">
        <f t="shared" si="37"/>
        <v>1.763645650133036</v>
      </c>
      <c r="BG12" s="22">
        <f t="shared" si="7"/>
        <v>11.026067379669733</v>
      </c>
      <c r="BH12" s="62">
        <f t="shared" si="8"/>
        <v>278.6927340463364</v>
      </c>
      <c r="BI12" s="62">
        <f ca="1">AVERAGE(OFFSET($BH$3,0,0,'Données projet'!$E$11+1,1))-AVERAGE(OFFSET($H$3,0,0,'Données projet'!$E$11+1,1))</f>
        <v>152.72674713084456</v>
      </c>
      <c r="BJ12" s="62">
        <f t="shared" si="38"/>
        <v>203.90215120562164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3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2.7920880000000001</v>
      </c>
      <c r="D13" s="12">
        <f t="shared" si="32"/>
        <v>1.1417605138677021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9.5350966785256457</v>
      </c>
      <c r="H13" s="70">
        <f t="shared" si="1"/>
        <v>263.51811949498625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2.1</v>
      </c>
      <c r="N13" s="14">
        <f>IF('Données projet'!$A$36&gt;35,N12+M13-V12,IF(A13&lt;'Données projet'!$A$36,$K$205^A13,IF(A13='Données projet'!$A$36,'Données projet'!$B$36,N12+M13-V12)))</f>
        <v>6.4807406984078657</v>
      </c>
      <c r="O13" s="14">
        <f>N13*VLOOKUP('Données projet'!$B$9,Paramètres!$A$1:$I$89,3,0)*VLOOKUP('Données projet'!$B$9,Paramètres!$A$1:$I$89,5,0)</f>
        <v>5.8637741839194364</v>
      </c>
      <c r="P13" s="14">
        <f t="shared" si="33"/>
        <v>2.1994468497187687</v>
      </c>
      <c r="Q13" s="22">
        <f t="shared" si="2"/>
        <v>14.043443300253207</v>
      </c>
      <c r="R13" s="62">
        <f t="shared" si="0"/>
        <v>282.93233218914207</v>
      </c>
      <c r="S13" s="62">
        <f ca="1">AVERAGE(OFFSET($R$3,0,0,'Données projet'!$E$9+1,1))-AVERAGE(OFFSET($H$3,0,0,'Données projet'!$E$9+1,1))</f>
        <v>327.25473597900725</v>
      </c>
      <c r="T13" s="62">
        <f t="shared" si="34"/>
        <v>211.5313580973322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2.1</v>
      </c>
      <c r="AI13" s="14">
        <f>IF('Données projet'!$A$62&gt;35,AI12+AH13-AQ12,IF(A13&lt;'Données projet'!$A$62,$AF$205^A13,IF(A13='Données projet'!$A$62,'Données projet'!$B$62,AI12+AH13-AQ12)))</f>
        <v>6.4807406984078657</v>
      </c>
      <c r="AJ13" s="14">
        <f>AI13*VLOOKUP('Données projet'!$B$10,Paramètres!$A$1:$I$89,3,0)*VLOOKUP('Données projet'!$B$10,Paramètres!$A$1:$I$89,5,0)</f>
        <v>6.5714710681855761</v>
      </c>
      <c r="AK13" s="14">
        <f t="shared" si="35"/>
        <v>2.4324209676242781</v>
      </c>
      <c r="AL13" s="22">
        <f t="shared" si="4"/>
        <v>15.681778629035497</v>
      </c>
      <c r="AM13" s="62">
        <f t="shared" si="5"/>
        <v>284.57066751792433</v>
      </c>
      <c r="AN13" s="62">
        <f ca="1">AVERAGE(OFFSET($AM$3,0,0,'Données projet'!$E$10+1,1))-AVERAGE(OFFSET($H$3,0,0,'Données projet'!$E$10+1,1))</f>
        <v>366.41072413829329</v>
      </c>
      <c r="AO13" s="62">
        <f t="shared" si="36"/>
        <v>234.41212418619125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7.9</v>
      </c>
      <c r="BD13" s="13">
        <f>IF('Données projet'!$A$88&gt;35,BD12+BC13-BL12,IF(A13&lt;'Données projet'!$A$88,$BA$205^A13,IF(A13='Données projet'!$A$88,'Données projet'!$B$88,BD12+BC13-BL12)))</f>
        <v>12.569805089976542</v>
      </c>
      <c r="BE13" s="14">
        <f>BD13*VLOOKUP('Données projet'!$B$11,Paramètres!$A$1:$I$89,3,0)*VLOOKUP('Données projet'!$B$11,Paramètres!$A$1:$I$89,5,0)</f>
        <v>5.8826687821090227</v>
      </c>
      <c r="BF13" s="14">
        <f t="shared" si="37"/>
        <v>2.2057079152108381</v>
      </c>
      <c r="BG13" s="22">
        <f t="shared" si="7"/>
        <v>14.087256081165423</v>
      </c>
      <c r="BH13" s="62">
        <f t="shared" si="8"/>
        <v>282.97614497005429</v>
      </c>
      <c r="BI13" s="62">
        <f ca="1">AVERAGE(OFFSET($BH$3,0,0,'Données projet'!$E$11+1,1))-AVERAGE(OFFSET($H$3,0,0,'Données projet'!$E$11+1,1))</f>
        <v>152.72674713084456</v>
      </c>
      <c r="BJ13" s="62">
        <f t="shared" si="38"/>
        <v>203.90215120562164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3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3.0712968000000003</v>
      </c>
      <c r="D14" s="12">
        <f t="shared" si="32"/>
        <v>1.2420800779969972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10.455020166036233</v>
      </c>
      <c r="H14" s="70">
        <f t="shared" si="1"/>
        <v>264.17913139584476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2.1</v>
      </c>
      <c r="N14" s="14">
        <f>IF('Données projet'!$A$36&gt;35,N13+M14-V13,IF(A14&lt;'Données projet'!$A$36,$K$205^A14,IF(A14='Données projet'!$A$36,'Données projet'!$B$36,N13+M14-V13)))</f>
        <v>7.8124474610620815</v>
      </c>
      <c r="O14" s="14">
        <f>N14*VLOOKUP('Données projet'!$B$9,Paramètres!$A$1:$I$89,3,0)*VLOOKUP('Données projet'!$B$9,Paramètres!$A$1:$I$89,5,0)</f>
        <v>7.0687024627689707</v>
      </c>
      <c r="P14" s="14">
        <f t="shared" si="33"/>
        <v>2.5943503554083325</v>
      </c>
      <c r="Q14" s="22">
        <f t="shared" si="2"/>
        <v>16.829816991658799</v>
      </c>
      <c r="R14" s="62">
        <f t="shared" si="0"/>
        <v>286.94092810276993</v>
      </c>
      <c r="S14" s="62">
        <f ca="1">AVERAGE(OFFSET($R$3,0,0,'Données projet'!$E$9+1,1))-AVERAGE(OFFSET($H$3,0,0,'Données projet'!$E$9+1,1))</f>
        <v>327.25473597900725</v>
      </c>
      <c r="T14" s="62">
        <f t="shared" si="34"/>
        <v>211.5313580973322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2.1</v>
      </c>
      <c r="AI14" s="14">
        <f>IF('Données projet'!$A$62&gt;35,AI13+AH14-AQ13,IF(A14&lt;'Données projet'!$A$62,$AF$205^A14,IF(A14='Données projet'!$A$62,'Données projet'!$B$62,AI13+AH14-AQ13)))</f>
        <v>7.8124474610620815</v>
      </c>
      <c r="AJ14" s="14">
        <f>AI14*VLOOKUP('Données projet'!$B$10,Paramètres!$A$1:$I$89,3,0)*VLOOKUP('Données projet'!$B$10,Paramètres!$A$1:$I$89,5,0)</f>
        <v>7.921821725516951</v>
      </c>
      <c r="AK14" s="14">
        <f t="shared" si="35"/>
        <v>2.869154216054651</v>
      </c>
      <c r="AL14" s="22">
        <f t="shared" si="4"/>
        <v>18.794283098237205</v>
      </c>
      <c r="AM14" s="62">
        <f t="shared" si="5"/>
        <v>288.90539420934834</v>
      </c>
      <c r="AN14" s="62">
        <f ca="1">AVERAGE(OFFSET($AM$3,0,0,'Données projet'!$E$10+1,1))-AVERAGE(OFFSET($H$3,0,0,'Données projet'!$E$10+1,1))</f>
        <v>366.41072413829329</v>
      </c>
      <c r="AO14" s="62">
        <f t="shared" si="36"/>
        <v>234.41212418619125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7.9</v>
      </c>
      <c r="BD14" s="13">
        <f>IF('Données projet'!$A$88&gt;35,BD13+BC14-BL13,IF(A14&lt;'Données projet'!$A$88,$BA$205^A14,IF(A14='Données projet'!$A$88,'Données projet'!$B$88,BD13+BC14-BL13)))</f>
        <v>16.190542381779895</v>
      </c>
      <c r="BE14" s="14">
        <f>BD14*VLOOKUP('Données projet'!$B$11,Paramètres!$A$1:$I$89,3,0)*VLOOKUP('Données projet'!$B$11,Paramètres!$A$1:$I$89,5,0)</f>
        <v>7.5771738346729904</v>
      </c>
      <c r="BF14" s="14">
        <f t="shared" si="37"/>
        <v>2.7585742106736397</v>
      </c>
      <c r="BG14" s="22">
        <f t="shared" si="7"/>
        <v>18.001427845645381</v>
      </c>
      <c r="BH14" s="62">
        <f t="shared" si="8"/>
        <v>288.11253895675651</v>
      </c>
      <c r="BI14" s="62">
        <f ca="1">AVERAGE(OFFSET($BH$3,0,0,'Données projet'!$E$11+1,1))-AVERAGE(OFFSET($H$3,0,0,'Données projet'!$E$11+1,1))</f>
        <v>152.72674713084456</v>
      </c>
      <c r="BJ14" s="62">
        <f t="shared" si="38"/>
        <v>203.90215120562164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3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3.3505056000000004</v>
      </c>
      <c r="D15" s="12">
        <f t="shared" si="32"/>
        <v>1.3413421392818472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11.372380415073335</v>
      </c>
      <c r="H15" s="70">
        <f t="shared" si="1"/>
        <v>264.83830147924925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2.1</v>
      </c>
      <c r="N15" s="14">
        <f>IF('Données projet'!$A$36&gt;35,N14+M15-V14,IF(A15&lt;'Données projet'!$A$36,$K$205^A15,IF(A15='Données projet'!$A$36,'Données projet'!$B$36,N14+M15-V14)))</f>
        <v>9.4178024044149407</v>
      </c>
      <c r="O15" s="14">
        <f>N15*VLOOKUP('Données projet'!$B$9,Paramètres!$A$1:$I$89,3,0)*VLOOKUP('Données projet'!$B$9,Paramètres!$A$1:$I$89,5,0)</f>
        <v>8.521227615514638</v>
      </c>
      <c r="P15" s="14">
        <f t="shared" si="33"/>
        <v>3.0601574970852128</v>
      </c>
      <c r="Q15" s="22">
        <f t="shared" si="2"/>
        <v>20.170912404444739</v>
      </c>
      <c r="R15" s="62">
        <f t="shared" si="0"/>
        <v>291.50424573777804</v>
      </c>
      <c r="S15" s="62">
        <f ca="1">AVERAGE(OFFSET($R$3,0,0,'Données projet'!$E$9+1,1))-AVERAGE(OFFSET($H$3,0,0,'Données projet'!$E$9+1,1))</f>
        <v>327.25473597900725</v>
      </c>
      <c r="T15" s="62">
        <f t="shared" si="34"/>
        <v>211.5313580973322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2.1</v>
      </c>
      <c r="AI15" s="14">
        <f>IF('Données projet'!$A$62&gt;35,AI14+AH15-AQ14,IF(A15&lt;'Données projet'!$A$62,$AF$205^A15,IF(A15='Données projet'!$A$62,'Données projet'!$B$62,AI14+AH15-AQ14)))</f>
        <v>9.4178024044149407</v>
      </c>
      <c r="AJ15" s="14">
        <f>AI15*VLOOKUP('Données projet'!$B$10,Paramètres!$A$1:$I$89,3,0)*VLOOKUP('Données projet'!$B$10,Paramètres!$A$1:$I$89,5,0)</f>
        <v>9.5496516380767513</v>
      </c>
      <c r="AK15" s="14">
        <f t="shared" si="35"/>
        <v>3.3843014943027487</v>
      </c>
      <c r="AL15" s="22">
        <f t="shared" si="4"/>
        <v>22.526635038894295</v>
      </c>
      <c r="AM15" s="62">
        <f t="shared" si="5"/>
        <v>293.85996837222763</v>
      </c>
      <c r="AN15" s="62">
        <f ca="1">AVERAGE(OFFSET($AM$3,0,0,'Données projet'!$E$10+1,1))-AVERAGE(OFFSET($H$3,0,0,'Données projet'!$E$10+1,1))</f>
        <v>366.41072413829329</v>
      </c>
      <c r="AO15" s="62">
        <f t="shared" si="36"/>
        <v>234.41212418619125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7.9</v>
      </c>
      <c r="BD15" s="13">
        <f>IF('Données projet'!$A$88&gt;35,BD14+BC15-BL14,IF(A15&lt;'Données projet'!$A$88,$BA$205^A15,IF(A15='Données projet'!$A$88,'Données projet'!$B$88,BD14+BC15-BL14)))</f>
        <v>20.854234472198982</v>
      </c>
      <c r="BE15" s="14">
        <f>BD15*VLOOKUP('Données projet'!$B$11,Paramètres!$A$1:$I$89,3,0)*VLOOKUP('Données projet'!$B$11,Paramètres!$A$1:$I$89,5,0)</f>
        <v>9.7597817329891239</v>
      </c>
      <c r="BF15" s="14">
        <f t="shared" si="37"/>
        <v>3.4500178483814818</v>
      </c>
      <c r="BG15" s="22">
        <f t="shared" si="7"/>
        <v>23.00706760422047</v>
      </c>
      <c r="BH15" s="62">
        <f t="shared" si="8"/>
        <v>294.3404009375538</v>
      </c>
      <c r="BI15" s="62">
        <f ca="1">AVERAGE(OFFSET($BH$3,0,0,'Données projet'!$E$11+1,1))-AVERAGE(OFFSET($H$3,0,0,'Données projet'!$E$11+1,1))</f>
        <v>152.72674713084456</v>
      </c>
      <c r="BJ15" s="62">
        <f t="shared" si="38"/>
        <v>203.90215120562164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3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3.6297144000000006</v>
      </c>
      <c r="D16" s="12">
        <f t="shared" si="32"/>
        <v>1.4396448420161179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12.287415313630648</v>
      </c>
      <c r="H16" s="70">
        <f t="shared" si="1"/>
        <v>265.49580067984476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2.1</v>
      </c>
      <c r="N16" s="14">
        <f>IF('Données projet'!$A$36&gt;35,N15+M16-V15,IF(A16&lt;'Données projet'!$A$36,$K$205^A16,IF(A16='Données projet'!$A$36,'Données projet'!$B$36,N15+M16-V15)))</f>
        <v>11.35303662145153</v>
      </c>
      <c r="O16" s="14">
        <f>N16*VLOOKUP('Données projet'!$B$9,Paramètres!$A$1:$I$89,3,0)*VLOOKUP('Données projet'!$B$9,Paramètres!$A$1:$I$89,5,0)</f>
        <v>10.272227535089344</v>
      </c>
      <c r="P16" s="14">
        <f t="shared" si="33"/>
        <v>3.6095987912522753</v>
      </c>
      <c r="Q16" s="22">
        <f t="shared" si="2"/>
        <v>24.177514185044988</v>
      </c>
      <c r="R16" s="62">
        <f t="shared" si="0"/>
        <v>296.73306974060051</v>
      </c>
      <c r="S16" s="62">
        <f ca="1">AVERAGE(OFFSET($R$3,0,0,'Données projet'!$E$9+1,1))-AVERAGE(OFFSET($H$3,0,0,'Données projet'!$E$9+1,1))</f>
        <v>327.25473597900725</v>
      </c>
      <c r="T16" s="62">
        <f t="shared" si="34"/>
        <v>211.5313580973322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2.1</v>
      </c>
      <c r="AI16" s="14">
        <f>IF('Données projet'!$A$62&gt;35,AI15+AH16-AQ15,IF(A16&lt;'Données projet'!$A$62,$AF$205^A16,IF(A16='Données projet'!$A$62,'Données projet'!$B$62,AI15+AH16-AQ15)))</f>
        <v>11.35303662145153</v>
      </c>
      <c r="AJ16" s="14">
        <f>AI16*VLOOKUP('Données projet'!$B$10,Paramètres!$A$1:$I$89,3,0)*VLOOKUP('Données projet'!$B$10,Paramètres!$A$1:$I$89,5,0)</f>
        <v>11.511979134151852</v>
      </c>
      <c r="AK16" s="14">
        <f t="shared" si="35"/>
        <v>3.9919417855793822</v>
      </c>
      <c r="AL16" s="22">
        <f t="shared" si="4"/>
        <v>27.002662268531896</v>
      </c>
      <c r="AM16" s="62">
        <f t="shared" si="5"/>
        <v>299.55821782408742</v>
      </c>
      <c r="AN16" s="62">
        <f ca="1">AVERAGE(OFFSET($AM$3,0,0,'Données projet'!$E$10+1,1))-AVERAGE(OFFSET($H$3,0,0,'Données projet'!$E$10+1,1))</f>
        <v>366.41072413829329</v>
      </c>
      <c r="AO16" s="62">
        <f t="shared" si="36"/>
        <v>234.41212418619125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7.9</v>
      </c>
      <c r="BD16" s="13">
        <f>IF('Données projet'!$A$88&gt;35,BD15+BC16-BL15,IF(A16&lt;'Données projet'!$A$88,$BA$205^A16,IF(A16='Données projet'!$A$88,'Données projet'!$B$88,BD15+BC16-BL15)))</f>
        <v>26.861304900499697</v>
      </c>
      <c r="BE16" s="14">
        <f>BD16*VLOOKUP('Données projet'!$B$11,Paramètres!$A$1:$I$89,3,0)*VLOOKUP('Données projet'!$B$11,Paramètres!$A$1:$I$89,5,0)</f>
        <v>12.571090693433858</v>
      </c>
      <c r="BF16" s="14">
        <f t="shared" si="37"/>
        <v>4.3147735914069099</v>
      </c>
      <c r="BG16" s="22">
        <f t="shared" si="7"/>
        <v>29.409546962764335</v>
      </c>
      <c r="BH16" s="62">
        <f t="shared" si="8"/>
        <v>301.9651025183199</v>
      </c>
      <c r="BI16" s="62">
        <f ca="1">AVERAGE(OFFSET($BH$3,0,0,'Données projet'!$E$11+1,1))-AVERAGE(OFFSET($H$3,0,0,'Données projet'!$E$11+1,1))</f>
        <v>152.72674713084456</v>
      </c>
      <c r="BJ16" s="62">
        <f t="shared" si="38"/>
        <v>203.90215120562164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3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3.9089232000000007</v>
      </c>
      <c r="D17" s="12">
        <f t="shared" si="32"/>
        <v>1.5370703736442475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13.200324072538413</v>
      </c>
      <c r="H17" s="70">
        <f t="shared" si="1"/>
        <v>266.15177214076374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2.1</v>
      </c>
      <c r="N17" s="14">
        <f>IF('Données projet'!$A$36&gt;35,N16+M17-V16,IF(A17&lt;'Données projet'!$A$36,$K$205^A17,IF(A17='Données projet'!$A$36,'Données projet'!$B$36,N16+M17-V16)))</f>
        <v>13.685935953338433</v>
      </c>
      <c r="O17" s="14">
        <f>N17*VLOOKUP('Données projet'!$B$9,Paramètres!$A$1:$I$89,3,0)*VLOOKUP('Données projet'!$B$9,Paramètres!$A$1:$I$89,5,0)</f>
        <v>12.383034850580612</v>
      </c>
      <c r="P17" s="14">
        <f t="shared" si="33"/>
        <v>4.2576904771143838</v>
      </c>
      <c r="Q17" s="22">
        <f t="shared" si="2"/>
        <v>28.982596612402116</v>
      </c>
      <c r="R17" s="62">
        <f t="shared" si="0"/>
        <v>302.76037439017989</v>
      </c>
      <c r="S17" s="62">
        <f ca="1">AVERAGE(OFFSET($R$3,0,0,'Données projet'!$E$9+1,1))-AVERAGE(OFFSET($H$3,0,0,'Données projet'!$E$9+1,1))</f>
        <v>327.25473597900725</v>
      </c>
      <c r="T17" s="62">
        <f t="shared" si="34"/>
        <v>211.5313580973322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2.1</v>
      </c>
      <c r="AI17" s="14">
        <f>IF('Données projet'!$A$62&gt;35,AI16+AH17-AQ16,IF(A17&lt;'Données projet'!$A$62,$AF$205^A17,IF(A17='Données projet'!$A$62,'Données projet'!$B$62,AI16+AH17-AQ16)))</f>
        <v>13.685935953338433</v>
      </c>
      <c r="AJ17" s="14">
        <f>AI17*VLOOKUP('Données projet'!$B$10,Paramètres!$A$1:$I$89,3,0)*VLOOKUP('Données projet'!$B$10,Paramètres!$A$1:$I$89,5,0)</f>
        <v>13.877539056685173</v>
      </c>
      <c r="AK17" s="14">
        <f t="shared" si="35"/>
        <v>4.7086819085950955</v>
      </c>
      <c r="AL17" s="22">
        <f t="shared" si="4"/>
        <v>32.371001514529802</v>
      </c>
      <c r="AM17" s="62">
        <f t="shared" si="5"/>
        <v>306.14877929230755</v>
      </c>
      <c r="AN17" s="62">
        <f ca="1">AVERAGE(OFFSET($AM$3,0,0,'Données projet'!$E$10+1,1))-AVERAGE(OFFSET($H$3,0,0,'Données projet'!$E$10+1,1))</f>
        <v>366.41072413829329</v>
      </c>
      <c r="AO17" s="62">
        <f t="shared" si="36"/>
        <v>234.41212418619125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7.9</v>
      </c>
      <c r="BD17" s="13">
        <f>IF('Données projet'!$A$88&gt;35,BD16+BC17-BL16,IF(A17&lt;'Données projet'!$A$88,$BA$205^A17,IF(A17='Données projet'!$A$88,'Données projet'!$B$88,BD16+BC17-BL16)))</f>
        <v>34.598714324397214</v>
      </c>
      <c r="BE17" s="14">
        <f>BD17*VLOOKUP('Données projet'!$B$11,Paramètres!$A$1:$I$89,3,0)*VLOOKUP('Données projet'!$B$11,Paramètres!$A$1:$I$89,5,0)</f>
        <v>16.192198303817896</v>
      </c>
      <c r="BF17" s="14">
        <f t="shared" si="37"/>
        <v>5.3962825594761723</v>
      </c>
      <c r="BG17" s="22">
        <f t="shared" si="7"/>
        <v>37.599937503570509</v>
      </c>
      <c r="BH17" s="62">
        <f t="shared" si="8"/>
        <v>311.37771528134829</v>
      </c>
      <c r="BI17" s="62">
        <f ca="1">AVERAGE(OFFSET($BH$3,0,0,'Données projet'!$E$11+1,1))-AVERAGE(OFFSET($H$3,0,0,'Données projet'!$E$11+1,1))</f>
        <v>152.72674713084456</v>
      </c>
      <c r="BJ17" s="62">
        <f t="shared" si="38"/>
        <v>203.90215120562164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3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4.1881320000000004</v>
      </c>
      <c r="D18" s="12">
        <f t="shared" si="32"/>
        <v>1.6336885152431526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14.111275831333229</v>
      </c>
      <c r="H18" s="70">
        <f t="shared" si="1"/>
        <v>266.80633739738187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2.1</v>
      </c>
      <c r="N18" s="14">
        <f>IF('Données projet'!$A$36&gt;35,N17+M18-V17,IF(A18&lt;'Données projet'!$A$36,$K$205^A18,IF(A18='Données projet'!$A$36,'Données projet'!$B$36,N17+M18-V17)))</f>
        <v>16.498215337821566</v>
      </c>
      <c r="O18" s="14">
        <f>N18*VLOOKUP('Données projet'!$B$9,Paramètres!$A$1:$I$89,3,0)*VLOOKUP('Données projet'!$B$9,Paramètres!$A$1:$I$89,5,0)</f>
        <v>14.927585237660953</v>
      </c>
      <c r="P18" s="14">
        <f t="shared" si="33"/>
        <v>5.0221449106318534</v>
      </c>
      <c r="Q18" s="22">
        <f t="shared" si="2"/>
        <v>34.745780008276633</v>
      </c>
      <c r="R18" s="62">
        <f t="shared" si="0"/>
        <v>309.74578000827665</v>
      </c>
      <c r="S18" s="62">
        <f ca="1">AVERAGE(OFFSET($R$3,0,0,'Données projet'!$E$9+1,1))-AVERAGE(OFFSET($H$3,0,0,'Données projet'!$E$9+1,1))</f>
        <v>327.25473597900725</v>
      </c>
      <c r="T18" s="62">
        <f t="shared" si="34"/>
        <v>211.5313580973322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2.1</v>
      </c>
      <c r="AI18" s="14">
        <f>IF('Données projet'!$A$62&gt;35,AI17+AH18-AQ17,IF(A18&lt;'Données projet'!$A$62,$AF$205^A18,IF(A18='Données projet'!$A$62,'Données projet'!$B$62,AI17+AH18-AQ17)))</f>
        <v>16.498215337821566</v>
      </c>
      <c r="AJ18" s="14">
        <f>AI18*VLOOKUP('Données projet'!$B$10,Paramètres!$A$1:$I$89,3,0)*VLOOKUP('Données projet'!$B$10,Paramètres!$A$1:$I$89,5,0)</f>
        <v>16.729190352551068</v>
      </c>
      <c r="AK18" s="14">
        <f t="shared" si="35"/>
        <v>5.5541103821765283</v>
      </c>
      <c r="AL18" s="22">
        <f t="shared" si="4"/>
        <v>38.810082112983899</v>
      </c>
      <c r="AM18" s="62">
        <f t="shared" si="5"/>
        <v>313.81008211298388</v>
      </c>
      <c r="AN18" s="62">
        <f ca="1">AVERAGE(OFFSET($AM$3,0,0,'Données projet'!$E$10+1,1))-AVERAGE(OFFSET($H$3,0,0,'Données projet'!$E$10+1,1))</f>
        <v>366.41072413829329</v>
      </c>
      <c r="AO18" s="62">
        <f t="shared" si="36"/>
        <v>234.41212418619125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7.9</v>
      </c>
      <c r="BD18" s="13">
        <f>IF('Données projet'!$A$88&gt;35,BD17+BC18-BL17,IF(A18&lt;'Données projet'!$A$88,$BA$205^A18,IF(A18='Données projet'!$A$88,'Données projet'!$B$88,BD17+BC18-BL17)))</f>
        <v>44.564887571004775</v>
      </c>
      <c r="BE18" s="14">
        <f>BD18*VLOOKUP('Données projet'!$B$11,Paramètres!$A$1:$I$89,3,0)*VLOOKUP('Données projet'!$B$11,Paramètres!$A$1:$I$89,5,0)</f>
        <v>20.856367383230236</v>
      </c>
      <c r="BF18" s="14">
        <f t="shared" si="37"/>
        <v>6.7488744993944465</v>
      </c>
      <c r="BG18" s="22">
        <f t="shared" si="7"/>
        <v>48.079129612237985</v>
      </c>
      <c r="BH18" s="62">
        <f t="shared" si="8"/>
        <v>323.07912961223798</v>
      </c>
      <c r="BI18" s="62">
        <f ca="1">AVERAGE(OFFSET($BH$3,0,0,'Données projet'!$E$11+1,1))-AVERAGE(OFFSET($H$3,0,0,'Données projet'!$E$11+1,1))</f>
        <v>152.72674713084456</v>
      </c>
      <c r="BJ18" s="62">
        <f t="shared" si="38"/>
        <v>203.90215120562164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0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3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4.4673408000000006</v>
      </c>
      <c r="D19" s="12">
        <f t="shared" si="32"/>
        <v>1.7295592173678034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15.020415901746242</v>
      </c>
      <c r="H19" s="70">
        <f t="shared" si="1"/>
        <v>267.4596008635823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2.1</v>
      </c>
      <c r="N19" s="14">
        <f>IF('Données projet'!$A$36&gt;35,N18+M19-V18,IF(A19&lt;'Données projet'!$A$36,$K$205^A19,IF(A19='Données projet'!$A$36,'Données projet'!$B$36,N18+M19-V18)))</f>
        <v>19.888381054913147</v>
      </c>
      <c r="O19" s="14">
        <f>N19*VLOOKUP('Données projet'!$B$9,Paramètres!$A$1:$I$89,3,0)*VLOOKUP('Données projet'!$B$9,Paramètres!$A$1:$I$89,5,0)</f>
        <v>17.995007178485412</v>
      </c>
      <c r="P19" s="14">
        <f t="shared" si="33"/>
        <v>5.9238546434872337</v>
      </c>
      <c r="Q19" s="22">
        <f t="shared" si="2"/>
        <v>41.658684339935689</v>
      </c>
      <c r="R19" s="62">
        <f t="shared" si="0"/>
        <v>317.88090656215792</v>
      </c>
      <c r="S19" s="62">
        <f ca="1">AVERAGE(OFFSET($R$3,0,0,'Données projet'!$E$9+1,1))-AVERAGE(OFFSET($H$3,0,0,'Données projet'!$E$9+1,1))</f>
        <v>327.25473597900725</v>
      </c>
      <c r="T19" s="62">
        <f t="shared" si="34"/>
        <v>211.5313580973322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2.1</v>
      </c>
      <c r="AI19" s="14">
        <f>IF('Données projet'!$A$62&gt;35,AI18+AH19-AQ18,IF(A19&lt;'Données projet'!$A$62,$AF$205^A19,IF(A19='Données projet'!$A$62,'Données projet'!$B$62,AI18+AH19-AQ18)))</f>
        <v>19.888381054913147</v>
      </c>
      <c r="AJ19" s="14">
        <f>AI19*VLOOKUP('Données projet'!$B$10,Paramètres!$A$1:$I$89,3,0)*VLOOKUP('Données projet'!$B$10,Paramètres!$A$1:$I$89,5,0)</f>
        <v>20.166818389681932</v>
      </c>
      <c r="AK19" s="14">
        <f t="shared" si="35"/>
        <v>6.5513327797938032</v>
      </c>
      <c r="AL19" s="22">
        <f t="shared" si="4"/>
        <v>46.534113286836906</v>
      </c>
      <c r="AM19" s="62">
        <f t="shared" si="5"/>
        <v>322.75633550905911</v>
      </c>
      <c r="AN19" s="62">
        <f ca="1">AVERAGE(OFFSET($AM$3,0,0,'Données projet'!$E$10+1,1))-AVERAGE(OFFSET($H$3,0,0,'Données projet'!$E$10+1,1))</f>
        <v>366.41072413829329</v>
      </c>
      <c r="AO19" s="62">
        <f t="shared" si="36"/>
        <v>234.41212418619125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7.9</v>
      </c>
      <c r="BD19" s="13">
        <f>IF('Données projet'!$A$88&gt;35,BD18+BC19-BL18,IF(A19&lt;'Données projet'!$A$88,$BA$205^A19,IF(A19='Données projet'!$A$88,'Données projet'!$B$88,BD18+BC19-BL18)))</f>
        <v>57.401820934596167</v>
      </c>
      <c r="BE19" s="14">
        <f>BD19*VLOOKUP('Données projet'!$B$11,Paramètres!$A$1:$I$89,3,0)*VLOOKUP('Données projet'!$B$11,Paramètres!$A$1:$I$89,5,0)</f>
        <v>26.864052197391008</v>
      </c>
      <c r="BF19" s="14">
        <f t="shared" si="37"/>
        <v>8.4404970471001413</v>
      </c>
      <c r="BG19" s="22">
        <f t="shared" si="7"/>
        <v>61.488756600822086</v>
      </c>
      <c r="BH19" s="62">
        <f t="shared" si="8"/>
        <v>337.71097882304434</v>
      </c>
      <c r="BI19" s="62">
        <f ca="1">AVERAGE(OFFSET($BH$3,0,0,'Données projet'!$E$11+1,1))-AVERAGE(OFFSET($H$3,0,0,'Données projet'!$E$11+1,1))</f>
        <v>152.72674713084456</v>
      </c>
      <c r="BJ19" s="62">
        <f t="shared" si="38"/>
        <v>203.90215120562164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0</v>
      </c>
      <c r="BS19" s="24">
        <f t="shared" si="9"/>
        <v>0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3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4.7465496000000007</v>
      </c>
      <c r="D20" s="12">
        <f t="shared" si="32"/>
        <v>1.8247345132017634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15.927870404911502</v>
      </c>
      <c r="H20" s="70">
        <f t="shared" si="1"/>
        <v>268.11165316382642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2.1</v>
      </c>
      <c r="N20" s="14">
        <f>IF('Données projet'!$A$36&gt;35,N19+M20-V19,IF(A20&lt;'Données projet'!$A$36,$K$205^A20,IF(A20='Données projet'!$A$36,'Données projet'!$B$36,N19+M20-V19)))</f>
        <v>23.975181126327602</v>
      </c>
      <c r="O20" s="14">
        <f>N20*VLOOKUP('Données projet'!$B$9,Paramètres!$A$1:$I$89,3,0)*VLOOKUP('Données projet'!$B$9,Paramètres!$A$1:$I$89,5,0)</f>
        <v>21.692743883101215</v>
      </c>
      <c r="P20" s="14">
        <f t="shared" si="33"/>
        <v>6.98746341685115</v>
      </c>
      <c r="Q20" s="22">
        <f t="shared" si="2"/>
        <v>49.951361047417038</v>
      </c>
      <c r="R20" s="62">
        <f t="shared" si="0"/>
        <v>327.39580549186149</v>
      </c>
      <c r="S20" s="62">
        <f ca="1">AVERAGE(OFFSET($R$3,0,0,'Données projet'!$E$9+1,1))-AVERAGE(OFFSET($H$3,0,0,'Données projet'!$E$9+1,1))</f>
        <v>327.25473597900725</v>
      </c>
      <c r="T20" s="62">
        <f t="shared" si="34"/>
        <v>211.5313580973322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2.1</v>
      </c>
      <c r="AI20" s="14">
        <f>IF('Données projet'!$A$62&gt;35,AI19+AH20-AQ19,IF(A20&lt;'Données projet'!$A$62,$AF$205^A20,IF(A20='Données projet'!$A$62,'Données projet'!$B$62,AI19+AH20-AQ19)))</f>
        <v>23.975181126327602</v>
      </c>
      <c r="AJ20" s="14">
        <f>AI20*VLOOKUP('Données projet'!$B$10,Paramètres!$A$1:$I$89,3,0)*VLOOKUP('Données projet'!$B$10,Paramètres!$A$1:$I$89,5,0)</f>
        <v>24.31083366209619</v>
      </c>
      <c r="AK20" s="14">
        <f t="shared" si="35"/>
        <v>7.7276032052466093</v>
      </c>
      <c r="AL20" s="22">
        <f t="shared" si="4"/>
        <v>55.800277543955367</v>
      </c>
      <c r="AM20" s="62">
        <f t="shared" si="5"/>
        <v>333.24472198839982</v>
      </c>
      <c r="AN20" s="62">
        <f ca="1">AVERAGE(OFFSET($AM$3,0,0,'Données projet'!$E$10+1,1))-AVERAGE(OFFSET($H$3,0,0,'Données projet'!$E$10+1,1))</f>
        <v>366.41072413829329</v>
      </c>
      <c r="AO20" s="62">
        <f t="shared" si="36"/>
        <v>234.41212418619125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7.9</v>
      </c>
      <c r="BD20" s="13">
        <f>IF('Données projet'!$A$88&gt;35,BD19+BC20-BL19,IF(A20&lt;'Données projet'!$A$88,$BA$205^A20,IF(A20='Données projet'!$A$88,'Données projet'!$B$88,BD19+BC20-BL19)))</f>
        <v>73.936437994095741</v>
      </c>
      <c r="BE20" s="14">
        <f>BD20*VLOOKUP('Données projet'!$B$11,Paramètres!$A$1:$I$89,3,0)*VLOOKUP('Données projet'!$B$11,Paramètres!$A$1:$I$89,5,0)</f>
        <v>34.602252981236802</v>
      </c>
      <c r="BF20" s="14">
        <f t="shared" si="37"/>
        <v>10.556129086190376</v>
      </c>
      <c r="BG20" s="22">
        <f t="shared" si="7"/>
        <v>78.650848767435647</v>
      </c>
      <c r="BH20" s="62">
        <f t="shared" si="8"/>
        <v>356.09529321188012</v>
      </c>
      <c r="BI20" s="62">
        <f ca="1">AVERAGE(OFFSET($BH$3,0,0,'Données projet'!$E$11+1,1))-AVERAGE(OFFSET($H$3,0,0,'Données projet'!$E$11+1,1))</f>
        <v>152.72674713084456</v>
      </c>
      <c r="BJ20" s="62">
        <f t="shared" si="38"/>
        <v>203.90215120562164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0</v>
      </c>
      <c r="BS20" s="24">
        <f t="shared" si="9"/>
        <v>0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3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5.0257584000000008</v>
      </c>
      <c r="D21" s="12">
        <f t="shared" si="32"/>
        <v>1.9192599685667087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16.833749785985557</v>
      </c>
      <c r="H21" s="70">
        <f t="shared" si="1"/>
        <v>268.76257365858703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2.1</v>
      </c>
      <c r="N21" s="14">
        <f>IF('Données projet'!$A$36&gt;35,N20+M21-V20,IF(A21&lt;'Données projet'!$A$36,$K$205^A21,IF(A21='Données projet'!$A$36,'Données projet'!$B$36,N20+M21-V20)))</f>
        <v>28.901764726506816</v>
      </c>
      <c r="O21" s="14">
        <f>N21*VLOOKUP('Données projet'!$B$9,Paramètres!$A$1:$I$89,3,0)*VLOOKUP('Données projet'!$B$9,Paramètres!$A$1:$I$89,5,0)</f>
        <v>26.150316724543362</v>
      </c>
      <c r="P21" s="14">
        <f t="shared" si="33"/>
        <v>8.2420396752158016</v>
      </c>
      <c r="Q21" s="22">
        <f t="shared" si="2"/>
        <v>59.900020729580547</v>
      </c>
      <c r="R21" s="62">
        <f t="shared" si="0"/>
        <v>338.56668739624723</v>
      </c>
      <c r="S21" s="62">
        <f ca="1">AVERAGE(OFFSET($R$3,0,0,'Données projet'!$E$9+1,1))-AVERAGE(OFFSET($H$3,0,0,'Données projet'!$E$9+1,1))</f>
        <v>327.25473597900725</v>
      </c>
      <c r="T21" s="62">
        <f t="shared" si="34"/>
        <v>211.5313580973322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2.1</v>
      </c>
      <c r="AI21" s="14">
        <f>IF('Données projet'!$A$62&gt;35,AI20+AH21-AQ20,IF(A21&lt;'Données projet'!$A$62,$AF$205^A21,IF(A21='Données projet'!$A$62,'Données projet'!$B$62,AI20+AH21-AQ20)))</f>
        <v>28.901764726506816</v>
      </c>
      <c r="AJ21" s="14">
        <f>AI21*VLOOKUP('Données projet'!$B$10,Paramètres!$A$1:$I$89,3,0)*VLOOKUP('Données projet'!$B$10,Paramètres!$A$1:$I$89,5,0)</f>
        <v>29.306389432677911</v>
      </c>
      <c r="AK21" s="14">
        <f t="shared" si="35"/>
        <v>9.1150691477493808</v>
      </c>
      <c r="AL21" s="22">
        <f t="shared" si="4"/>
        <v>66.917373694244205</v>
      </c>
      <c r="AM21" s="62">
        <f t="shared" si="5"/>
        <v>345.58404036091088</v>
      </c>
      <c r="AN21" s="62">
        <f ca="1">AVERAGE(OFFSET($AM$3,0,0,'Données projet'!$E$10+1,1))-AVERAGE(OFFSET($H$3,0,0,'Données projet'!$E$10+1,1))</f>
        <v>366.41072413829329</v>
      </c>
      <c r="AO21" s="62">
        <f t="shared" si="36"/>
        <v>234.41212418619125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7.9</v>
      </c>
      <c r="BD21" s="13">
        <f>IF('Données projet'!$A$88&gt;35,BD20+BC21-BL20,IF(A21&lt;'Données projet'!$A$88,$BA$205^A21,IF(A21='Données projet'!$A$88,'Données projet'!$B$88,BD20+BC21-BL20)))</f>
        <v>95.233857990035276</v>
      </c>
      <c r="BE21" s="14">
        <f>BD21*VLOOKUP('Données projet'!$B$11,Paramètres!$A$1:$I$89,3,0)*VLOOKUP('Données projet'!$B$11,Paramètres!$A$1:$I$89,5,0)</f>
        <v>44.569445539336513</v>
      </c>
      <c r="BF21" s="14">
        <f t="shared" si="37"/>
        <v>13.202049673437019</v>
      </c>
      <c r="BG21" s="22">
        <f t="shared" si="7"/>
        <v>100.61868749558056</v>
      </c>
      <c r="BH21" s="62">
        <f t="shared" si="8"/>
        <v>379.28535416224724</v>
      </c>
      <c r="BI21" s="62">
        <f ca="1">AVERAGE(OFFSET($BH$3,0,0,'Données projet'!$E$11+1,1))-AVERAGE(OFFSET($H$3,0,0,'Données projet'!$E$11+1,1))</f>
        <v>152.72674713084456</v>
      </c>
      <c r="BJ21" s="62">
        <f t="shared" si="38"/>
        <v>203.90215120562164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0</v>
      </c>
      <c r="BS21" s="24">
        <f t="shared" si="9"/>
        <v>0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3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5.304967200000001</v>
      </c>
      <c r="D22" s="12">
        <f t="shared" si="32"/>
        <v>2.0131758004697318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17.738151525349092</v>
      </c>
      <c r="H22" s="70">
        <f t="shared" si="1"/>
        <v>269.41243239248479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2.1</v>
      </c>
      <c r="N22" s="14">
        <f>IF('Données projet'!$A$36&gt;35,N21+M22-V21,IF(A22&lt;'Données projet'!$A$36,$K$205^A22,IF(A22='Données projet'!$A$36,'Données projet'!$B$36,N21+M22-V21)))</f>
        <v>34.840696297767764</v>
      </c>
      <c r="O22" s="14">
        <f>N22*VLOOKUP('Données projet'!$B$9,Paramètres!$A$1:$I$89,3,0)*VLOOKUP('Données projet'!$B$9,Paramètres!$A$1:$I$89,5,0)</f>
        <v>31.52386201022027</v>
      </c>
      <c r="P22" s="14">
        <f t="shared" si="33"/>
        <v>9.7218710074397983</v>
      </c>
      <c r="Q22" s="22">
        <f t="shared" si="2"/>
        <v>71.836318339091292</v>
      </c>
      <c r="R22" s="62">
        <f t="shared" si="0"/>
        <v>351.72520722798015</v>
      </c>
      <c r="S22" s="62">
        <f ca="1">AVERAGE(OFFSET($R$3,0,0,'Données projet'!$E$9+1,1))-AVERAGE(OFFSET($H$3,0,0,'Données projet'!$E$9+1,1))</f>
        <v>327.25473597900725</v>
      </c>
      <c r="T22" s="62">
        <f t="shared" si="34"/>
        <v>211.5313580973322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2.1</v>
      </c>
      <c r="AI22" s="14">
        <f>IF('Données projet'!$A$62&gt;35,AI21+AH22-AQ21,IF(A22&lt;'Données projet'!$A$62,$AF$205^A22,IF(A22='Données projet'!$A$62,'Données projet'!$B$62,AI21+AH22-AQ21)))</f>
        <v>34.840696297767764</v>
      </c>
      <c r="AJ22" s="14">
        <f>AI22*VLOOKUP('Données projet'!$B$10,Paramètres!$A$1:$I$89,3,0)*VLOOKUP('Données projet'!$B$10,Paramètres!$A$1:$I$89,5,0)</f>
        <v>35.328466045936516</v>
      </c>
      <c r="AK22" s="14">
        <f t="shared" si="35"/>
        <v>10.751650073316766</v>
      </c>
      <c r="AL22" s="22">
        <f t="shared" si="4"/>
        <v>80.256202241032796</v>
      </c>
      <c r="AM22" s="62">
        <f t="shared" si="5"/>
        <v>360.14509112992164</v>
      </c>
      <c r="AN22" s="62">
        <f ca="1">AVERAGE(OFFSET($AM$3,0,0,'Données projet'!$E$10+1,1))-AVERAGE(OFFSET($H$3,0,0,'Données projet'!$E$10+1,1))</f>
        <v>366.41072413829329</v>
      </c>
      <c r="AO22" s="62">
        <f t="shared" si="36"/>
        <v>234.41212418619125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7.9</v>
      </c>
      <c r="BD22" s="13">
        <f>IF('Données projet'!$A$88&gt;35,BD21+BC22-BL21,IF(A22&lt;'Données projet'!$A$88,$BA$205^A22,IF(A22='Données projet'!$A$88,'Données projet'!$B$88,BD21+BC22-BL21)))</f>
        <v>122.66600817840934</v>
      </c>
      <c r="BE22" s="14">
        <f>BD22*VLOOKUP('Données projet'!$B$11,Paramètres!$A$1:$I$89,3,0)*VLOOKUP('Données projet'!$B$11,Paramètres!$A$1:$I$89,5,0)</f>
        <v>57.407691827495569</v>
      </c>
      <c r="BF22" s="14">
        <f t="shared" si="37"/>
        <v>16.511176981334152</v>
      </c>
      <c r="BG22" s="22">
        <f t="shared" si="7"/>
        <v>128.7420298420451</v>
      </c>
      <c r="BH22" s="62">
        <f t="shared" si="8"/>
        <v>408.63091873093396</v>
      </c>
      <c r="BI22" s="62">
        <f ca="1">AVERAGE(OFFSET($BH$3,0,0,'Données projet'!$E$11+1,1))-AVERAGE(OFFSET($H$3,0,0,'Données projet'!$E$11+1,1))</f>
        <v>152.72674713084456</v>
      </c>
      <c r="BJ22" s="62">
        <f t="shared" si="38"/>
        <v>203.90215120562164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0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0</v>
      </c>
      <c r="BS22" s="24">
        <f t="shared" si="9"/>
        <v>0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3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5.5841760000000011</v>
      </c>
      <c r="D23" s="12">
        <f t="shared" si="32"/>
        <v>2.1065177534491815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18.641162262746299</v>
      </c>
      <c r="H23" s="70">
        <f t="shared" si="1"/>
        <v>270.06129162059068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>
        <f>VLOOKUP(A23,'Données projet'!$A$35:$I$55,2,0)</f>
        <v>42</v>
      </c>
      <c r="L23" s="13">
        <f>VLOOKUP(A23,'Données projet'!$A$35:$I$55,9,0)</f>
        <v>2.1</v>
      </c>
      <c r="M23" s="13">
        <f t="array" ref="M23">INDEX(L:L,MIN(IF(ISNUMBER(L23:L219),ROW(L23:L219),"")))</f>
        <v>2.1</v>
      </c>
      <c r="N23" s="14">
        <f>IF('Données projet'!$A$36&gt;35,N22+M23-V22,IF(A23&lt;'Données projet'!$A$36,$K$205^A23,IF(A23='Données projet'!$A$36,'Données projet'!$B$36,N22+M23-V22)))</f>
        <v>42</v>
      </c>
      <c r="O23" s="14">
        <f>N23*VLOOKUP('Données projet'!$B$9,Paramètres!$A$1:$I$89,3,0)*VLOOKUP('Données projet'!$B$9,Paramètres!$A$1:$I$89,5,0)</f>
        <v>38.001600000000003</v>
      </c>
      <c r="P23" s="14">
        <f t="shared" si="33"/>
        <v>11.467401227090512</v>
      </c>
      <c r="Q23" s="22">
        <f t="shared" si="2"/>
        <v>86.158510470515978</v>
      </c>
      <c r="R23" s="62">
        <f t="shared" si="0"/>
        <v>367.26962158162712</v>
      </c>
      <c r="S23" s="62">
        <f ca="1">AVERAGE(OFFSET($R$3,0,0,'Données projet'!$E$9+1,1))-AVERAGE(OFFSET($H$3,0,0,'Données projet'!$E$9+1,1))</f>
        <v>327.25473597900725</v>
      </c>
      <c r="T23" s="62">
        <f t="shared" si="34"/>
        <v>211.5313580973322</v>
      </c>
      <c r="U23" s="16">
        <f>IF(ISNA(VLOOKUP(A23,'Données projet'!$A$35:$I$55,3,0)),0,VLOOKUP(A23,'Données projet'!$A$35:$I$55,3,0))</f>
        <v>1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>
        <f>VLOOKUP(A23,'Données projet'!$A$61:$I$81,2,0)</f>
        <v>42</v>
      </c>
      <c r="AG23" s="13">
        <f>VLOOKUP(A23,'Données projet'!$A$61:$I$81,9,0)</f>
        <v>2.1</v>
      </c>
      <c r="AH23" s="13">
        <f t="array" ref="AH23">INDEX(AG:AG,MIN(IF(ISNUMBER(AG23:AG219),ROW(AG23:AG219),"")))</f>
        <v>2.1</v>
      </c>
      <c r="AI23" s="14">
        <f>IF('Données projet'!$A$62&gt;35,AI22+AH23-AQ22,IF(A23&lt;'Données projet'!$A$62,$AF$205^A23,IF(A23='Données projet'!$A$62,'Données projet'!$B$62,AI22+AH23-AQ22)))</f>
        <v>42</v>
      </c>
      <c r="AJ23" s="14">
        <f>AI23*VLOOKUP('Données projet'!$B$10,Paramètres!$A$1:$I$89,3,0)*VLOOKUP('Données projet'!$B$10,Paramètres!$A$1:$I$89,5,0)</f>
        <v>42.588000000000001</v>
      </c>
      <c r="AK23" s="14">
        <f t="shared" si="35"/>
        <v>12.682073764365764</v>
      </c>
      <c r="AL23" s="22">
        <f t="shared" si="4"/>
        <v>96.262045139603686</v>
      </c>
      <c r="AM23" s="62">
        <f t="shared" si="5"/>
        <v>377.37315625071483</v>
      </c>
      <c r="AN23" s="62">
        <f ca="1">AVERAGE(OFFSET($AM$3,0,0,'Données projet'!$E$10+1,1))-AVERAGE(OFFSET($H$3,0,0,'Données projet'!$E$10+1,1))</f>
        <v>366.41072413829329</v>
      </c>
      <c r="AO23" s="62">
        <f t="shared" si="36"/>
        <v>234.41212418619125</v>
      </c>
      <c r="AP23" s="16">
        <f>IF(ISNA(VLOOKUP(A23,'Données projet'!$A$61:$I$81,3,0)),0,VLOOKUP(A23,'Données projet'!$A$61:$I$81,3,0))</f>
        <v>1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0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>
        <f>VLOOKUP(A23,'Données projet'!$A$87:$I$107,2,0)</f>
        <v>158</v>
      </c>
      <c r="BB23" s="13">
        <f>VLOOKUP(A23,'Données projet'!$A$87:$I$107,9,0)</f>
        <v>7.9</v>
      </c>
      <c r="BC23" s="13">
        <f t="array" ref="BC23">INDEX(BB:BB,MIN(IF(ISNUMBER(BB23:BB219),ROW(BB23:BB219),"")))</f>
        <v>7.9</v>
      </c>
      <c r="BD23" s="13">
        <f>IF('Données projet'!$A$88&gt;35,BD22+BC23-BL22,IF(A23&lt;'Données projet'!$A$88,$BA$205^A23,IF(A23='Données projet'!$A$88,'Données projet'!$B$88,BD22+BC23-BL22)))</f>
        <v>158</v>
      </c>
      <c r="BE23" s="14">
        <f>BD23*VLOOKUP('Données projet'!$B$11,Paramètres!$A$1:$I$89,3,0)*VLOOKUP('Données projet'!$B$11,Paramètres!$A$1:$I$89,5,0)</f>
        <v>73.944000000000003</v>
      </c>
      <c r="BF23" s="14">
        <f t="shared" si="37"/>
        <v>20.649745460165708</v>
      </c>
      <c r="BG23" s="22">
        <f t="shared" si="7"/>
        <v>164.75077334312192</v>
      </c>
      <c r="BH23" s="62">
        <f t="shared" si="8"/>
        <v>445.86188445423306</v>
      </c>
      <c r="BI23" s="62">
        <f ca="1">AVERAGE(OFFSET($BH$3,0,0,'Données projet'!$E$11+1,1))-AVERAGE(OFFSET($H$3,0,0,'Données projet'!$E$11+1,1))</f>
        <v>152.72674713084456</v>
      </c>
      <c r="BJ23" s="62">
        <f t="shared" si="38"/>
        <v>203.90215120562164</v>
      </c>
      <c r="BK23" s="16">
        <f>IF(ISNA(VLOOKUP(A23,'Données projet'!$A$87:$I$107,3,0)),0,VLOOKUP(A23,'Données projet'!$A$87:$I$107,3,0))</f>
        <v>1</v>
      </c>
      <c r="BL23" s="16">
        <f>IF(ISNA(VLOOKUP(A23,'Données projet'!$A$87:$I$107,4,0)),0,VLOOKUP(A23,'Données projet'!$A$87:$I$107,4,0))</f>
        <v>35</v>
      </c>
      <c r="BM23" s="17">
        <f>IF(ISNA(VLOOKUP(A23,'Données projet'!$A$87:$I$107,5,0)),0%,VLOOKUP(A23,'Données projet'!$A$87:$I$107,5,0)*VLOOKUP('Données projet'!$B$11,Paramètres!$A$1:$I$89,7,0))</f>
        <v>0.11000000000000001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0.8</v>
      </c>
      <c r="BP23" s="23">
        <f>EXP(-LN(2)/35)*BP22+(1-EXP(-LN(2)/35))/(LN(2)/35)*BL23*BM23*VLOOKUP('Données projet'!$B$11,Paramètres!$A$1:$I$89,3,0)*0.475*44/12</f>
        <v>2.3902038358109636</v>
      </c>
      <c r="BQ23" s="23">
        <f>EXP(-LN(2)/25)*BQ22+(1-EXP(-LN(2)/25))/(LN(2)/25)*Calculateur!BL23*Calculateur!BN23*VLOOKUP('Données projet'!$B$11,Paramètres!$A$1:$I$89,3,0)*0.475*44/12</f>
        <v>0</v>
      </c>
      <c r="BR23" s="23">
        <f>EXP(-LN(2)/2)*BR22+(1-EXP(-LN(2)/2))/(LN(2)/2)*BL23*BO23*VLOOKUP('Données projet'!$B$11,Paramètres!$A$1:$I$89,3,0)*0.475*44/12</f>
        <v>14.836772026786809</v>
      </c>
      <c r="BS23" s="24">
        <f t="shared" si="9"/>
        <v>17.226975862597772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3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5.8633848000000013</v>
      </c>
      <c r="D24" s="12">
        <f t="shared" si="32"/>
        <v>2.1993177956704795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19.542859484523397</v>
      </c>
      <c r="H24" s="70">
        <f t="shared" si="1"/>
        <v>270.70920702079275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5.6</v>
      </c>
      <c r="N24" s="14">
        <f>IF('Données projet'!$A$36&gt;35,N23+M24-V23,IF(A24&lt;'Données projet'!$A$36,$K$205^A24,IF(A24='Données projet'!$A$36,'Données projet'!$B$36,N23+M24-V23)))</f>
        <v>47.6</v>
      </c>
      <c r="O24" s="14">
        <f>N24*VLOOKUP('Données projet'!$B$9,Paramètres!$A$1:$I$89,3,0)*VLOOKUP('Données projet'!$B$9,Paramètres!$A$1:$I$89,5,0)</f>
        <v>43.068480000000001</v>
      </c>
      <c r="P24" s="14">
        <f t="shared" si="33"/>
        <v>12.808416415102187</v>
      </c>
      <c r="Q24" s="22">
        <f t="shared" si="2"/>
        <v>97.318927922969635</v>
      </c>
      <c r="R24" s="62">
        <f t="shared" si="0"/>
        <v>379.65226125630295</v>
      </c>
      <c r="S24" s="62">
        <f ca="1">AVERAGE(OFFSET($R$3,0,0,'Données projet'!$E$9+1,1))-AVERAGE(OFFSET($H$3,0,0,'Données projet'!$E$9+1,1))</f>
        <v>327.25473597900725</v>
      </c>
      <c r="T24" s="62">
        <f t="shared" si="34"/>
        <v>211.5313580973322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5.6</v>
      </c>
      <c r="AI24" s="14">
        <f>IF('Données projet'!$A$62&gt;35,AI23+AH24-AQ23,IF(A24&lt;'Données projet'!$A$62,$AF$205^A24,IF(A24='Données projet'!$A$62,'Données projet'!$B$62,AI23+AH24-AQ23)))</f>
        <v>47.6</v>
      </c>
      <c r="AJ24" s="14">
        <f>AI24*VLOOKUP('Données projet'!$B$10,Paramètres!$A$1:$I$89,3,0)*VLOOKUP('Données projet'!$B$10,Paramètres!$A$1:$I$89,5,0)</f>
        <v>48.266400000000004</v>
      </c>
      <c r="AK24" s="14">
        <f t="shared" si="35"/>
        <v>14.165134590154434</v>
      </c>
      <c r="AL24" s="22">
        <f t="shared" si="4"/>
        <v>108.73492274451898</v>
      </c>
      <c r="AM24" s="62">
        <f t="shared" si="5"/>
        <v>391.06825607785231</v>
      </c>
      <c r="AN24" s="62">
        <f ca="1">AVERAGE(OFFSET($AM$3,0,0,'Données projet'!$E$10+1,1))-AVERAGE(OFFSET($H$3,0,0,'Données projet'!$E$10+1,1))</f>
        <v>366.41072413829329</v>
      </c>
      <c r="AO24" s="62">
        <f t="shared" si="36"/>
        <v>234.41212418619125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0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9.1999999999999993</v>
      </c>
      <c r="BD24" s="13">
        <f>IF('Données projet'!$A$88&gt;35,BD23+BC24-BL23,IF(A24&lt;'Données projet'!$A$88,$BA$205^A24,IF(A24='Données projet'!$A$88,'Données projet'!$B$88,BD23+BC24-BL23)))</f>
        <v>132.19999999999999</v>
      </c>
      <c r="BE24" s="14">
        <f>BD24*VLOOKUP('Données projet'!$B$11,Paramètres!$A$1:$I$89,3,0)*VLOOKUP('Données projet'!$B$11,Paramètres!$A$1:$I$89,5,0)</f>
        <v>61.869599999999991</v>
      </c>
      <c r="BF24" s="14">
        <f t="shared" si="37"/>
        <v>17.640115095232353</v>
      </c>
      <c r="BG24" s="22">
        <f t="shared" si="7"/>
        <v>138.47942045752964</v>
      </c>
      <c r="BH24" s="62">
        <f t="shared" si="8"/>
        <v>420.81275379086298</v>
      </c>
      <c r="BI24" s="62">
        <f ca="1">AVERAGE(OFFSET($BH$3,0,0,'Données projet'!$E$11+1,1))-AVERAGE(OFFSET($H$3,0,0,'Données projet'!$E$11+1,1))</f>
        <v>152.72674713084456</v>
      </c>
      <c r="BJ24" s="62">
        <f t="shared" si="38"/>
        <v>203.90215120562164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2.3433333964710967</v>
      </c>
      <c r="BQ24" s="23">
        <f>EXP(-LN(2)/25)*BQ23+(1-EXP(-LN(2)/25))/(LN(2)/25)*Calculateur!BL24*Calculateur!BN24*VLOOKUP('Données projet'!$B$11,Paramètres!$A$1:$I$89,3,0)*0.475*44/12</f>
        <v>0</v>
      </c>
      <c r="BR24" s="23">
        <f>EXP(-LN(2)/2)*BR23+(1-EXP(-LN(2)/2))/(LN(2)/2)*BL24*BO24*VLOOKUP('Données projet'!$B$11,Paramètres!$A$1:$I$89,3,0)*0.475*44/12</f>
        <v>10.49118211105983</v>
      </c>
      <c r="BS24" s="24">
        <f t="shared" si="9"/>
        <v>12.834515507530927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3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6.1425936000000014</v>
      </c>
      <c r="D25" s="12">
        <f t="shared" si="32"/>
        <v>2.2916046786755433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20.443312880382688</v>
      </c>
      <c r="H25" s="70">
        <f t="shared" si="1"/>
        <v>271.35622866869323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5.6</v>
      </c>
      <c r="N25" s="14">
        <f>IF('Données projet'!$A$36&gt;35,N24+M25-V24,IF(A25&lt;'Données projet'!$A$36,$K$205^A25,IF(A25='Données projet'!$A$36,'Données projet'!$B$36,N24+M25-V24)))</f>
        <v>53.2</v>
      </c>
      <c r="O25" s="14">
        <f>N25*VLOOKUP('Données projet'!$B$9,Paramètres!$A$1:$I$89,3,0)*VLOOKUP('Données projet'!$B$9,Paramètres!$A$1:$I$89,5,0)</f>
        <v>48.135359999999999</v>
      </c>
      <c r="P25" s="14">
        <f t="shared" si="33"/>
        <v>14.131148275361113</v>
      </c>
      <c r="Q25" s="22">
        <f t="shared" si="2"/>
        <v>108.4475019129206</v>
      </c>
      <c r="R25" s="62">
        <f t="shared" si="0"/>
        <v>392.00305746847613</v>
      </c>
      <c r="S25" s="62">
        <f ca="1">AVERAGE(OFFSET($R$3,0,0,'Données projet'!$E$9+1,1))-AVERAGE(OFFSET($H$3,0,0,'Données projet'!$E$9+1,1))</f>
        <v>327.25473597900725</v>
      </c>
      <c r="T25" s="62">
        <f t="shared" si="34"/>
        <v>211.5313580973322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5.6</v>
      </c>
      <c r="AI25" s="14">
        <f>IF('Données projet'!$A$62&gt;35,AI24+AH25-AQ24,IF(A25&lt;'Données projet'!$A$62,$AF$205^A25,IF(A25='Données projet'!$A$62,'Données projet'!$B$62,AI24+AH25-AQ24)))</f>
        <v>53.2</v>
      </c>
      <c r="AJ25" s="14">
        <f>AI25*VLOOKUP('Données projet'!$B$10,Paramètres!$A$1:$I$89,3,0)*VLOOKUP('Données projet'!$B$10,Paramètres!$A$1:$I$89,5,0)</f>
        <v>53.944800000000008</v>
      </c>
      <c r="AK25" s="14">
        <f t="shared" si="35"/>
        <v>15.627975445731321</v>
      </c>
      <c r="AL25" s="22">
        <f t="shared" si="4"/>
        <v>121.17258390131538</v>
      </c>
      <c r="AM25" s="62">
        <f t="shared" si="5"/>
        <v>404.72813945687091</v>
      </c>
      <c r="AN25" s="62">
        <f ca="1">AVERAGE(OFFSET($AM$3,0,0,'Données projet'!$E$10+1,1))-AVERAGE(OFFSET($H$3,0,0,'Données projet'!$E$10+1,1))</f>
        <v>366.41072413829329</v>
      </c>
      <c r="AO25" s="62">
        <f t="shared" si="36"/>
        <v>234.41212418619125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0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9.1999999999999993</v>
      </c>
      <c r="BD25" s="13">
        <f>IF('Données projet'!$A$88&gt;35,BD24+BC25-BL24,IF(A25&lt;'Données projet'!$A$88,$BA$205^A25,IF(A25='Données projet'!$A$88,'Données projet'!$B$88,BD24+BC25-BL24)))</f>
        <v>141.39999999999998</v>
      </c>
      <c r="BE25" s="14">
        <f>BD25*VLOOKUP('Données projet'!$B$11,Paramètres!$A$1:$I$89,3,0)*VLOOKUP('Données projet'!$B$11,Paramètres!$A$1:$I$89,5,0)</f>
        <v>66.17519999999999</v>
      </c>
      <c r="BF25" s="14">
        <f t="shared" si="37"/>
        <v>18.720541159483023</v>
      </c>
      <c r="BG25" s="22">
        <f t="shared" si="7"/>
        <v>147.86008251943289</v>
      </c>
      <c r="BH25" s="62">
        <f t="shared" si="8"/>
        <v>431.41563807498846</v>
      </c>
      <c r="BI25" s="62">
        <f ca="1">AVERAGE(OFFSET($BH$3,0,0,'Données projet'!$E$11+1,1))-AVERAGE(OFFSET($H$3,0,0,'Données projet'!$E$11+1,1))</f>
        <v>152.72674713084456</v>
      </c>
      <c r="BJ25" s="62">
        <f t="shared" si="38"/>
        <v>203.90215120562164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2.2973820578585396</v>
      </c>
      <c r="BQ25" s="23">
        <f>EXP(-LN(2)/25)*BQ24+(1-EXP(-LN(2)/25))/(LN(2)/25)*Calculateur!BL25*Calculateur!BN25*VLOOKUP('Données projet'!$B$11,Paramètres!$A$1:$I$89,3,0)*0.475*44/12</f>
        <v>0</v>
      </c>
      <c r="BR25" s="23">
        <f>EXP(-LN(2)/2)*BR24+(1-EXP(-LN(2)/2))/(LN(2)/2)*BL25*BO25*VLOOKUP('Données projet'!$B$11,Paramètres!$A$1:$I$89,3,0)*0.475*44/12</f>
        <v>7.4183860133934054</v>
      </c>
      <c r="BS25" s="24">
        <f t="shared" si="9"/>
        <v>9.7157680712519454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3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6.4218024000000016</v>
      </c>
      <c r="D26" s="12">
        <f t="shared" si="32"/>
        <v>2.38340439248271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21.3425854464809</v>
      </c>
      <c r="H26" s="70">
        <f t="shared" si="1"/>
        <v>272.00240183024073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5.6</v>
      </c>
      <c r="N26" s="14">
        <f>IF('Données projet'!$A$36&gt;35,N25+M26-V25,IF(A26&lt;'Données projet'!$A$36,$K$205^A26,IF(A26='Données projet'!$A$36,'Données projet'!$B$36,N25+M26-V25)))</f>
        <v>58.800000000000004</v>
      </c>
      <c r="O26" s="14">
        <f>N26*VLOOKUP('Données projet'!$B$9,Paramètres!$A$1:$I$89,3,0)*VLOOKUP('Données projet'!$B$9,Paramètres!$A$1:$I$89,5,0)</f>
        <v>53.202240000000003</v>
      </c>
      <c r="P26" s="14">
        <f t="shared" si="33"/>
        <v>15.437740642425908</v>
      </c>
      <c r="Q26" s="22">
        <f t="shared" si="2"/>
        <v>119.54796628555846</v>
      </c>
      <c r="R26" s="62">
        <f t="shared" si="0"/>
        <v>404.32574406333623</v>
      </c>
      <c r="S26" s="62">
        <f ca="1">AVERAGE(OFFSET($R$3,0,0,'Données projet'!$E$9+1,1))-AVERAGE(OFFSET($H$3,0,0,'Données projet'!$E$9+1,1))</f>
        <v>327.25473597900725</v>
      </c>
      <c r="T26" s="62">
        <f t="shared" si="34"/>
        <v>211.5313580973322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5.6</v>
      </c>
      <c r="AI26" s="14">
        <f>IF('Données projet'!$A$62&gt;35,AI25+AH26-AQ25,IF(A26&lt;'Données projet'!$A$62,$AF$205^A26,IF(A26='Données projet'!$A$62,'Données projet'!$B$62,AI25+AH26-AQ25)))</f>
        <v>58.800000000000004</v>
      </c>
      <c r="AJ26" s="14">
        <f>AI26*VLOOKUP('Données projet'!$B$10,Paramètres!$A$1:$I$89,3,0)*VLOOKUP('Données projet'!$B$10,Paramètres!$A$1:$I$89,5,0)</f>
        <v>59.623200000000011</v>
      </c>
      <c r="AK26" s="14">
        <f t="shared" si="35"/>
        <v>17.072967249098898</v>
      </c>
      <c r="AL26" s="22">
        <f t="shared" si="4"/>
        <v>133.57915795884725</v>
      </c>
      <c r="AM26" s="62">
        <f t="shared" si="5"/>
        <v>418.35693573662502</v>
      </c>
      <c r="AN26" s="62">
        <f ca="1">AVERAGE(OFFSET($AM$3,0,0,'Données projet'!$E$10+1,1))-AVERAGE(OFFSET($H$3,0,0,'Données projet'!$E$10+1,1))</f>
        <v>366.41072413829329</v>
      </c>
      <c r="AO26" s="62">
        <f t="shared" si="36"/>
        <v>234.41212418619125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0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9.1999999999999993</v>
      </c>
      <c r="BD26" s="13">
        <f>IF('Données projet'!$A$88&gt;35,BD25+BC26-BL25,IF(A26&lt;'Données projet'!$A$88,$BA$205^A26,IF(A26='Données projet'!$A$88,'Données projet'!$B$88,BD25+BC26-BL25)))</f>
        <v>150.59999999999997</v>
      </c>
      <c r="BE26" s="14">
        <f>BD26*VLOOKUP('Données projet'!$B$11,Paramètres!$A$1:$I$89,3,0)*VLOOKUP('Données projet'!$B$11,Paramètres!$A$1:$I$89,5,0)</f>
        <v>70.480799999999988</v>
      </c>
      <c r="BF26" s="14">
        <f t="shared" si="37"/>
        <v>19.792809548371892</v>
      </c>
      <c r="BG26" s="22">
        <f t="shared" si="7"/>
        <v>157.226536630081</v>
      </c>
      <c r="BH26" s="62">
        <f t="shared" si="8"/>
        <v>442.00431440785877</v>
      </c>
      <c r="BI26" s="62">
        <f ca="1">AVERAGE(OFFSET($BH$3,0,0,'Données projet'!$E$11+1,1))-AVERAGE(OFFSET($H$3,0,0,'Données projet'!$E$11+1,1))</f>
        <v>152.72674713084456</v>
      </c>
      <c r="BJ26" s="62">
        <f t="shared" si="38"/>
        <v>203.90215120562164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2.2523317969686256</v>
      </c>
      <c r="BQ26" s="23">
        <f>EXP(-LN(2)/25)*BQ25+(1-EXP(-LN(2)/25))/(LN(2)/25)*Calculateur!BL26*Calculateur!BN26*VLOOKUP('Données projet'!$B$11,Paramètres!$A$1:$I$89,3,0)*0.475*44/12</f>
        <v>0</v>
      </c>
      <c r="BR26" s="23">
        <f>EXP(-LN(2)/2)*BR25+(1-EXP(-LN(2)/2))/(LN(2)/2)*BL26*BO26*VLOOKUP('Données projet'!$B$11,Paramètres!$A$1:$I$89,3,0)*0.475*44/12</f>
        <v>5.2455910555299159</v>
      </c>
      <c r="BS26" s="24">
        <f t="shared" si="9"/>
        <v>7.497922852498542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3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6.7010112000000017</v>
      </c>
      <c r="D27" s="12">
        <f t="shared" si="32"/>
        <v>2.4747405393055302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22.240734391271094</v>
      </c>
      <c r="H27" s="70">
        <f t="shared" si="1"/>
        <v>272.6477676126238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5.6</v>
      </c>
      <c r="N27" s="14">
        <f>IF('Données projet'!$A$36&gt;35,N26+M27-V26,IF(A27&lt;'Données projet'!$A$36,$K$205^A27,IF(A27='Données projet'!$A$36,'Données projet'!$B$36,N26+M27-V26)))</f>
        <v>64.400000000000006</v>
      </c>
      <c r="O27" s="14">
        <f>N27*VLOOKUP('Données projet'!$B$9,Paramètres!$A$1:$I$89,3,0)*VLOOKUP('Données projet'!$B$9,Paramètres!$A$1:$I$89,5,0)</f>
        <v>58.269120000000008</v>
      </c>
      <c r="P27" s="14">
        <f t="shared" si="33"/>
        <v>16.729905486873804</v>
      </c>
      <c r="Q27" s="22">
        <f t="shared" si="2"/>
        <v>130.62330272297189</v>
      </c>
      <c r="R27" s="62">
        <f t="shared" si="0"/>
        <v>416.62330272297186</v>
      </c>
      <c r="S27" s="62">
        <f ca="1">AVERAGE(OFFSET($R$3,0,0,'Données projet'!$E$9+1,1))-AVERAGE(OFFSET($H$3,0,0,'Données projet'!$E$9+1,1))</f>
        <v>327.25473597900725</v>
      </c>
      <c r="T27" s="62">
        <f t="shared" si="34"/>
        <v>211.5313580973322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5.6</v>
      </c>
      <c r="AI27" s="14">
        <f>IF('Données projet'!$A$62&gt;35,AI26+AH27-AQ26,IF(A27&lt;'Données projet'!$A$62,$AF$205^A27,IF(A27='Données projet'!$A$62,'Données projet'!$B$62,AI26+AH27-AQ26)))</f>
        <v>64.400000000000006</v>
      </c>
      <c r="AJ27" s="14">
        <f>AI27*VLOOKUP('Données projet'!$B$10,Paramètres!$A$1:$I$89,3,0)*VLOOKUP('Données projet'!$B$10,Paramètres!$A$1:$I$89,5,0)</f>
        <v>65.301600000000008</v>
      </c>
      <c r="AK27" s="14">
        <f t="shared" si="35"/>
        <v>18.502003309535596</v>
      </c>
      <c r="AL27" s="22">
        <f t="shared" si="4"/>
        <v>145.95794243077449</v>
      </c>
      <c r="AM27" s="62">
        <f t="shared" si="5"/>
        <v>431.95794243077449</v>
      </c>
      <c r="AN27" s="62">
        <f ca="1">AVERAGE(OFFSET($AM$3,0,0,'Données projet'!$E$10+1,1))-AVERAGE(OFFSET($H$3,0,0,'Données projet'!$E$10+1,1))</f>
        <v>366.41072413829329</v>
      </c>
      <c r="AO27" s="62">
        <f t="shared" si="36"/>
        <v>234.41212418619125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0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9.1999999999999993</v>
      </c>
      <c r="BD27" s="13">
        <f>IF('Données projet'!$A$88&gt;35,BD26+BC27-BL26,IF(A27&lt;'Données projet'!$A$88,$BA$205^A27,IF(A27='Données projet'!$A$88,'Données projet'!$B$88,BD26+BC27-BL26)))</f>
        <v>159.79999999999995</v>
      </c>
      <c r="BE27" s="14">
        <f>BD27*VLOOKUP('Données projet'!$B$11,Paramètres!$A$1:$I$89,3,0)*VLOOKUP('Données projet'!$B$11,Paramètres!$A$1:$I$89,5,0)</f>
        <v>74.786399999999986</v>
      </c>
      <c r="BF27" s="14">
        <f t="shared" si="37"/>
        <v>20.857475351088951</v>
      </c>
      <c r="BG27" s="22">
        <f t="shared" si="7"/>
        <v>166.57974956981323</v>
      </c>
      <c r="BH27" s="62">
        <f t="shared" si="8"/>
        <v>452.5797495698132</v>
      </c>
      <c r="BI27" s="62">
        <f ca="1">AVERAGE(OFFSET($BH$3,0,0,'Données projet'!$E$11+1,1))-AVERAGE(OFFSET($H$3,0,0,'Données projet'!$E$11+1,1))</f>
        <v>152.72674713084456</v>
      </c>
      <c r="BJ27" s="62">
        <f t="shared" si="38"/>
        <v>203.90215120562164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2.2081649442168167</v>
      </c>
      <c r="BQ27" s="23">
        <f>EXP(-LN(2)/25)*BQ26+(1-EXP(-LN(2)/25))/(LN(2)/25)*Calculateur!BL27*Calculateur!BN27*VLOOKUP('Données projet'!$B$11,Paramètres!$A$1:$I$89,3,0)*0.475*44/12</f>
        <v>0</v>
      </c>
      <c r="BR27" s="23">
        <f>EXP(-LN(2)/2)*BR26+(1-EXP(-LN(2)/2))/(LN(2)/2)*BL27*BO27*VLOOKUP('Données projet'!$B$11,Paramètres!$A$1:$I$89,3,0)*0.475*44/12</f>
        <v>3.7091930066967032</v>
      </c>
      <c r="BS27" s="24">
        <f t="shared" si="9"/>
        <v>5.9173579509135195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3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6.9802200000000019</v>
      </c>
      <c r="D28" s="12">
        <f t="shared" si="32"/>
        <v>2.5656346432299904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23.137811886116765</v>
      </c>
      <c r="H28" s="70">
        <f t="shared" si="1"/>
        <v>273.29236350362561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>
        <f>VLOOKUP(A28,'Données projet'!$A$35:$I$55,2,0)</f>
        <v>70</v>
      </c>
      <c r="L28" s="13">
        <f>VLOOKUP(A28,'Données projet'!$A$35:$I$55,9,0)</f>
        <v>5.6</v>
      </c>
      <c r="M28" s="13">
        <f t="array" ref="M28">INDEX(L:L,MIN(IF(ISNUMBER(L28:L224),ROW(L28:L224),"")))</f>
        <v>5.6</v>
      </c>
      <c r="N28" s="14">
        <f>IF('Données projet'!$A$36&gt;35,N27+M28-V27,IF(A28&lt;'Données projet'!$A$36,$K$205^A28,IF(A28='Données projet'!$A$36,'Données projet'!$B$36,N27+M28-V27)))</f>
        <v>70</v>
      </c>
      <c r="O28" s="14">
        <f>N28*VLOOKUP('Données projet'!$B$9,Paramètres!$A$1:$I$89,3,0)*VLOOKUP('Données projet'!$B$9,Paramètres!$A$1:$I$89,5,0)</f>
        <v>63.335999999999991</v>
      </c>
      <c r="P28" s="14">
        <f t="shared" si="33"/>
        <v>18.009040022946227</v>
      </c>
      <c r="Q28" s="22">
        <f t="shared" si="2"/>
        <v>141.67594470663133</v>
      </c>
      <c r="R28" s="62">
        <f t="shared" si="0"/>
        <v>428.89816692885358</v>
      </c>
      <c r="S28" s="62">
        <f ca="1">AVERAGE(OFFSET($R$3,0,0,'Données projet'!$E$9+1,1))-AVERAGE(OFFSET($H$3,0,0,'Données projet'!$E$9+1,1))</f>
        <v>327.25473597900725</v>
      </c>
      <c r="T28" s="62">
        <f t="shared" si="34"/>
        <v>211.5313580973322</v>
      </c>
      <c r="U28" s="16">
        <f>IF(ISNA(VLOOKUP(A28,'Données projet'!$A$35:$I$55,3,0)),0,VLOOKUP(A28,'Données projet'!$A$35:$I$55,3,0))</f>
        <v>2</v>
      </c>
      <c r="V28" s="16">
        <f>IF(ISNA(VLOOKUP(A28,'Données projet'!$A$35:$I$55,4,0)),0,VLOOKUP(A28,'Données projet'!$A$35:$I$55,4,0))</f>
        <v>8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0</v>
      </c>
      <c r="AC28" s="24">
        <f t="shared" si="3"/>
        <v>0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>
        <f>VLOOKUP(A28,'Données projet'!$A$61:$I$81,2,0)</f>
        <v>70</v>
      </c>
      <c r="AG28" s="13">
        <f>VLOOKUP(A28,'Données projet'!$A$61:$I$81,9,0)</f>
        <v>5.6</v>
      </c>
      <c r="AH28" s="13">
        <f t="array" ref="AH28">INDEX(AG:AG,MIN(IF(ISNUMBER(AG28:AG224),ROW(AG28:AG224),"")))</f>
        <v>5.6</v>
      </c>
      <c r="AI28" s="14">
        <f>IF('Données projet'!$A$62&gt;35,AI27+AH28-AQ27,IF(A28&lt;'Données projet'!$A$62,$AF$205^A28,IF(A28='Données projet'!$A$62,'Données projet'!$B$62,AI27+AH28-AQ27)))</f>
        <v>70</v>
      </c>
      <c r="AJ28" s="14">
        <f>AI28*VLOOKUP('Données projet'!$B$10,Paramètres!$A$1:$I$89,3,0)*VLOOKUP('Données projet'!$B$10,Paramètres!$A$1:$I$89,5,0)</f>
        <v>70.98</v>
      </c>
      <c r="AK28" s="14">
        <f t="shared" si="35"/>
        <v>19.916628839746853</v>
      </c>
      <c r="AL28" s="22">
        <f t="shared" si="4"/>
        <v>158.31162856255909</v>
      </c>
      <c r="AM28" s="62">
        <f t="shared" si="5"/>
        <v>445.53385078478129</v>
      </c>
      <c r="AN28" s="62">
        <f ca="1">AVERAGE(OFFSET($AM$3,0,0,'Données projet'!$E$10+1,1))-AVERAGE(OFFSET($H$3,0,0,'Données projet'!$E$10+1,1))</f>
        <v>366.41072413829329</v>
      </c>
      <c r="AO28" s="62">
        <f t="shared" si="36"/>
        <v>234.41212418619125</v>
      </c>
      <c r="AP28" s="16">
        <f>IF(ISNA(VLOOKUP(A28,'Données projet'!$A$61:$I$81,3,0)),0,VLOOKUP(A28,'Données projet'!$A$61:$I$81,3,0))</f>
        <v>2</v>
      </c>
      <c r="AQ28" s="16">
        <f>IF(ISNA(VLOOKUP(A28,'Données projet'!$A$61:$I$81,4,0)),0,VLOOKUP(A28,'Données projet'!$A$61:$I$81,4,0))</f>
        <v>8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0</v>
      </c>
      <c r="AX28" s="23">
        <f t="shared" si="6"/>
        <v>0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>
        <f>VLOOKUP(A28,'Données projet'!$A$87:$I$107,2,0)</f>
        <v>169</v>
      </c>
      <c r="BB28" s="13">
        <f>VLOOKUP(A28,'Données projet'!$A$87:$I$107,9,0)</f>
        <v>9.1999999999999993</v>
      </c>
      <c r="BC28" s="13">
        <f t="array" ref="BC28">INDEX(BB:BB,MIN(IF(ISNUMBER(BB28:BB224),ROW(BB28:BB224),"")))</f>
        <v>9.1999999999999993</v>
      </c>
      <c r="BD28" s="13">
        <f>IF('Données projet'!$A$88&gt;35,BD27+BC28-BL27,IF(A28&lt;'Données projet'!$A$88,$BA$205^A28,IF(A28='Données projet'!$A$88,'Données projet'!$B$88,BD27+BC28-BL27)))</f>
        <v>168.99999999999994</v>
      </c>
      <c r="BE28" s="14">
        <f>BD28*VLOOKUP('Données projet'!$B$11,Paramètres!$A$1:$I$89,3,0)*VLOOKUP('Données projet'!$B$11,Paramètres!$A$1:$I$89,5,0)</f>
        <v>79.09199999999997</v>
      </c>
      <c r="BF28" s="14">
        <f t="shared" si="37"/>
        <v>21.915026131449999</v>
      </c>
      <c r="BG28" s="22">
        <f t="shared" si="7"/>
        <v>175.92057051227536</v>
      </c>
      <c r="BH28" s="62">
        <f t="shared" si="8"/>
        <v>463.14279273449756</v>
      </c>
      <c r="BI28" s="62">
        <f ca="1">AVERAGE(OFFSET($BH$3,0,0,'Données projet'!$E$11+1,1))-AVERAGE(OFFSET($H$3,0,0,'Données projet'!$E$11+1,1))</f>
        <v>152.72674713084456</v>
      </c>
      <c r="BJ28" s="62">
        <f t="shared" si="38"/>
        <v>203.90215120562164</v>
      </c>
      <c r="BK28" s="16">
        <f>IF(ISNA(VLOOKUP(A28,'Données projet'!$A$87:$I$107,3,0)),0,VLOOKUP(A28,'Données projet'!$A$87:$I$107,3,0))</f>
        <v>2</v>
      </c>
      <c r="BL28" s="16">
        <f>IF(ISNA(VLOOKUP(A28,'Données projet'!$A$87:$I$107,4,0)),0,VLOOKUP(A28,'Données projet'!$A$87:$I$107,4,0))</f>
        <v>35</v>
      </c>
      <c r="BM28" s="17">
        <f>IF(ISNA(VLOOKUP(A28,'Données projet'!$A$87:$I$107,5,0)),0%,VLOOKUP(A28,'Données projet'!$A$87:$I$107,5,0)*VLOOKUP('Données projet'!$B$11,Paramètres!$A$1:$I$89,7,0))</f>
        <v>0.24750000000000003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0.55000000000000004</v>
      </c>
      <c r="BP28" s="23">
        <f>EXP(-LN(2)/35)*BP27+(1-EXP(-LN(2)/35))/(LN(2)/35)*BL28*BM28*VLOOKUP('Données projet'!$B$11,Paramètres!$A$1:$I$89,3,0)*0.475*44/12</f>
        <v>7.5428228070830192</v>
      </c>
      <c r="BQ28" s="23">
        <f>EXP(-LN(2)/25)*BQ27+(1-EXP(-LN(2)/25))/(LN(2)/25)*Calculateur!BL28*Calculateur!BN28*VLOOKUP('Données projet'!$B$11,Paramètres!$A$1:$I$89,3,0)*0.475*44/12</f>
        <v>0</v>
      </c>
      <c r="BR28" s="23">
        <f>EXP(-LN(2)/2)*BR27+(1-EXP(-LN(2)/2))/(LN(2)/2)*BL28*BO28*VLOOKUP('Données projet'!$B$11,Paramètres!$A$1:$I$89,3,0)*0.475*44/12</f>
        <v>12.82307629618089</v>
      </c>
      <c r="BS28" s="24">
        <f t="shared" si="9"/>
        <v>20.36589910326391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3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7.259428800000002</v>
      </c>
      <c r="D29" s="12">
        <f t="shared" si="32"/>
        <v>2.6561064089486388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24.033865692427089</v>
      </c>
      <c r="H29" s="70">
        <f t="shared" si="1"/>
        <v>273.93622382225226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7</v>
      </c>
      <c r="N29" s="14">
        <f>IF('Données projet'!$A$36&gt;35,N28+M29-V28,IF(A29&lt;'Données projet'!$A$36,$K$205^A29,IF(A29='Données projet'!$A$36,'Données projet'!$B$36,N28+M29-V28)))</f>
        <v>69</v>
      </c>
      <c r="O29" s="14">
        <f>N29*VLOOKUP('Données projet'!$B$9,Paramètres!$A$1:$I$89,3,0)*VLOOKUP('Données projet'!$B$9,Paramètres!$A$1:$I$89,5,0)</f>
        <v>62.431199999999997</v>
      </c>
      <c r="P29" s="14">
        <f t="shared" si="33"/>
        <v>17.781524466058684</v>
      </c>
      <c r="Q29" s="22">
        <f t="shared" si="2"/>
        <v>139.70382844505221</v>
      </c>
      <c r="R29" s="62">
        <f t="shared" si="0"/>
        <v>428.14827288949664</v>
      </c>
      <c r="S29" s="62">
        <f ca="1">AVERAGE(OFFSET($R$3,0,0,'Données projet'!$E$9+1,1))-AVERAGE(OFFSET($H$3,0,0,'Données projet'!$E$9+1,1))</f>
        <v>327.25473597900725</v>
      </c>
      <c r="T29" s="62">
        <f t="shared" si="34"/>
        <v>211.5313580973322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0</v>
      </c>
      <c r="AC29" s="24">
        <f t="shared" si="3"/>
        <v>0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7</v>
      </c>
      <c r="AI29" s="14">
        <f>IF('Données projet'!$A$62&gt;35,AI28+AH29-AQ28,IF(A29&lt;'Données projet'!$A$62,$AF$205^A29,IF(A29='Données projet'!$A$62,'Données projet'!$B$62,AI28+AH29-AQ28)))</f>
        <v>69</v>
      </c>
      <c r="AJ29" s="14">
        <f>AI29*VLOOKUP('Données projet'!$B$10,Paramètres!$A$1:$I$89,3,0)*VLOOKUP('Données projet'!$B$10,Paramètres!$A$1:$I$89,5,0)</f>
        <v>69.966000000000008</v>
      </c>
      <c r="AK29" s="14">
        <f t="shared" si="35"/>
        <v>19.665013934342461</v>
      </c>
      <c r="AL29" s="22">
        <f t="shared" si="4"/>
        <v>156.10734926897979</v>
      </c>
      <c r="AM29" s="62">
        <f t="shared" si="5"/>
        <v>444.55179371342422</v>
      </c>
      <c r="AN29" s="62">
        <f ca="1">AVERAGE(OFFSET($AM$3,0,0,'Données projet'!$E$10+1,1))-AVERAGE(OFFSET($H$3,0,0,'Données projet'!$E$10+1,1))</f>
        <v>366.41072413829329</v>
      </c>
      <c r="AO29" s="62">
        <f t="shared" si="36"/>
        <v>234.41212418619125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0</v>
      </c>
      <c r="AX29" s="23">
        <f t="shared" si="6"/>
        <v>0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9.1999999999999993</v>
      </c>
      <c r="BD29" s="13">
        <f>IF('Données projet'!$A$88&gt;35,BD28+BC29-BL28,IF(A29&lt;'Données projet'!$A$88,$BA$205^A29,IF(A29='Données projet'!$A$88,'Données projet'!$B$88,BD28+BC29-BL28)))</f>
        <v>143.19999999999993</v>
      </c>
      <c r="BE29" s="14">
        <f>BD29*VLOOKUP('Données projet'!$B$11,Paramètres!$A$1:$I$89,3,0)*VLOOKUP('Données projet'!$B$11,Paramètres!$A$1:$I$89,5,0)</f>
        <v>67.017599999999959</v>
      </c>
      <c r="BF29" s="14">
        <f t="shared" si="37"/>
        <v>18.93095622847579</v>
      </c>
      <c r="BG29" s="22">
        <f t="shared" si="7"/>
        <v>149.69373543126193</v>
      </c>
      <c r="BH29" s="62">
        <f t="shared" si="8"/>
        <v>438.13817987570638</v>
      </c>
      <c r="BI29" s="62">
        <f ca="1">AVERAGE(OFFSET($BH$3,0,0,'Données projet'!$E$11+1,1))-AVERAGE(OFFSET($H$3,0,0,'Données projet'!$E$11+1,1))</f>
        <v>152.72674713084456</v>
      </c>
      <c r="BJ29" s="62">
        <f t="shared" si="38"/>
        <v>203.90215120562164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7.3949126525037556</v>
      </c>
      <c r="BQ29" s="23">
        <f>EXP(-LN(2)/25)*BQ28+(1-EXP(-LN(2)/25))/(LN(2)/25)*Calculateur!BL29*Calculateur!BN29*VLOOKUP('Données projet'!$B$11,Paramètres!$A$1:$I$89,3,0)*0.475*44/12</f>
        <v>0</v>
      </c>
      <c r="BR29" s="23">
        <f>EXP(-LN(2)/2)*BR28+(1-EXP(-LN(2)/2))/(LN(2)/2)*BL29*BO29*VLOOKUP('Données projet'!$B$11,Paramètres!$A$1:$I$89,3,0)*0.475*44/12</f>
        <v>9.0672842047019859</v>
      </c>
      <c r="BS29" s="24">
        <f t="shared" si="9"/>
        <v>16.46219685720574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3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7.5386376000000022</v>
      </c>
      <c r="D30" s="12">
        <f t="shared" si="32"/>
        <v>2.7461739395698523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24.928939689595982</v>
      </c>
      <c r="H30" s="70">
        <f t="shared" si="1"/>
        <v>274.57938009808419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7</v>
      </c>
      <c r="N30" s="14">
        <f>IF('Données projet'!$A$36&gt;35,N29+M30-V29,IF(A30&lt;'Données projet'!$A$36,$K$205^A30,IF(A30='Données projet'!$A$36,'Données projet'!$B$36,N29+M30-V29)))</f>
        <v>76</v>
      </c>
      <c r="O30" s="14">
        <f>N30*VLOOKUP('Données projet'!$B$9,Paramètres!$A$1:$I$89,3,0)*VLOOKUP('Données projet'!$B$9,Paramètres!$A$1:$I$89,5,0)</f>
        <v>68.764799999999994</v>
      </c>
      <c r="P30" s="14">
        <f t="shared" si="33"/>
        <v>19.366396769521369</v>
      </c>
      <c r="Q30" s="22">
        <f t="shared" si="2"/>
        <v>153.49516770691636</v>
      </c>
      <c r="R30" s="62">
        <f t="shared" si="0"/>
        <v>443.16183437358302</v>
      </c>
      <c r="S30" s="62">
        <f ca="1">AVERAGE(OFFSET($R$3,0,0,'Données projet'!$E$9+1,1))-AVERAGE(OFFSET($H$3,0,0,'Données projet'!$E$9+1,1))</f>
        <v>327.25473597900725</v>
      </c>
      <c r="T30" s="62">
        <f t="shared" si="34"/>
        <v>211.5313580973322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0</v>
      </c>
      <c r="AC30" s="24">
        <f t="shared" si="3"/>
        <v>0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7</v>
      </c>
      <c r="AI30" s="14">
        <f>IF('Données projet'!$A$62&gt;35,AI29+AH30-AQ29,IF(A30&lt;'Données projet'!$A$62,$AF$205^A30,IF(A30='Données projet'!$A$62,'Données projet'!$B$62,AI29+AH30-AQ29)))</f>
        <v>76</v>
      </c>
      <c r="AJ30" s="14">
        <f>AI30*VLOOKUP('Données projet'!$B$10,Paramètres!$A$1:$I$89,3,0)*VLOOKUP('Données projet'!$B$10,Paramètres!$A$1:$I$89,5,0)</f>
        <v>77.064000000000007</v>
      </c>
      <c r="AK30" s="14">
        <f t="shared" si="35"/>
        <v>21.417762186678065</v>
      </c>
      <c r="AL30" s="22">
        <f t="shared" si="4"/>
        <v>171.52240247513097</v>
      </c>
      <c r="AM30" s="62">
        <f t="shared" si="5"/>
        <v>461.18906914179763</v>
      </c>
      <c r="AN30" s="62">
        <f ca="1">AVERAGE(OFFSET($AM$3,0,0,'Données projet'!$E$10+1,1))-AVERAGE(OFFSET($H$3,0,0,'Données projet'!$E$10+1,1))</f>
        <v>366.41072413829329</v>
      </c>
      <c r="AO30" s="62">
        <f t="shared" si="36"/>
        <v>234.41212418619125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0</v>
      </c>
      <c r="AX30" s="23">
        <f t="shared" si="6"/>
        <v>0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9.1999999999999993</v>
      </c>
      <c r="BD30" s="13">
        <f>IF('Données projet'!$A$88&gt;35,BD29+BC30-BL29,IF(A30&lt;'Données projet'!$A$88,$BA$205^A30,IF(A30='Données projet'!$A$88,'Données projet'!$B$88,BD29+BC30-BL29)))</f>
        <v>152.39999999999992</v>
      </c>
      <c r="BE30" s="14">
        <f>BD30*VLOOKUP('Données projet'!$B$11,Paramètres!$A$1:$I$89,3,0)*VLOOKUP('Données projet'!$B$11,Paramètres!$A$1:$I$89,5,0)</f>
        <v>71.323199999999957</v>
      </c>
      <c r="BF30" s="14">
        <f t="shared" si="37"/>
        <v>20.001695779651133</v>
      </c>
      <c r="BG30" s="22">
        <f t="shared" si="7"/>
        <v>159.05752681622565</v>
      </c>
      <c r="BH30" s="62">
        <f t="shared" si="8"/>
        <v>448.72419348289236</v>
      </c>
      <c r="BI30" s="62">
        <f ca="1">AVERAGE(OFFSET($BH$3,0,0,'Données projet'!$E$11+1,1))-AVERAGE(OFFSET($H$3,0,0,'Données projet'!$E$11+1,1))</f>
        <v>152.72674713084456</v>
      </c>
      <c r="BJ30" s="62">
        <f t="shared" si="38"/>
        <v>203.90215120562164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7.2499029258395051</v>
      </c>
      <c r="BQ30" s="23">
        <f>EXP(-LN(2)/25)*BQ29+(1-EXP(-LN(2)/25))/(LN(2)/25)*Calculateur!BL30*Calculateur!BN30*VLOOKUP('Données projet'!$B$11,Paramètres!$A$1:$I$89,3,0)*0.475*44/12</f>
        <v>0</v>
      </c>
      <c r="BR30" s="23">
        <f>EXP(-LN(2)/2)*BR29+(1-EXP(-LN(2)/2))/(LN(2)/2)*BL30*BO30*VLOOKUP('Données projet'!$B$11,Paramètres!$A$1:$I$89,3,0)*0.475*44/12</f>
        <v>6.4115381480904459</v>
      </c>
      <c r="BS30" s="24">
        <f t="shared" si="9"/>
        <v>13.66144107392995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3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7.8178464000000023</v>
      </c>
      <c r="D31" s="12">
        <f t="shared" si="32"/>
        <v>2.8358539212519593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25.823074322529312</v>
      </c>
      <c r="H31" s="70">
        <f t="shared" si="1"/>
        <v>275.22186139284719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7</v>
      </c>
      <c r="N31" s="14">
        <f>IF('Données projet'!$A$36&gt;35,N30+M31-V30,IF(A31&lt;'Données projet'!$A$36,$K$205^A31,IF(A31='Données projet'!$A$36,'Données projet'!$B$36,N30+M31-V30)))</f>
        <v>83</v>
      </c>
      <c r="O31" s="14">
        <f>N31*VLOOKUP('Données projet'!$B$9,Paramètres!$A$1:$I$89,3,0)*VLOOKUP('Données projet'!$B$9,Paramètres!$A$1:$I$89,5,0)</f>
        <v>75.098399999999998</v>
      </c>
      <c r="P31" s="14">
        <f t="shared" si="33"/>
        <v>20.934343091450742</v>
      </c>
      <c r="Q31" s="22">
        <f t="shared" si="2"/>
        <v>167.25702755094335</v>
      </c>
      <c r="R31" s="62">
        <f t="shared" si="0"/>
        <v>458.14591643983221</v>
      </c>
      <c r="S31" s="62">
        <f ca="1">AVERAGE(OFFSET($R$3,0,0,'Données projet'!$E$9+1,1))-AVERAGE(OFFSET($H$3,0,0,'Données projet'!$E$9+1,1))</f>
        <v>327.25473597900725</v>
      </c>
      <c r="T31" s="62">
        <f t="shared" si="34"/>
        <v>211.5313580973322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0</v>
      </c>
      <c r="AC31" s="24">
        <f t="shared" si="3"/>
        <v>0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7</v>
      </c>
      <c r="AI31" s="14">
        <f>IF('Données projet'!$A$62&gt;35,AI30+AH31-AQ30,IF(A31&lt;'Données projet'!$A$62,$AF$205^A31,IF(A31='Données projet'!$A$62,'Données projet'!$B$62,AI30+AH31-AQ30)))</f>
        <v>83</v>
      </c>
      <c r="AJ31" s="14">
        <f>AI31*VLOOKUP('Données projet'!$B$10,Paramètres!$A$1:$I$89,3,0)*VLOOKUP('Données projet'!$B$10,Paramètres!$A$1:$I$89,5,0)</f>
        <v>84.162000000000006</v>
      </c>
      <c r="AK31" s="14">
        <f t="shared" si="35"/>
        <v>23.151791590506594</v>
      </c>
      <c r="AL31" s="22">
        <f t="shared" si="4"/>
        <v>186.90485368679899</v>
      </c>
      <c r="AM31" s="62">
        <f t="shared" si="5"/>
        <v>477.79374257568782</v>
      </c>
      <c r="AN31" s="62">
        <f ca="1">AVERAGE(OFFSET($AM$3,0,0,'Données projet'!$E$10+1,1))-AVERAGE(OFFSET($H$3,0,0,'Données projet'!$E$10+1,1))</f>
        <v>366.41072413829329</v>
      </c>
      <c r="AO31" s="62">
        <f t="shared" si="36"/>
        <v>234.41212418619125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0</v>
      </c>
      <c r="AX31" s="23">
        <f t="shared" si="6"/>
        <v>0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9.1999999999999993</v>
      </c>
      <c r="BD31" s="13">
        <f>IF('Données projet'!$A$88&gt;35,BD30+BC31-BL30,IF(A31&lt;'Données projet'!$A$88,$BA$205^A31,IF(A31='Données projet'!$A$88,'Données projet'!$B$88,BD30+BC31-BL30)))</f>
        <v>161.59999999999991</v>
      </c>
      <c r="BE31" s="14">
        <f>BD31*VLOOKUP('Données projet'!$B$11,Paramètres!$A$1:$I$89,3,0)*VLOOKUP('Données projet'!$B$11,Paramètres!$A$1:$I$89,5,0)</f>
        <v>75.628799999999956</v>
      </c>
      <c r="BF31" s="14">
        <f t="shared" si="37"/>
        <v>21.064933051654201</v>
      </c>
      <c r="BG31" s="22">
        <f t="shared" si="7"/>
        <v>168.408251731631</v>
      </c>
      <c r="BH31" s="62">
        <f t="shared" si="8"/>
        <v>459.29714062051983</v>
      </c>
      <c r="BI31" s="62">
        <f ca="1">AVERAGE(OFFSET($BH$3,0,0,'Données projet'!$E$11+1,1))-AVERAGE(OFFSET($H$3,0,0,'Données projet'!$E$11+1,1))</f>
        <v>152.72674713084456</v>
      </c>
      <c r="BJ31" s="62">
        <f t="shared" si="38"/>
        <v>203.90215120562164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7.1077367514679404</v>
      </c>
      <c r="BQ31" s="23">
        <f>EXP(-LN(2)/25)*BQ30+(1-EXP(-LN(2)/25))/(LN(2)/25)*Calculateur!BL31*Calculateur!BN31*VLOOKUP('Données projet'!$B$11,Paramètres!$A$1:$I$89,3,0)*0.475*44/12</f>
        <v>0</v>
      </c>
      <c r="BR31" s="23">
        <f>EXP(-LN(2)/2)*BR30+(1-EXP(-LN(2)/2))/(LN(2)/2)*BL31*BO31*VLOOKUP('Données projet'!$B$11,Paramètres!$A$1:$I$89,3,0)*0.475*44/12</f>
        <v>4.533642102350993</v>
      </c>
      <c r="BS31" s="24">
        <f t="shared" si="9"/>
        <v>11.641378853818933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3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8.0970552000000016</v>
      </c>
      <c r="D32" s="12">
        <f t="shared" si="32"/>
        <v>2.9251617807198498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26.716306983443062</v>
      </c>
      <c r="H32" s="70">
        <f t="shared" si="1"/>
        <v>275.86369457475377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7</v>
      </c>
      <c r="N32" s="14">
        <f>IF('Données projet'!$A$36&gt;35,N31+M32-V31,IF(A32&lt;'Données projet'!$A$36,$K$205^A32,IF(A32='Données projet'!$A$36,'Données projet'!$B$36,N31+M32-V31)))</f>
        <v>90</v>
      </c>
      <c r="O32" s="14">
        <f>N32*VLOOKUP('Données projet'!$B$9,Paramètres!$A$1:$I$89,3,0)*VLOOKUP('Données projet'!$B$9,Paramètres!$A$1:$I$89,5,0)</f>
        <v>81.432000000000002</v>
      </c>
      <c r="P32" s="14">
        <f t="shared" si="33"/>
        <v>22.486953220240881</v>
      </c>
      <c r="Q32" s="22">
        <f t="shared" si="2"/>
        <v>180.99217685858619</v>
      </c>
      <c r="R32" s="62">
        <f t="shared" si="0"/>
        <v>473.10328796969736</v>
      </c>
      <c r="S32" s="62">
        <f ca="1">AVERAGE(OFFSET($R$3,0,0,'Données projet'!$E$9+1,1))-AVERAGE(OFFSET($H$3,0,0,'Données projet'!$E$9+1,1))</f>
        <v>327.25473597900725</v>
      </c>
      <c r="T32" s="62">
        <f t="shared" si="34"/>
        <v>211.5313580973322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0</v>
      </c>
      <c r="AC32" s="24">
        <f t="shared" si="3"/>
        <v>0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7</v>
      </c>
      <c r="AI32" s="14">
        <f>IF('Données projet'!$A$62&gt;35,AI31+AH32-AQ31,IF(A32&lt;'Données projet'!$A$62,$AF$205^A32,IF(A32='Données projet'!$A$62,'Données projet'!$B$62,AI31+AH32-AQ31)))</f>
        <v>90</v>
      </c>
      <c r="AJ32" s="14">
        <f>AI32*VLOOKUP('Données projet'!$B$10,Paramètres!$A$1:$I$89,3,0)*VLOOKUP('Données projet'!$B$10,Paramètres!$A$1:$I$89,5,0)</f>
        <v>91.26</v>
      </c>
      <c r="AK32" s="14">
        <f t="shared" si="35"/>
        <v>24.868860330902777</v>
      </c>
      <c r="AL32" s="22">
        <f t="shared" si="4"/>
        <v>202.25776507632233</v>
      </c>
      <c r="AM32" s="62">
        <f t="shared" si="5"/>
        <v>494.36887618743344</v>
      </c>
      <c r="AN32" s="62">
        <f ca="1">AVERAGE(OFFSET($AM$3,0,0,'Données projet'!$E$10+1,1))-AVERAGE(OFFSET($H$3,0,0,'Données projet'!$E$10+1,1))</f>
        <v>366.41072413829329</v>
      </c>
      <c r="AO32" s="62">
        <f t="shared" si="36"/>
        <v>234.41212418619125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0</v>
      </c>
      <c r="AX32" s="23">
        <f t="shared" si="6"/>
        <v>0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9.1999999999999993</v>
      </c>
      <c r="BD32" s="13">
        <f>IF('Données projet'!$A$88&gt;35,BD31+BC32-BL31,IF(A32&lt;'Données projet'!$A$88,$BA$205^A32,IF(A32='Données projet'!$A$88,'Données projet'!$B$88,BD31+BC32-BL31)))</f>
        <v>170.7999999999999</v>
      </c>
      <c r="BE32" s="14">
        <f>BD32*VLOOKUP('Données projet'!$B$11,Paramètres!$A$1:$I$89,3,0)*VLOOKUP('Données projet'!$B$11,Paramètres!$A$1:$I$89,5,0)</f>
        <v>79.934399999999954</v>
      </c>
      <c r="BF32" s="14">
        <f t="shared" si="37"/>
        <v>22.121143821921795</v>
      </c>
      <c r="BG32" s="22">
        <f t="shared" si="7"/>
        <v>177.74673882318038</v>
      </c>
      <c r="BH32" s="62">
        <f t="shared" si="8"/>
        <v>469.85784993429149</v>
      </c>
      <c r="BI32" s="62">
        <f ca="1">AVERAGE(OFFSET($BH$3,0,0,'Données projet'!$E$11+1,1))-AVERAGE(OFFSET($H$3,0,0,'Données projet'!$E$11+1,1))</f>
        <v>152.72674713084456</v>
      </c>
      <c r="BJ32" s="62">
        <f t="shared" si="38"/>
        <v>203.90215120562164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6.9683583690629982</v>
      </c>
      <c r="BQ32" s="23">
        <f>EXP(-LN(2)/25)*BQ31+(1-EXP(-LN(2)/25))/(LN(2)/25)*Calculateur!BL32*Calculateur!BN32*VLOOKUP('Données projet'!$B$11,Paramètres!$A$1:$I$89,3,0)*0.475*44/12</f>
        <v>0</v>
      </c>
      <c r="BR32" s="23">
        <f>EXP(-LN(2)/2)*BR31+(1-EXP(-LN(2)/2))/(LN(2)/2)*BL32*BO32*VLOOKUP('Données projet'!$B$11,Paramètres!$A$1:$I$89,3,0)*0.475*44/12</f>
        <v>3.2057690740452229</v>
      </c>
      <c r="BS32" s="24">
        <f t="shared" si="9"/>
        <v>10.174127443108221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3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8.3762640000000008</v>
      </c>
      <c r="D33" s="12">
        <f t="shared" si="32"/>
        <v>3.0141118204447692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27.608672339520165</v>
      </c>
      <c r="H33" s="70">
        <f t="shared" si="1"/>
        <v>276.50490455394134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97</v>
      </c>
      <c r="L33" s="13">
        <f>VLOOKUP(A33,'Données projet'!$A$35:$I$55,9,0)</f>
        <v>7</v>
      </c>
      <c r="M33" s="13">
        <f t="array" ref="M33">INDEX(L:L,MIN(IF(ISNUMBER(L33:L229),ROW(L33:L229),"")))</f>
        <v>7</v>
      </c>
      <c r="N33" s="14">
        <f>IF('Données projet'!$A$36&gt;35,N32+M33-V32,IF(A33&lt;'Données projet'!$A$36,$K$205^A33,IF(A33='Données projet'!$A$36,'Données projet'!$B$36,N32+M33-V32)))</f>
        <v>97</v>
      </c>
      <c r="O33" s="14">
        <f>N33*VLOOKUP('Données projet'!$B$9,Paramètres!$A$1:$I$89,3,0)*VLOOKUP('Données projet'!$B$9,Paramètres!$A$1:$I$89,5,0)</f>
        <v>87.765600000000006</v>
      </c>
      <c r="P33" s="14">
        <f t="shared" si="33"/>
        <v>24.025555589247954</v>
      </c>
      <c r="Q33" s="22">
        <f t="shared" si="2"/>
        <v>194.7029293179402</v>
      </c>
      <c r="R33" s="62">
        <f t="shared" si="0"/>
        <v>488.03626265127355</v>
      </c>
      <c r="S33" s="62">
        <f ca="1">AVERAGE(OFFSET($R$3,0,0,'Données projet'!$E$9+1,1))-AVERAGE(OFFSET($H$3,0,0,'Données projet'!$E$9+1,1))</f>
        <v>327.25473597900725</v>
      </c>
      <c r="T33" s="62">
        <f t="shared" si="34"/>
        <v>211.5313580973322</v>
      </c>
      <c r="U33" s="16">
        <f>IF(ISNA(VLOOKUP(A33,'Données projet'!$A$35:$I$55,3,0)),0,VLOOKUP(A33,'Données projet'!$A$35:$I$55,3,0))</f>
        <v>3</v>
      </c>
      <c r="V33" s="16">
        <f>IF(ISNA(VLOOKUP(A33,'Données projet'!$A$35:$I$55,4,0)),0,VLOOKUP(A33,'Données projet'!$A$35:$I$55,4,0))</f>
        <v>21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0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0</v>
      </c>
      <c r="AC33" s="24">
        <f t="shared" si="3"/>
        <v>0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97</v>
      </c>
      <c r="AG33" s="13">
        <f>VLOOKUP(A33,'Données projet'!$A$61:$I$81,9,0)</f>
        <v>7</v>
      </c>
      <c r="AH33" s="13">
        <f t="array" ref="AH33">INDEX(AG:AG,MIN(IF(ISNUMBER(AG33:AG229),ROW(AG33:AG229),"")))</f>
        <v>7</v>
      </c>
      <c r="AI33" s="14">
        <f>IF('Données projet'!$A$62&gt;35,AI32+AH33-AQ32,IF(A33&lt;'Données projet'!$A$62,$AF$205^A33,IF(A33='Données projet'!$A$62,'Données projet'!$B$62,AI32+AH33-AQ32)))</f>
        <v>97</v>
      </c>
      <c r="AJ33" s="14">
        <f>AI33*VLOOKUP('Données projet'!$B$10,Paramètres!$A$1:$I$89,3,0)*VLOOKUP('Données projet'!$B$10,Paramètres!$A$1:$I$89,5,0)</f>
        <v>98.358000000000004</v>
      </c>
      <c r="AK33" s="14">
        <f t="shared" si="35"/>
        <v>26.570437554143126</v>
      </c>
      <c r="AL33" s="22">
        <f t="shared" si="4"/>
        <v>217.58369540679928</v>
      </c>
      <c r="AM33" s="62">
        <f t="shared" si="5"/>
        <v>510.91702874013259</v>
      </c>
      <c r="AN33" s="62">
        <f ca="1">AVERAGE(OFFSET($AM$3,0,0,'Données projet'!$E$10+1,1))-AVERAGE(OFFSET($H$3,0,0,'Données projet'!$E$10+1,1))</f>
        <v>366.41072413829329</v>
      </c>
      <c r="AO33" s="62">
        <f t="shared" si="36"/>
        <v>234.41212418619125</v>
      </c>
      <c r="AP33" s="16">
        <f>IF(ISNA(VLOOKUP(A33,'Données projet'!$A$61:$I$81,3,0)),0,VLOOKUP(A33,'Données projet'!$A$61:$I$81,3,0))</f>
        <v>3</v>
      </c>
      <c r="AQ33" s="16">
        <f>IF(ISNA(VLOOKUP(A33,'Données projet'!$A$61:$I$81,4,0)),0,VLOOKUP(A33,'Données projet'!$A$61:$I$81,4,0))</f>
        <v>21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0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0</v>
      </c>
      <c r="AX33" s="23">
        <f t="shared" si="6"/>
        <v>0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>
        <f>VLOOKUP(A33,'Données projet'!$A$87:$I$107,2,0)</f>
        <v>180</v>
      </c>
      <c r="BB33" s="13">
        <f>VLOOKUP(A33,'Données projet'!$A$87:$I$107,9,0)</f>
        <v>9.1999999999999993</v>
      </c>
      <c r="BC33" s="13">
        <f t="array" ref="BC33">INDEX(BB:BB,MIN(IF(ISNUMBER(BB33:BB229),ROW(BB33:BB229),"")))</f>
        <v>9.1999999999999993</v>
      </c>
      <c r="BD33" s="13">
        <f>IF('Données projet'!$A$88&gt;35,BD32+BC33-BL32,IF(A33&lt;'Données projet'!$A$88,$BA$205^A33,IF(A33='Données projet'!$A$88,'Données projet'!$B$88,BD32+BC33-BL32)))</f>
        <v>179.99999999999989</v>
      </c>
      <c r="BE33" s="14">
        <f>BD33*VLOOKUP('Données projet'!$B$11,Paramètres!$A$1:$I$89,3,0)*VLOOKUP('Données projet'!$B$11,Paramètres!$A$1:$I$89,5,0)</f>
        <v>84.239999999999938</v>
      </c>
      <c r="BF33" s="14">
        <f t="shared" si="37"/>
        <v>23.170749718409446</v>
      </c>
      <c r="BG33" s="22">
        <f t="shared" si="7"/>
        <v>187.07372242622966</v>
      </c>
      <c r="BH33" s="62">
        <f t="shared" si="8"/>
        <v>480.40705575956298</v>
      </c>
      <c r="BI33" s="62">
        <f ca="1">AVERAGE(OFFSET($BH$3,0,0,'Données projet'!$E$11+1,1))-AVERAGE(OFFSET($H$3,0,0,'Données projet'!$E$11+1,1))</f>
        <v>152.72674713084456</v>
      </c>
      <c r="BJ33" s="62">
        <f t="shared" si="38"/>
        <v>203.90215120562164</v>
      </c>
      <c r="BK33" s="16">
        <f>IF(ISNA(VLOOKUP(A33,'Données projet'!$A$87:$I$107,3,0)),0,VLOOKUP(A33,'Données projet'!$A$87:$I$107,3,0))</f>
        <v>3</v>
      </c>
      <c r="BL33" s="16">
        <f>IF(ISNA(VLOOKUP(A33,'Données projet'!$A$87:$I$107,4,0)),0,VLOOKUP(A33,'Données projet'!$A$87:$I$107,4,0))</f>
        <v>50</v>
      </c>
      <c r="BM33" s="17">
        <f>IF(ISNA(VLOOKUP(A33,'Données projet'!$A$87:$I$107,5,0)),0%,VLOOKUP(A33,'Données projet'!$A$87:$I$107,5,0)*VLOOKUP('Données projet'!$B$11,Paramètres!$A$1:$I$89,7,0))</f>
        <v>0.27500000000000002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0.5</v>
      </c>
      <c r="BP33" s="23">
        <f>EXP(-LN(2)/35)*BP32+(1-EXP(-LN(2)/35))/(LN(2)/35)*BL33*BM33*VLOOKUP('Données projet'!$B$11,Paramètres!$A$1:$I$89,3,0)*0.475*44/12</f>
        <v>15.36815538247804</v>
      </c>
      <c r="BQ33" s="23">
        <f>EXP(-LN(2)/25)*BQ32+(1-EXP(-LN(2)/25))/(LN(2)/25)*Calculateur!BL33*Calculateur!BN33*VLOOKUP('Données projet'!$B$11,Paramètres!$A$1:$I$89,3,0)*0.475*44/12</f>
        <v>0</v>
      </c>
      <c r="BR33" s="23">
        <f>EXP(-LN(2)/2)*BR32+(1-EXP(-LN(2)/2))/(LN(2)/2)*BL33*BO33*VLOOKUP('Données projet'!$B$11,Paramètres!$A$1:$I$89,3,0)*0.475*44/12</f>
        <v>15.513938932235146</v>
      </c>
      <c r="BS33" s="24">
        <f t="shared" si="9"/>
        <v>30.882094314713186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3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8.6554728000000001</v>
      </c>
      <c r="D34" s="12">
        <f t="shared" si="32"/>
        <v>3.1027173352938102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28.500202615652508</v>
      </c>
      <c r="H34" s="70">
        <f t="shared" si="1"/>
        <v>277.14551448563674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8</v>
      </c>
      <c r="N34" s="14">
        <f>IF('Données projet'!$A$36&gt;35,N33+M34-V33,IF(A34&lt;'Données projet'!$A$36,$K$205^A34,IF(A34='Données projet'!$A$36,'Données projet'!$B$36,N33+M34-V33)))</f>
        <v>84</v>
      </c>
      <c r="O34" s="14">
        <f>N34*VLOOKUP('Données projet'!$B$9,Paramètres!$A$1:$I$89,3,0)*VLOOKUP('Données projet'!$B$9,Paramètres!$A$1:$I$89,5,0)</f>
        <v>76.003200000000007</v>
      </c>
      <c r="P34" s="14">
        <f t="shared" si="33"/>
        <v>21.157049992000456</v>
      </c>
      <c r="Q34" s="22">
        <f t="shared" si="2"/>
        <v>169.22076873606747</v>
      </c>
      <c r="R34" s="62">
        <f t="shared" si="0"/>
        <v>462.55410206940076</v>
      </c>
      <c r="S34" s="62">
        <f ca="1">AVERAGE(OFFSET($R$3,0,0,'Données projet'!$E$9+1,1))-AVERAGE(OFFSET($H$3,0,0,'Données projet'!$E$9+1,1))</f>
        <v>327.25473597900725</v>
      </c>
      <c r="T34" s="62">
        <f t="shared" si="34"/>
        <v>211.5313580973322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0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0</v>
      </c>
      <c r="AC34" s="24">
        <f t="shared" si="3"/>
        <v>0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8</v>
      </c>
      <c r="AI34" s="14">
        <f>IF('Données projet'!$A$62&gt;35,AI33+AH34-AQ33,IF(A34&lt;'Données projet'!$A$62,$AF$205^A34,IF(A34='Données projet'!$A$62,'Données projet'!$B$62,AI33+AH34-AQ33)))</f>
        <v>84</v>
      </c>
      <c r="AJ34" s="14">
        <f>AI34*VLOOKUP('Données projet'!$B$10,Paramètres!$A$1:$I$89,3,0)*VLOOKUP('Données projet'!$B$10,Paramètres!$A$1:$I$89,5,0)</f>
        <v>85.176000000000002</v>
      </c>
      <c r="AK34" s="14">
        <f t="shared" si="35"/>
        <v>23.398088487656441</v>
      </c>
      <c r="AL34" s="22">
        <f t="shared" si="4"/>
        <v>189.09987078266829</v>
      </c>
      <c r="AM34" s="62">
        <f t="shared" si="5"/>
        <v>482.4332041160016</v>
      </c>
      <c r="AN34" s="62">
        <f ca="1">AVERAGE(OFFSET($AM$3,0,0,'Données projet'!$E$10+1,1))-AVERAGE(OFFSET($H$3,0,0,'Données projet'!$E$10+1,1))</f>
        <v>366.41072413829329</v>
      </c>
      <c r="AO34" s="62">
        <f t="shared" si="36"/>
        <v>234.41212418619125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0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0</v>
      </c>
      <c r="AX34" s="23">
        <f t="shared" si="6"/>
        <v>0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10</v>
      </c>
      <c r="BD34" s="13">
        <f>IF('Données projet'!$A$88&gt;35,BD33+BC34-BL33,IF(A34&lt;'Données projet'!$A$88,$BA$205^A34,IF(A34='Données projet'!$A$88,'Données projet'!$B$88,BD33+BC34-BL33)))</f>
        <v>139.99999999999989</v>
      </c>
      <c r="BE34" s="14">
        <f>BD34*VLOOKUP('Données projet'!$B$11,Paramètres!$A$1:$I$89,3,0)*VLOOKUP('Données projet'!$B$11,Paramètres!$A$1:$I$89,5,0)</f>
        <v>65.519999999999939</v>
      </c>
      <c r="BF34" s="14">
        <f t="shared" si="37"/>
        <v>18.556669503136707</v>
      </c>
      <c r="BG34" s="22">
        <f t="shared" si="7"/>
        <v>146.43353271796298</v>
      </c>
      <c r="BH34" s="62">
        <f t="shared" si="8"/>
        <v>439.76686605129629</v>
      </c>
      <c r="BI34" s="62">
        <f ca="1">AVERAGE(OFFSET($BH$3,0,0,'Données projet'!$E$11+1,1))-AVERAGE(OFFSET($H$3,0,0,'Données projet'!$E$11+1,1))</f>
        <v>152.72674713084456</v>
      </c>
      <c r="BJ34" s="62">
        <f t="shared" si="38"/>
        <v>203.90215120562164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15.066795229076858</v>
      </c>
      <c r="BQ34" s="23">
        <f>EXP(-LN(2)/25)*BQ33+(1-EXP(-LN(2)/25))/(LN(2)/25)*Calculateur!BL34*Calculateur!BN34*VLOOKUP('Données projet'!$B$11,Paramètres!$A$1:$I$89,3,0)*0.475*44/12</f>
        <v>0</v>
      </c>
      <c r="BR34" s="23">
        <f>EXP(-LN(2)/2)*BR33+(1-EXP(-LN(2)/2))/(LN(2)/2)*BL34*BO34*VLOOKUP('Données projet'!$B$11,Paramètres!$A$1:$I$89,3,0)*0.475*44/12</f>
        <v>10.970011421897459</v>
      </c>
      <c r="BS34" s="24">
        <f t="shared" si="9"/>
        <v>26.036806650974317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3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8.9346815999999993</v>
      </c>
      <c r="D35" s="12">
        <f t="shared" si="32"/>
        <v>3.1909907137050557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29.390927839675271</v>
      </c>
      <c r="H35" s="70">
        <f t="shared" si="1"/>
        <v>277.78554594636967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8</v>
      </c>
      <c r="N35" s="14">
        <f>IF('Données projet'!$A$36&gt;35,N34+M35-V34,IF(A35&lt;'Données projet'!$A$36,$K$205^A35,IF(A35='Données projet'!$A$36,'Données projet'!$B$36,N34+M35-V34)))</f>
        <v>92</v>
      </c>
      <c r="O35" s="14">
        <f>N35*VLOOKUP('Données projet'!$B$9,Paramètres!$A$1:$I$89,3,0)*VLOOKUP('Données projet'!$B$9,Paramètres!$A$1:$I$89,5,0)</f>
        <v>83.241600000000005</v>
      </c>
      <c r="P35" s="14">
        <f t="shared" si="33"/>
        <v>22.927930643846508</v>
      </c>
      <c r="Q35" s="22">
        <f t="shared" ref="Q35:Q66" si="53">(O35+P35)*0.475*44/12</f>
        <v>184.91193253803269</v>
      </c>
      <c r="R35" s="62">
        <f t="shared" si="0"/>
        <v>478.24526587136597</v>
      </c>
      <c r="S35" s="62">
        <f ca="1">AVERAGE(OFFSET($R$3,0,0,'Données projet'!$E$9+1,1))-AVERAGE(OFFSET($H$3,0,0,'Données projet'!$E$9+1,1))</f>
        <v>327.25473597900725</v>
      </c>
      <c r="T35" s="62">
        <f t="shared" si="34"/>
        <v>211.5313580973322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0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0</v>
      </c>
      <c r="AC35" s="24">
        <f t="shared" si="3"/>
        <v>0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8</v>
      </c>
      <c r="AI35" s="14">
        <f>IF('Données projet'!$A$62&gt;35,AI34+AH35-AQ34,IF(A35&lt;'Données projet'!$A$62,$AF$205^A35,IF(A35='Données projet'!$A$62,'Données projet'!$B$62,AI34+AH35-AQ34)))</f>
        <v>92</v>
      </c>
      <c r="AJ35" s="14">
        <f>AI35*VLOOKUP('Données projet'!$B$10,Paramètres!$A$1:$I$89,3,0)*VLOOKUP('Données projet'!$B$10,Paramètres!$A$1:$I$89,5,0)</f>
        <v>93.288000000000011</v>
      </c>
      <c r="AK35" s="14">
        <f t="shared" si="35"/>
        <v>25.356547829040977</v>
      </c>
      <c r="AL35" s="22">
        <f t="shared" si="4"/>
        <v>206.63925413557971</v>
      </c>
      <c r="AM35" s="62">
        <f t="shared" si="5"/>
        <v>499.97258746891305</v>
      </c>
      <c r="AN35" s="62">
        <f ca="1">AVERAGE(OFFSET($AM$3,0,0,'Données projet'!$E$10+1,1))-AVERAGE(OFFSET($H$3,0,0,'Données projet'!$E$10+1,1))</f>
        <v>366.41072413829329</v>
      </c>
      <c r="AO35" s="62">
        <f t="shared" si="36"/>
        <v>234.41212418619125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0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0</v>
      </c>
      <c r="AX35" s="23">
        <f t="shared" si="6"/>
        <v>0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10</v>
      </c>
      <c r="BD35" s="13">
        <f>IF('Données projet'!$A$88&gt;35,BD34+BC35-BL34,IF(A35&lt;'Données projet'!$A$88,$BA$205^A35,IF(A35='Données projet'!$A$88,'Données projet'!$B$88,BD34+BC35-BL34)))</f>
        <v>149.99999999999989</v>
      </c>
      <c r="BE35" s="14">
        <f>BD35*VLOOKUP('Données projet'!$B$11,Paramètres!$A$1:$I$89,3,0)*VLOOKUP('Données projet'!$B$11,Paramètres!$A$1:$I$89,5,0)</f>
        <v>70.199999999999946</v>
      </c>
      <c r="BF35" s="14">
        <f t="shared" si="37"/>
        <v>19.723116370112184</v>
      </c>
      <c r="BG35" s="22">
        <f t="shared" si="7"/>
        <v>156.61609434461192</v>
      </c>
      <c r="BH35" s="62">
        <f t="shared" si="8"/>
        <v>449.94942767794521</v>
      </c>
      <c r="BI35" s="62">
        <f ca="1">AVERAGE(OFFSET($BH$3,0,0,'Données projet'!$E$11+1,1))-AVERAGE(OFFSET($H$3,0,0,'Données projet'!$E$11+1,1))</f>
        <v>152.72674713084456</v>
      </c>
      <c r="BJ35" s="62">
        <f t="shared" si="38"/>
        <v>203.90215120562164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14.771344564472329</v>
      </c>
      <c r="BQ35" s="23">
        <f>EXP(-LN(2)/25)*BQ34+(1-EXP(-LN(2)/25))/(LN(2)/25)*Calculateur!BL35*Calculateur!BN35*VLOOKUP('Données projet'!$B$11,Paramètres!$A$1:$I$89,3,0)*0.475*44/12</f>
        <v>0</v>
      </c>
      <c r="BR35" s="23">
        <f>EXP(-LN(2)/2)*BR34+(1-EXP(-LN(2)/2))/(LN(2)/2)*BL35*BO35*VLOOKUP('Données projet'!$B$11,Paramètres!$A$1:$I$89,3,0)*0.475*44/12</f>
        <v>7.7569694661175737</v>
      </c>
      <c r="BS35" s="24">
        <f t="shared" si="9"/>
        <v>22.528314030589904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3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9.2138903999999986</v>
      </c>
      <c r="D36" s="12">
        <f t="shared" si="32"/>
        <v>3.2789435258605435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30.280876056085834</v>
      </c>
      <c r="H36" s="70">
        <f t="shared" si="1"/>
        <v>278.42501908754048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8</v>
      </c>
      <c r="N36" s="14">
        <f>IF('Données projet'!$A$36&gt;35,N35+M36-V35,IF(A36&lt;'Données projet'!$A$36,$K$205^A36,IF(A36='Données projet'!$A$36,'Données projet'!$B$36,N35+M36-V35)))</f>
        <v>100</v>
      </c>
      <c r="O36" s="14">
        <f>N36*VLOOKUP('Données projet'!$B$9,Paramètres!$A$1:$I$89,3,0)*VLOOKUP('Données projet'!$B$9,Paramètres!$A$1:$I$89,5,0)</f>
        <v>90.47999999999999</v>
      </c>
      <c r="P36" s="14">
        <f t="shared" si="33"/>
        <v>24.680953573367994</v>
      </c>
      <c r="Q36" s="22">
        <f t="shared" si="53"/>
        <v>200.57199414028256</v>
      </c>
      <c r="R36" s="62">
        <f t="shared" si="0"/>
        <v>493.9053274736159</v>
      </c>
      <c r="S36" s="62">
        <f ca="1">AVERAGE(OFFSET($R$3,0,0,'Données projet'!$E$9+1,1))-AVERAGE(OFFSET($H$3,0,0,'Données projet'!$E$9+1,1))</f>
        <v>327.25473597900725</v>
      </c>
      <c r="T36" s="62">
        <f t="shared" si="34"/>
        <v>211.5313580973322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0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0</v>
      </c>
      <c r="AC36" s="24">
        <f t="shared" si="3"/>
        <v>0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8</v>
      </c>
      <c r="AI36" s="14">
        <f>IF('Données projet'!$A$62&gt;35,AI35+AH36-AQ35,IF(A36&lt;'Données projet'!$A$62,$AF$205^A36,IF(A36='Données projet'!$A$62,'Données projet'!$B$62,AI35+AH36-AQ35)))</f>
        <v>100</v>
      </c>
      <c r="AJ36" s="14">
        <f>AI36*VLOOKUP('Données projet'!$B$10,Paramètres!$A$1:$I$89,3,0)*VLOOKUP('Données projet'!$B$10,Paramètres!$A$1:$I$89,5,0)</f>
        <v>101.4</v>
      </c>
      <c r="AK36" s="14">
        <f t="shared" si="35"/>
        <v>27.295257887453797</v>
      </c>
      <c r="AL36" s="22">
        <f t="shared" si="4"/>
        <v>224.14424082064872</v>
      </c>
      <c r="AM36" s="62">
        <f t="shared" si="5"/>
        <v>517.477574153982</v>
      </c>
      <c r="AN36" s="62">
        <f ca="1">AVERAGE(OFFSET($AM$3,0,0,'Données projet'!$E$10+1,1))-AVERAGE(OFFSET($H$3,0,0,'Données projet'!$E$10+1,1))</f>
        <v>366.41072413829329</v>
      </c>
      <c r="AO36" s="62">
        <f t="shared" si="36"/>
        <v>234.41212418619125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0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0</v>
      </c>
      <c r="AX36" s="23">
        <f t="shared" si="6"/>
        <v>0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10</v>
      </c>
      <c r="BD36" s="13">
        <f>IF('Données projet'!$A$88&gt;35,BD35+BC36-BL35,IF(A36&lt;'Données projet'!$A$88,$BA$205^A36,IF(A36='Données projet'!$A$88,'Données projet'!$B$88,BD35+BC36-BL35)))</f>
        <v>159.99999999999989</v>
      </c>
      <c r="BE36" s="14">
        <f>BD36*VLOOKUP('Données projet'!$B$11,Paramètres!$A$1:$I$89,3,0)*VLOOKUP('Données projet'!$B$11,Paramètres!$A$1:$I$89,5,0)</f>
        <v>74.879999999999953</v>
      </c>
      <c r="BF36" s="14">
        <f t="shared" si="37"/>
        <v>20.880539585643213</v>
      </c>
      <c r="BG36" s="22">
        <f t="shared" si="7"/>
        <v>166.78293977832848</v>
      </c>
      <c r="BH36" s="62">
        <f t="shared" si="8"/>
        <v>460.11627311166183</v>
      </c>
      <c r="BI36" s="62">
        <f ca="1">AVERAGE(OFFSET($BH$3,0,0,'Données projet'!$E$11+1,1))-AVERAGE(OFFSET($H$3,0,0,'Données projet'!$E$11+1,1))</f>
        <v>152.72674713084456</v>
      </c>
      <c r="BJ36" s="62">
        <f t="shared" si="38"/>
        <v>203.90215120562164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14.481687507193584</v>
      </c>
      <c r="BQ36" s="23">
        <f>EXP(-LN(2)/25)*BQ35+(1-EXP(-LN(2)/25))/(LN(2)/25)*Calculateur!BL36*Calculateur!BN36*VLOOKUP('Données projet'!$B$11,Paramètres!$A$1:$I$89,3,0)*0.475*44/12</f>
        <v>0</v>
      </c>
      <c r="BR36" s="23">
        <f>EXP(-LN(2)/2)*BR35+(1-EXP(-LN(2)/2))/(LN(2)/2)*BL36*BO36*VLOOKUP('Données projet'!$B$11,Paramètres!$A$1:$I$89,3,0)*0.475*44/12</f>
        <v>5.4850057109487302</v>
      </c>
      <c r="BS36" s="24">
        <f t="shared" si="9"/>
        <v>19.966693218142314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3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9.4930991999999979</v>
      </c>
      <c r="D37" s="12">
        <f t="shared" si="32"/>
        <v>3.3665866008713241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31.170073513129505</v>
      </c>
      <c r="H37" s="70">
        <f t="shared" si="1"/>
        <v>279.06395276985091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8</v>
      </c>
      <c r="N37" s="14">
        <f>IF('Données projet'!$A$36&gt;35,N36+M37-V36,IF(A37&lt;'Données projet'!$A$36,$K$205^A37,IF(A37='Données projet'!$A$36,'Données projet'!$B$36,N36+M37-V36)))</f>
        <v>108</v>
      </c>
      <c r="O37" s="14">
        <f>N37*VLOOKUP('Données projet'!$B$9,Paramètres!$A$1:$I$89,3,0)*VLOOKUP('Données projet'!$B$9,Paramètres!$A$1:$I$89,5,0)</f>
        <v>97.718399999999988</v>
      </c>
      <c r="P37" s="14">
        <f t="shared" si="33"/>
        <v>26.417709819192194</v>
      </c>
      <c r="Q37" s="22">
        <f t="shared" si="53"/>
        <v>216.20372460175972</v>
      </c>
      <c r="R37" s="62">
        <f t="shared" si="0"/>
        <v>509.537057935093</v>
      </c>
      <c r="S37" s="62">
        <f ca="1">AVERAGE(OFFSET($R$3,0,0,'Données projet'!$E$9+1,1))-AVERAGE(OFFSET($H$3,0,0,'Données projet'!$E$9+1,1))</f>
        <v>327.25473597900725</v>
      </c>
      <c r="T37" s="62">
        <f t="shared" si="34"/>
        <v>211.5313580973322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0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0</v>
      </c>
      <c r="AC37" s="24">
        <f t="shared" si="3"/>
        <v>0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8</v>
      </c>
      <c r="AI37" s="14">
        <f>IF('Données projet'!$A$62&gt;35,AI36+AH37-AQ36,IF(A37&lt;'Données projet'!$A$62,$AF$205^A37,IF(A37='Données projet'!$A$62,'Données projet'!$B$62,AI36+AH37-AQ36)))</f>
        <v>108</v>
      </c>
      <c r="AJ37" s="14">
        <f>AI37*VLOOKUP('Données projet'!$B$10,Paramètres!$A$1:$I$89,3,0)*VLOOKUP('Données projet'!$B$10,Paramètres!$A$1:$I$89,5,0)</f>
        <v>109.51200000000001</v>
      </c>
      <c r="AK37" s="14">
        <f t="shared" si="35"/>
        <v>29.215978230632555</v>
      </c>
      <c r="AL37" s="22">
        <f t="shared" si="4"/>
        <v>241.61789541835174</v>
      </c>
      <c r="AM37" s="62">
        <f t="shared" si="5"/>
        <v>534.95122875168499</v>
      </c>
      <c r="AN37" s="62">
        <f ca="1">AVERAGE(OFFSET($AM$3,0,0,'Données projet'!$E$10+1,1))-AVERAGE(OFFSET($H$3,0,0,'Données projet'!$E$10+1,1))</f>
        <v>366.41072413829329</v>
      </c>
      <c r="AO37" s="62">
        <f t="shared" si="36"/>
        <v>234.41212418619125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0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0</v>
      </c>
      <c r="AX37" s="23">
        <f t="shared" si="6"/>
        <v>0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10</v>
      </c>
      <c r="BD37" s="13">
        <f>IF('Données projet'!$A$88&gt;35,BD36+BC37-BL36,IF(A37&lt;'Données projet'!$A$88,$BA$205^A37,IF(A37='Données projet'!$A$88,'Données projet'!$B$88,BD36+BC37-BL36)))</f>
        <v>169.99999999999989</v>
      </c>
      <c r="BE37" s="14">
        <f>BD37*VLOOKUP('Données projet'!$B$11,Paramètres!$A$1:$I$89,3,0)*VLOOKUP('Données projet'!$B$11,Paramètres!$A$1:$I$89,5,0)</f>
        <v>79.559999999999945</v>
      </c>
      <c r="BF37" s="14">
        <f t="shared" si="37"/>
        <v>22.029567333453301</v>
      </c>
      <c r="BG37" s="22">
        <f t="shared" si="7"/>
        <v>176.93516310576442</v>
      </c>
      <c r="BH37" s="62">
        <f t="shared" si="8"/>
        <v>470.2684964390977</v>
      </c>
      <c r="BI37" s="62">
        <f ca="1">AVERAGE(OFFSET($BH$3,0,0,'Données projet'!$E$11+1,1))-AVERAGE(OFFSET($H$3,0,0,'Données projet'!$E$11+1,1))</f>
        <v>152.72674713084456</v>
      </c>
      <c r="BJ37" s="62">
        <f t="shared" si="38"/>
        <v>203.90215120562164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14.197710448134716</v>
      </c>
      <c r="BQ37" s="23">
        <f>EXP(-LN(2)/25)*BQ36+(1-EXP(-LN(2)/25))/(LN(2)/25)*Calculateur!BL37*Calculateur!BN37*VLOOKUP('Données projet'!$B$11,Paramètres!$A$1:$I$89,3,0)*0.475*44/12</f>
        <v>0</v>
      </c>
      <c r="BR37" s="23">
        <f>EXP(-LN(2)/2)*BR36+(1-EXP(-LN(2)/2))/(LN(2)/2)*BL37*BO37*VLOOKUP('Données projet'!$B$11,Paramètres!$A$1:$I$89,3,0)*0.475*44/12</f>
        <v>3.8784847330587877</v>
      </c>
      <c r="BS37" s="24">
        <f t="shared" si="9"/>
        <v>18.076195181193505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3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9.7723079999999971</v>
      </c>
      <c r="D38" s="12">
        <f t="shared" si="32"/>
        <v>3.4539300946267382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32.058544827256661</v>
      </c>
      <c r="H38" s="70">
        <f t="shared" si="1"/>
        <v>279.70236468147493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>
        <f>VLOOKUP(A38,'Données projet'!$A$35:$I$55,2,0)</f>
        <v>116</v>
      </c>
      <c r="L38" s="13">
        <f>VLOOKUP(A38,'Données projet'!$A$35:$I$55,9,0)</f>
        <v>8</v>
      </c>
      <c r="M38" s="13">
        <f t="array" ref="M38">INDEX(L:L,MIN(IF(ISNUMBER(L38:L234),ROW(L38:L234),"")))</f>
        <v>8</v>
      </c>
      <c r="N38" s="14">
        <f>IF('Données projet'!$A$36&gt;35,N37+M38-V37,IF(A38&lt;'Données projet'!$A$36,$K$205^A38,IF(A38='Données projet'!$A$36,'Données projet'!$B$36,N37+M38-V37)))</f>
        <v>116</v>
      </c>
      <c r="O38" s="14">
        <f>N38*VLOOKUP('Données projet'!$B$9,Paramètres!$A$1:$I$89,3,0)*VLOOKUP('Données projet'!$B$9,Paramètres!$A$1:$I$89,5,0)</f>
        <v>104.9568</v>
      </c>
      <c r="P38" s="14">
        <f t="shared" si="33"/>
        <v>28.139541339232373</v>
      </c>
      <c r="Q38" s="22">
        <f t="shared" si="53"/>
        <v>231.8094611658297</v>
      </c>
      <c r="R38" s="62">
        <f t="shared" si="0"/>
        <v>525.14279449916307</v>
      </c>
      <c r="S38" s="62">
        <f ca="1">AVERAGE(OFFSET($R$3,0,0,'Données projet'!$E$9+1,1))-AVERAGE(OFFSET($H$3,0,0,'Données projet'!$E$9+1,1))</f>
        <v>327.25473597900725</v>
      </c>
      <c r="T38" s="62">
        <f t="shared" si="34"/>
        <v>211.5313580973322</v>
      </c>
      <c r="U38" s="16">
        <f>IF(ISNA(VLOOKUP(A38,'Données projet'!$A$35:$I$55,3,0)),0,VLOOKUP(A38,'Données projet'!$A$35:$I$55,3,0))</f>
        <v>4</v>
      </c>
      <c r="V38" s="16">
        <f>IF(ISNA(VLOOKUP(A38,'Données projet'!$A$35:$I$55,4,0)),0,VLOOKUP(A38,'Données projet'!$A$35:$I$55,4,0))</f>
        <v>21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0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0</v>
      </c>
      <c r="AC38" s="24">
        <f t="shared" si="3"/>
        <v>0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>
        <f>VLOOKUP(A38,'Données projet'!$A$61:$I$81,2,0)</f>
        <v>116</v>
      </c>
      <c r="AG38" s="13">
        <f>VLOOKUP(A38,'Données projet'!$A$61:$I$81,9,0)</f>
        <v>8</v>
      </c>
      <c r="AH38" s="13">
        <f t="array" ref="AH38">INDEX(AG:AG,MIN(IF(ISNUMBER(AG38:AG234),ROW(AG38:AG234),"")))</f>
        <v>8</v>
      </c>
      <c r="AI38" s="14">
        <f>IF('Données projet'!$A$62&gt;35,AI37+AH38-AQ37,IF(A38&lt;'Données projet'!$A$62,$AF$205^A38,IF(A38='Données projet'!$A$62,'Données projet'!$B$62,AI37+AH38-AQ37)))</f>
        <v>116</v>
      </c>
      <c r="AJ38" s="14">
        <f>AI38*VLOOKUP('Données projet'!$B$10,Paramètres!$A$1:$I$89,3,0)*VLOOKUP('Données projet'!$B$10,Paramètres!$A$1:$I$89,5,0)</f>
        <v>117.62400000000001</v>
      </c>
      <c r="AK38" s="14">
        <f t="shared" si="35"/>
        <v>31.120192961985413</v>
      </c>
      <c r="AL38" s="22">
        <f t="shared" si="4"/>
        <v>259.06280274212457</v>
      </c>
      <c r="AM38" s="62">
        <f t="shared" si="5"/>
        <v>552.39613607545789</v>
      </c>
      <c r="AN38" s="62">
        <f ca="1">AVERAGE(OFFSET($AM$3,0,0,'Données projet'!$E$10+1,1))-AVERAGE(OFFSET($H$3,0,0,'Données projet'!$E$10+1,1))</f>
        <v>366.41072413829329</v>
      </c>
      <c r="AO38" s="62">
        <f t="shared" si="36"/>
        <v>234.41212418619125</v>
      </c>
      <c r="AP38" s="16">
        <f>IF(ISNA(VLOOKUP(A38,'Données projet'!$A$61:$I$81,3,0)),0,VLOOKUP(A38,'Données projet'!$A$61:$I$81,3,0))</f>
        <v>4</v>
      </c>
      <c r="AQ38" s="16">
        <f>IF(ISNA(VLOOKUP(A38,'Données projet'!$A$61:$I$81,4,0)),0,VLOOKUP(A38,'Données projet'!$A$61:$I$81,4,0))</f>
        <v>21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0</v>
      </c>
      <c r="AV38" s="23">
        <f>EXP(-LN(2)/25)*AV37+(1-EXP(-LN(2)/25))/(LN(2)/25)*Calculateur!AQ38*Calculateur!AS38*VLOOKUP('Données projet'!$B$10,Paramètres!$A$1:$I$89,3,0)*0.475*44/12</f>
        <v>0</v>
      </c>
      <c r="AW38" s="23">
        <f>EXP(-LN(2)/2)*AW37+(1-EXP(-LN(2)/2))/(LN(2)/2)*AQ38*AT38*VLOOKUP('Données projet'!$B$10,Paramètres!$A$1:$I$89,3,0)*0.475*44/12</f>
        <v>0</v>
      </c>
      <c r="AX38" s="23">
        <f t="shared" si="6"/>
        <v>0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10</v>
      </c>
      <c r="BD38" s="13">
        <f>IF('Données projet'!$A$88&gt;35,BD37+BC38-BL37,IF(A38&lt;'Données projet'!$A$88,$BA$205^A38,IF(A38='Données projet'!$A$88,'Données projet'!$B$88,BD37+BC38-BL37)))</f>
        <v>179.99999999999989</v>
      </c>
      <c r="BE38" s="14">
        <f>BD38*VLOOKUP('Données projet'!$B$11,Paramètres!$A$1:$I$89,3,0)*VLOOKUP('Données projet'!$B$11,Paramètres!$A$1:$I$89,5,0)</f>
        <v>84.239999999999938</v>
      </c>
      <c r="BF38" s="14">
        <f t="shared" si="37"/>
        <v>23.170749718409446</v>
      </c>
      <c r="BG38" s="22">
        <f t="shared" si="7"/>
        <v>187.07372242622966</v>
      </c>
      <c r="BH38" s="62">
        <f t="shared" si="8"/>
        <v>480.40705575956298</v>
      </c>
      <c r="BI38" s="62">
        <f ca="1">AVERAGE(OFFSET($BH$3,0,0,'Données projet'!$E$11+1,1))-AVERAGE(OFFSET($H$3,0,0,'Données projet'!$E$11+1,1))</f>
        <v>152.72674713084456</v>
      </c>
      <c r="BJ38" s="62">
        <f t="shared" si="38"/>
        <v>203.90215120562164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13.919302005995089</v>
      </c>
      <c r="BQ38" s="23">
        <f>EXP(-LN(2)/25)*BQ37+(1-EXP(-LN(2)/25))/(LN(2)/25)*Calculateur!BL38*Calculateur!BN38*VLOOKUP('Données projet'!$B$11,Paramètres!$A$1:$I$89,3,0)*0.475*44/12</f>
        <v>0</v>
      </c>
      <c r="BR38" s="23">
        <f>EXP(-LN(2)/2)*BR37+(1-EXP(-LN(2)/2))/(LN(2)/2)*BL38*BO38*VLOOKUP('Données projet'!$B$11,Paramètres!$A$1:$I$89,3,0)*0.475*44/12</f>
        <v>2.7425028554743656</v>
      </c>
      <c r="BS38" s="24">
        <f t="shared" si="9"/>
        <v>16.661804861469456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3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10.051516799999996</v>
      </c>
      <c r="D39" s="12">
        <f t="shared" si="32"/>
        <v>3.5409835496715671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32.946313128256548</v>
      </c>
      <c r="H39" s="70">
        <f t="shared" si="1"/>
        <v>280.34027144234466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8.4</v>
      </c>
      <c r="N39" s="14">
        <f>IF('Données projet'!$A$36&gt;35,N38+M39-V38,IF(A39&lt;'Données projet'!$A$36,$K$205^A39,IF(A39='Données projet'!$A$36,'Données projet'!$B$36,N38+M39-V38)))</f>
        <v>103.4</v>
      </c>
      <c r="O39" s="14">
        <f>N39*VLOOKUP('Données projet'!$B$9,Paramètres!$A$1:$I$89,3,0)*VLOOKUP('Données projet'!$B$9,Paramètres!$A$1:$I$89,5,0)</f>
        <v>93.556319999999999</v>
      </c>
      <c r="P39" s="14">
        <f t="shared" si="33"/>
        <v>25.420979659258073</v>
      </c>
      <c r="Q39" s="22">
        <f t="shared" si="53"/>
        <v>207.21879690654114</v>
      </c>
      <c r="R39" s="62">
        <f t="shared" si="0"/>
        <v>500.55213023987449</v>
      </c>
      <c r="S39" s="62">
        <f ca="1">AVERAGE(OFFSET($R$3,0,0,'Données projet'!$E$9+1,1))-AVERAGE(OFFSET($H$3,0,0,'Données projet'!$E$9+1,1))</f>
        <v>327.25473597900725</v>
      </c>
      <c r="T39" s="62">
        <f t="shared" si="34"/>
        <v>211.5313580973322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0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0</v>
      </c>
      <c r="AC39" s="24">
        <f t="shared" si="3"/>
        <v>0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8.4</v>
      </c>
      <c r="AI39" s="14">
        <f>IF('Données projet'!$A$62&gt;35,AI38+AH39-AQ38,IF(A39&lt;'Données projet'!$A$62,$AF$205^A39,IF(A39='Données projet'!$A$62,'Données projet'!$B$62,AI38+AH39-AQ38)))</f>
        <v>103.4</v>
      </c>
      <c r="AJ39" s="14">
        <f>AI39*VLOOKUP('Données projet'!$B$10,Paramètres!$A$1:$I$89,3,0)*VLOOKUP('Données projet'!$B$10,Paramètres!$A$1:$I$89,5,0)</f>
        <v>104.84760000000001</v>
      </c>
      <c r="AK39" s="14">
        <f t="shared" si="35"/>
        <v>28.113670466115643</v>
      </c>
      <c r="AL39" s="22">
        <f t="shared" si="4"/>
        <v>231.57421272848475</v>
      </c>
      <c r="AM39" s="62">
        <f t="shared" si="5"/>
        <v>524.90754606181804</v>
      </c>
      <c r="AN39" s="62">
        <f ca="1">AVERAGE(OFFSET($AM$3,0,0,'Données projet'!$E$10+1,1))-AVERAGE(OFFSET($H$3,0,0,'Données projet'!$E$10+1,1))</f>
        <v>366.41072413829329</v>
      </c>
      <c r="AO39" s="62">
        <f t="shared" si="36"/>
        <v>234.41212418619125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0</v>
      </c>
      <c r="AV39" s="23">
        <f>EXP(-LN(2)/25)*AV38+(1-EXP(-LN(2)/25))/(LN(2)/25)*Calculateur!AQ39*Calculateur!AS39*VLOOKUP('Données projet'!$B$10,Paramètres!$A$1:$I$89,3,0)*0.475*44/12</f>
        <v>0</v>
      </c>
      <c r="AW39" s="23">
        <f>EXP(-LN(2)/2)*AW38+(1-EXP(-LN(2)/2))/(LN(2)/2)*AQ39*AT39*VLOOKUP('Données projet'!$B$10,Paramètres!$A$1:$I$89,3,0)*0.475*44/12</f>
        <v>0</v>
      </c>
      <c r="AX39" s="23">
        <f t="shared" si="6"/>
        <v>0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10</v>
      </c>
      <c r="BD39" s="13">
        <f>IF('Données projet'!$A$88&gt;35,BD38+BC39-BL38,IF(A39&lt;'Données projet'!$A$88,$BA$205^A39,IF(A39='Données projet'!$A$88,'Données projet'!$B$88,BD38+BC39-BL38)))</f>
        <v>189.99999999999989</v>
      </c>
      <c r="BE39" s="14">
        <f>BD39*VLOOKUP('Données projet'!$B$11,Paramètres!$A$1:$I$89,3,0)*VLOOKUP('Données projet'!$B$11,Paramètres!$A$1:$I$89,5,0)</f>
        <v>88.919999999999959</v>
      </c>
      <c r="BF39" s="14">
        <f t="shared" si="37"/>
        <v>24.30457227046648</v>
      </c>
      <c r="BG39" s="22">
        <f t="shared" si="7"/>
        <v>197.19946337106239</v>
      </c>
      <c r="BH39" s="62">
        <f t="shared" si="8"/>
        <v>490.53279670439571</v>
      </c>
      <c r="BI39" s="62">
        <f ca="1">AVERAGE(OFFSET($BH$3,0,0,'Données projet'!$E$11+1,1))-AVERAGE(OFFSET($H$3,0,0,'Données projet'!$E$11+1,1))</f>
        <v>152.72674713084456</v>
      </c>
      <c r="BJ39" s="62">
        <f t="shared" si="38"/>
        <v>203.90215120562164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13.646352983593438</v>
      </c>
      <c r="BQ39" s="23">
        <f>EXP(-LN(2)/25)*BQ38+(1-EXP(-LN(2)/25))/(LN(2)/25)*Calculateur!BL39*Calculateur!BN39*VLOOKUP('Données projet'!$B$11,Paramètres!$A$1:$I$89,3,0)*0.475*44/12</f>
        <v>0</v>
      </c>
      <c r="BR39" s="23">
        <f>EXP(-LN(2)/2)*BR38+(1-EXP(-LN(2)/2))/(LN(2)/2)*BL39*BO39*VLOOKUP('Données projet'!$B$11,Paramètres!$A$1:$I$89,3,0)*0.475*44/12</f>
        <v>1.9392423665293941</v>
      </c>
      <c r="BS39" s="24">
        <f t="shared" si="9"/>
        <v>15.585595350122832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3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10.330725599999996</v>
      </c>
      <c r="D40" s="12">
        <f t="shared" si="32"/>
        <v>3.6277559482431032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33.833400187811698</v>
      </c>
      <c r="H40" s="70">
        <f t="shared" si="1"/>
        <v>280.97768869652339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8.4</v>
      </c>
      <c r="N40" s="14">
        <f>IF('Données projet'!$A$36&gt;35,N39+M40-V39,IF(A40&lt;'Données projet'!$A$36,$K$205^A40,IF(A40='Données projet'!$A$36,'Données projet'!$B$36,N39+M40-V39)))</f>
        <v>111.80000000000001</v>
      </c>
      <c r="O40" s="14">
        <f>N40*VLOOKUP('Données projet'!$B$9,Paramètres!$A$1:$I$89,3,0)*VLOOKUP('Données projet'!$B$9,Paramètres!$A$1:$I$89,5,0)</f>
        <v>101.15664000000001</v>
      </c>
      <c r="P40" s="14">
        <f t="shared" si="33"/>
        <v>27.237366379381644</v>
      </c>
      <c r="Q40" s="22">
        <f t="shared" si="53"/>
        <v>223.61956111075639</v>
      </c>
      <c r="R40" s="62">
        <f t="shared" si="0"/>
        <v>516.95289444408968</v>
      </c>
      <c r="S40" s="62">
        <f ca="1">AVERAGE(OFFSET($R$3,0,0,'Données projet'!$E$9+1,1))-AVERAGE(OFFSET($H$3,0,0,'Données projet'!$E$9+1,1))</f>
        <v>327.25473597900725</v>
      </c>
      <c r="T40" s="62">
        <f t="shared" si="34"/>
        <v>211.5313580973322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0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0</v>
      </c>
      <c r="AC40" s="24">
        <f t="shared" si="3"/>
        <v>0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8.4</v>
      </c>
      <c r="AI40" s="14">
        <f>IF('Données projet'!$A$62&gt;35,AI39+AH40-AQ39,IF(A40&lt;'Données projet'!$A$62,$AF$205^A40,IF(A40='Données projet'!$A$62,'Données projet'!$B$62,AI39+AH40-AQ39)))</f>
        <v>111.80000000000001</v>
      </c>
      <c r="AJ40" s="14">
        <f>AI40*VLOOKUP('Données projet'!$B$10,Paramètres!$A$1:$I$89,3,0)*VLOOKUP('Données projet'!$B$10,Paramètres!$A$1:$I$89,5,0)</f>
        <v>113.36520000000003</v>
      </c>
      <c r="AK40" s="14">
        <f t="shared" si="35"/>
        <v>30.122456058687614</v>
      </c>
      <c r="AL40" s="22">
        <f t="shared" si="4"/>
        <v>249.9076676355476</v>
      </c>
      <c r="AM40" s="62">
        <f t="shared" si="5"/>
        <v>543.24100096888094</v>
      </c>
      <c r="AN40" s="62">
        <f ca="1">AVERAGE(OFFSET($AM$3,0,0,'Données projet'!$E$10+1,1))-AVERAGE(OFFSET($H$3,0,0,'Données projet'!$E$10+1,1))</f>
        <v>366.41072413829329</v>
      </c>
      <c r="AO40" s="62">
        <f t="shared" si="36"/>
        <v>234.41212418619125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0</v>
      </c>
      <c r="AV40" s="23">
        <f>EXP(-LN(2)/25)*AV39+(1-EXP(-LN(2)/25))/(LN(2)/25)*Calculateur!AQ40*Calculateur!AS40*VLOOKUP('Données projet'!$B$10,Paramètres!$A$1:$I$89,3,0)*0.475*44/12</f>
        <v>0</v>
      </c>
      <c r="AW40" s="23">
        <f>EXP(-LN(2)/2)*AW39+(1-EXP(-LN(2)/2))/(LN(2)/2)*AQ40*AT40*VLOOKUP('Données projet'!$B$10,Paramètres!$A$1:$I$89,3,0)*0.475*44/12</f>
        <v>0</v>
      </c>
      <c r="AX40" s="23">
        <f t="shared" si="6"/>
        <v>0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>
        <f>VLOOKUP(A40,'Données projet'!$A$87:$I$107,2,0)</f>
        <v>200</v>
      </c>
      <c r="BB40" s="13">
        <f>VLOOKUP(A40,'Données projet'!$A$87:$I$107,9,0)</f>
        <v>10</v>
      </c>
      <c r="BC40" s="13">
        <f t="array" ref="BC40">INDEX(BB:BB,MIN(IF(ISNUMBER(BB40:BB236),ROW(BB40:BB236),"")))</f>
        <v>10</v>
      </c>
      <c r="BD40" s="13">
        <f>IF('Données projet'!$A$88&gt;35,BD39+BC40-BL39,IF(A40&lt;'Données projet'!$A$88,$BA$205^A40,IF(A40='Données projet'!$A$88,'Données projet'!$B$88,BD39+BC40-BL39)))</f>
        <v>199.99999999999989</v>
      </c>
      <c r="BE40" s="14">
        <f>BD40*VLOOKUP('Données projet'!$B$11,Paramètres!$A$1:$I$89,3,0)*VLOOKUP('Données projet'!$B$11,Paramètres!$A$1:$I$89,5,0)</f>
        <v>93.599999999999952</v>
      </c>
      <c r="BF40" s="14">
        <f t="shared" si="37"/>
        <v>25.431466524572915</v>
      </c>
      <c r="BG40" s="22">
        <f t="shared" si="7"/>
        <v>207.31313753029772</v>
      </c>
      <c r="BH40" s="62">
        <f t="shared" si="8"/>
        <v>500.64647086363107</v>
      </c>
      <c r="BI40" s="62">
        <f ca="1">AVERAGE(OFFSET($BH$3,0,0,'Données projet'!$E$11+1,1))-AVERAGE(OFFSET($H$3,0,0,'Données projet'!$E$11+1,1))</f>
        <v>152.72674713084456</v>
      </c>
      <c r="BJ40" s="62">
        <f t="shared" si="38"/>
        <v>203.90215120562164</v>
      </c>
      <c r="BK40" s="16">
        <f>IF(ISNA(VLOOKUP(A40,'Données projet'!$A$87:$I$107,3,0)),0,VLOOKUP(A40,'Données projet'!$A$87:$I$107,3,0))</f>
        <v>4</v>
      </c>
      <c r="BL40" s="16">
        <f>IF(ISNA(VLOOKUP(A40,'Données projet'!$A$87:$I$107,4,0)),0,VLOOKUP(A40,'Données projet'!$A$87:$I$107,4,0))</f>
        <v>50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13.378756325038617</v>
      </c>
      <c r="BQ40" s="23">
        <f>EXP(-LN(2)/25)*BQ39+(1-EXP(-LN(2)/25))/(LN(2)/25)*Calculateur!BL40*Calculateur!BN40*VLOOKUP('Données projet'!$B$11,Paramètres!$A$1:$I$89,3,0)*0.475*44/12</f>
        <v>0</v>
      </c>
      <c r="BR40" s="23">
        <f>EXP(-LN(2)/2)*BR39+(1-EXP(-LN(2)/2))/(LN(2)/2)*BL40*BO40*VLOOKUP('Données projet'!$B$11,Paramètres!$A$1:$I$89,3,0)*0.475*44/12</f>
        <v>1.371251427737183</v>
      </c>
      <c r="BS40" s="24">
        <f t="shared" si="9"/>
        <v>14.750007752775801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3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10.609934399999995</v>
      </c>
      <c r="D41" s="12">
        <f t="shared" si="32"/>
        <v>3.7142557594132595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34.719826533763772</v>
      </c>
      <c r="H41" s="70">
        <f t="shared" si="1"/>
        <v>281.61463119431141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8.4</v>
      </c>
      <c r="N41" s="14">
        <f>IF('Données projet'!$A$36&gt;35,N40+M41-V40,IF(A41&lt;'Données projet'!$A$36,$K$205^A41,IF(A41='Données projet'!$A$36,'Données projet'!$B$36,N40+M41-V40)))</f>
        <v>120.20000000000002</v>
      </c>
      <c r="O41" s="14">
        <f>N41*VLOOKUP('Données projet'!$B$9,Paramètres!$A$1:$I$89,3,0)*VLOOKUP('Données projet'!$B$9,Paramètres!$A$1:$I$89,5,0)</f>
        <v>108.75696000000002</v>
      </c>
      <c r="P41" s="14">
        <f t="shared" si="33"/>
        <v>29.037921223305609</v>
      </c>
      <c r="Q41" s="22">
        <f t="shared" si="53"/>
        <v>239.99275146392395</v>
      </c>
      <c r="R41" s="62">
        <f t="shared" si="0"/>
        <v>533.32608479725729</v>
      </c>
      <c r="S41" s="62">
        <f ca="1">AVERAGE(OFFSET($R$3,0,0,'Données projet'!$E$9+1,1))-AVERAGE(OFFSET($H$3,0,0,'Données projet'!$E$9+1,1))</f>
        <v>327.25473597900725</v>
      </c>
      <c r="T41" s="62">
        <f t="shared" si="34"/>
        <v>211.5313580973322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0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0</v>
      </c>
      <c r="AC41" s="24">
        <f t="shared" si="3"/>
        <v>0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8.4</v>
      </c>
      <c r="AI41" s="14">
        <f>IF('Données projet'!$A$62&gt;35,AI40+AH41-AQ40,IF(A41&lt;'Données projet'!$A$62,$AF$205^A41,IF(A41='Données projet'!$A$62,'Données projet'!$B$62,AI40+AH41-AQ40)))</f>
        <v>120.20000000000002</v>
      </c>
      <c r="AJ41" s="14">
        <f>AI41*VLOOKUP('Données projet'!$B$10,Paramètres!$A$1:$I$89,3,0)*VLOOKUP('Données projet'!$B$10,Paramètres!$A$1:$I$89,5,0)</f>
        <v>121.88280000000002</v>
      </c>
      <c r="AK41" s="14">
        <f t="shared" si="35"/>
        <v>32.113732800054677</v>
      </c>
      <c r="AL41" s="22">
        <f t="shared" si="4"/>
        <v>268.21062796009522</v>
      </c>
      <c r="AM41" s="62">
        <f t="shared" si="5"/>
        <v>561.54396129342854</v>
      </c>
      <c r="AN41" s="62">
        <f ca="1">AVERAGE(OFFSET($AM$3,0,0,'Données projet'!$E$10+1,1))-AVERAGE(OFFSET($H$3,0,0,'Données projet'!$E$10+1,1))</f>
        <v>366.41072413829329</v>
      </c>
      <c r="AO41" s="62">
        <f t="shared" si="36"/>
        <v>234.41212418619125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0</v>
      </c>
      <c r="AV41" s="23">
        <f>EXP(-LN(2)/25)*AV40+(1-EXP(-LN(2)/25))/(LN(2)/25)*Calculateur!AQ41*Calculateur!AS41*VLOOKUP('Données projet'!$B$10,Paramètres!$A$1:$I$89,3,0)*0.475*44/12</f>
        <v>0</v>
      </c>
      <c r="AW41" s="23">
        <f>EXP(-LN(2)/2)*AW40+(1-EXP(-LN(2)/2))/(LN(2)/2)*AQ41*AT41*VLOOKUP('Données projet'!$B$10,Paramètres!$A$1:$I$89,3,0)*0.475*44/12</f>
        <v>0</v>
      </c>
      <c r="AX41" s="23">
        <f t="shared" si="6"/>
        <v>0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10.857142857142858</v>
      </c>
      <c r="BD41" s="13">
        <f>IF('Données projet'!$A$88&gt;35,BD40+BC41-BL40,IF(A41&lt;'Données projet'!$A$88,$BA$205^A41,IF(A41='Données projet'!$A$88,'Données projet'!$B$88,BD40+BC41-BL40)))</f>
        <v>160.85714285714275</v>
      </c>
      <c r="BE41" s="14">
        <f>BD41*VLOOKUP('Données projet'!$B$11,Paramètres!$A$1:$I$89,3,0)*VLOOKUP('Données projet'!$B$11,Paramètres!$A$1:$I$89,5,0)</f>
        <v>75.281142857142797</v>
      </c>
      <c r="BF41" s="14">
        <f t="shared" si="37"/>
        <v>20.979348355748712</v>
      </c>
      <c r="BG41" s="22">
        <f t="shared" si="7"/>
        <v>167.6536888624527</v>
      </c>
      <c r="BH41" s="62">
        <f t="shared" si="8"/>
        <v>460.98702219578604</v>
      </c>
      <c r="BI41" s="62">
        <f ca="1">AVERAGE(OFFSET($BH$3,0,0,'Données projet'!$E$11+1,1))-AVERAGE(OFFSET($H$3,0,0,'Données projet'!$E$11+1,1))</f>
        <v>152.72674713084456</v>
      </c>
      <c r="BJ41" s="62">
        <f t="shared" si="38"/>
        <v>203.90215120562164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13.116407073740213</v>
      </c>
      <c r="BQ41" s="23">
        <f>EXP(-LN(2)/25)*BQ40+(1-EXP(-LN(2)/25))/(LN(2)/25)*Calculateur!BL41*Calculateur!BN41*VLOOKUP('Données projet'!$B$11,Paramètres!$A$1:$I$89,3,0)*0.475*44/12</f>
        <v>0</v>
      </c>
      <c r="BR41" s="23">
        <f>EXP(-LN(2)/2)*BR40+(1-EXP(-LN(2)/2))/(LN(2)/2)*BL41*BO41*VLOOKUP('Données projet'!$B$11,Paramètres!$A$1:$I$89,3,0)*0.475*44/12</f>
        <v>0.96962118326469726</v>
      </c>
      <c r="BS41" s="24">
        <f t="shared" si="9"/>
        <v>14.08602825700491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3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10.889143199999994</v>
      </c>
      <c r="D42" s="12">
        <f t="shared" si="32"/>
        <v>3.8004909811287431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35.605611552013094</v>
      </c>
      <c r="H42" s="70">
        <f t="shared" si="1"/>
        <v>282.25111286546587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8.4</v>
      </c>
      <c r="N42" s="14">
        <f>IF('Données projet'!$A$36&gt;35,N41+M42-V41,IF(A42&lt;'Données projet'!$A$36,$K$205^A42,IF(A42='Données projet'!$A$36,'Données projet'!$B$36,N41+M42-V41)))</f>
        <v>128.60000000000002</v>
      </c>
      <c r="O42" s="14">
        <f>N42*VLOOKUP('Données projet'!$B$9,Paramètres!$A$1:$I$89,3,0)*VLOOKUP('Données projet'!$B$9,Paramètres!$A$1:$I$89,5,0)</f>
        <v>116.35728000000002</v>
      </c>
      <c r="P42" s="14">
        <f t="shared" si="33"/>
        <v>30.823876427820704</v>
      </c>
      <c r="Q42" s="22">
        <f t="shared" si="53"/>
        <v>256.34051411178774</v>
      </c>
      <c r="R42" s="62">
        <f t="shared" si="0"/>
        <v>549.67384744512105</v>
      </c>
      <c r="S42" s="62">
        <f ca="1">AVERAGE(OFFSET($R$3,0,0,'Données projet'!$E$9+1,1))-AVERAGE(OFFSET($H$3,0,0,'Données projet'!$E$9+1,1))</f>
        <v>327.25473597900725</v>
      </c>
      <c r="T42" s="62">
        <f t="shared" si="34"/>
        <v>211.5313580973322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0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0</v>
      </c>
      <c r="AC42" s="24">
        <f t="shared" si="3"/>
        <v>0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8.4</v>
      </c>
      <c r="AI42" s="14">
        <f>IF('Données projet'!$A$62&gt;35,AI41+AH42-AQ41,IF(A42&lt;'Données projet'!$A$62,$AF$205^A42,IF(A42='Données projet'!$A$62,'Données projet'!$B$62,AI41+AH42-AQ41)))</f>
        <v>128.60000000000002</v>
      </c>
      <c r="AJ42" s="14">
        <f>AI42*VLOOKUP('Données projet'!$B$10,Paramètres!$A$1:$I$89,3,0)*VLOOKUP('Données projet'!$B$10,Paramètres!$A$1:$I$89,5,0)</f>
        <v>130.40040000000002</v>
      </c>
      <c r="AK42" s="14">
        <f t="shared" si="35"/>
        <v>34.088863450406919</v>
      </c>
      <c r="AL42" s="22">
        <f t="shared" si="4"/>
        <v>286.48546717612544</v>
      </c>
      <c r="AM42" s="62">
        <f t="shared" si="5"/>
        <v>579.8188005094587</v>
      </c>
      <c r="AN42" s="62">
        <f ca="1">AVERAGE(OFFSET($AM$3,0,0,'Données projet'!$E$10+1,1))-AVERAGE(OFFSET($H$3,0,0,'Données projet'!$E$10+1,1))</f>
        <v>366.41072413829329</v>
      </c>
      <c r="AO42" s="62">
        <f t="shared" si="36"/>
        <v>234.41212418619125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0</v>
      </c>
      <c r="AV42" s="23">
        <f>EXP(-LN(2)/25)*AV41+(1-EXP(-LN(2)/25))/(LN(2)/25)*Calculateur!AQ42*Calculateur!AS42*VLOOKUP('Données projet'!$B$10,Paramètres!$A$1:$I$89,3,0)*0.475*44/12</f>
        <v>0</v>
      </c>
      <c r="AW42" s="23">
        <f>EXP(-LN(2)/2)*AW41+(1-EXP(-LN(2)/2))/(LN(2)/2)*AQ42*AT42*VLOOKUP('Données projet'!$B$10,Paramètres!$A$1:$I$89,3,0)*0.475*44/12</f>
        <v>0</v>
      </c>
      <c r="AX42" s="23">
        <f t="shared" si="6"/>
        <v>0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10.857142857142858</v>
      </c>
      <c r="BD42" s="13">
        <f>IF('Données projet'!$A$88&gt;35,BD41+BC42-BL41,IF(A42&lt;'Données projet'!$A$88,$BA$205^A42,IF(A42='Données projet'!$A$88,'Données projet'!$B$88,BD41+BC42-BL41)))</f>
        <v>171.71428571428561</v>
      </c>
      <c r="BE42" s="14">
        <f>BD42*VLOOKUP('Données projet'!$B$11,Paramètres!$A$1:$I$89,3,0)*VLOOKUP('Données projet'!$B$11,Paramètres!$A$1:$I$89,5,0)</f>
        <v>80.362285714285662</v>
      </c>
      <c r="BF42" s="14">
        <f t="shared" si="37"/>
        <v>22.225741561876685</v>
      </c>
      <c r="BG42" s="22">
        <f t="shared" si="7"/>
        <v>178.67414750598275</v>
      </c>
      <c r="BH42" s="62">
        <f t="shared" si="8"/>
        <v>472.00748083931603</v>
      </c>
      <c r="BI42" s="62">
        <f ca="1">AVERAGE(OFFSET($BH$3,0,0,'Données projet'!$E$11+1,1))-AVERAGE(OFFSET($H$3,0,0,'Données projet'!$E$11+1,1))</f>
        <v>152.72674713084456</v>
      </c>
      <c r="BJ42" s="62">
        <f t="shared" si="38"/>
        <v>203.90215120562164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12.859202331242527</v>
      </c>
      <c r="BQ42" s="23">
        <f>EXP(-LN(2)/25)*BQ41+(1-EXP(-LN(2)/25))/(LN(2)/25)*Calculateur!BL42*Calculateur!BN42*VLOOKUP('Données projet'!$B$11,Paramètres!$A$1:$I$89,3,0)*0.475*44/12</f>
        <v>0</v>
      </c>
      <c r="BR42" s="23">
        <f>EXP(-LN(2)/2)*BR41+(1-EXP(-LN(2)/2))/(LN(2)/2)*BL42*BO42*VLOOKUP('Données projet'!$B$11,Paramètres!$A$1:$I$89,3,0)*0.475*44/12</f>
        <v>0.68562571386859161</v>
      </c>
      <c r="BS42" s="24">
        <f t="shared" si="9"/>
        <v>13.544828045111117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3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11.168351999999993</v>
      </c>
      <c r="D43" s="12">
        <f t="shared" si="32"/>
        <v>3.8864691778181024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36.490773577672776</v>
      </c>
      <c r="H43" s="70">
        <f t="shared" si="1"/>
        <v>282.88714688469986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137</v>
      </c>
      <c r="L43" s="13">
        <f>VLOOKUP(A43,'Données projet'!$A$35:$I$55,9,0)</f>
        <v>8.4</v>
      </c>
      <c r="M43" s="13">
        <f t="array" ref="M43">INDEX(L:L,MIN(IF(ISNUMBER(L43:L239),ROW(L43:L239),"")))</f>
        <v>8.4</v>
      </c>
      <c r="N43" s="14">
        <f>IF('Données projet'!$A$36&gt;35,N42+M43-V42,IF(A43&lt;'Données projet'!$A$36,$K$205^A43,IF(A43='Données projet'!$A$36,'Données projet'!$B$36,N42+M43-V42)))</f>
        <v>137.00000000000003</v>
      </c>
      <c r="O43" s="14">
        <f>N43*VLOOKUP('Données projet'!$B$9,Paramètres!$A$1:$I$89,3,0)*VLOOKUP('Données projet'!$B$9,Paramètres!$A$1:$I$89,5,0)</f>
        <v>123.95760000000001</v>
      </c>
      <c r="P43" s="14">
        <f t="shared" si="33"/>
        <v>32.59629414926458</v>
      </c>
      <c r="Q43" s="22">
        <f t="shared" si="53"/>
        <v>272.6646989766358</v>
      </c>
      <c r="R43" s="62">
        <f t="shared" si="0"/>
        <v>565.99803230996918</v>
      </c>
      <c r="S43" s="62">
        <f ca="1">AVERAGE(OFFSET($R$3,0,0,'Données projet'!$E$9+1,1))-AVERAGE(OFFSET($H$3,0,0,'Données projet'!$E$9+1,1))</f>
        <v>327.25473597900725</v>
      </c>
      <c r="T43" s="62">
        <f t="shared" si="34"/>
        <v>211.5313580973322</v>
      </c>
      <c r="U43" s="16">
        <f>IF(ISNA(VLOOKUP(A43,'Données projet'!$A$35:$I$55,3,0)),0,VLOOKUP(A43,'Données projet'!$A$35:$I$55,3,0))</f>
        <v>5</v>
      </c>
      <c r="V43" s="16">
        <f>IF(ISNA(VLOOKUP(A43,'Données projet'!$A$35:$I$55,4,0)),0,VLOOKUP(A43,'Données projet'!$A$35:$I$55,4,0))</f>
        <v>21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0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0</v>
      </c>
      <c r="AC43" s="24">
        <f t="shared" si="3"/>
        <v>0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137</v>
      </c>
      <c r="AG43" s="13">
        <f>VLOOKUP(A43,'Données projet'!$A$61:$I$81,9,0)</f>
        <v>8.4</v>
      </c>
      <c r="AH43" s="13">
        <f t="array" ref="AH43">INDEX(AG:AG,MIN(IF(ISNUMBER(AG43:AG239),ROW(AG43:AG239),"")))</f>
        <v>8.4</v>
      </c>
      <c r="AI43" s="14">
        <f>IF('Données projet'!$A$62&gt;35,AI42+AH43-AQ42,IF(A43&lt;'Données projet'!$A$62,$AF$205^A43,IF(A43='Données projet'!$A$62,'Données projet'!$B$62,AI42+AH43-AQ42)))</f>
        <v>137.00000000000003</v>
      </c>
      <c r="AJ43" s="14">
        <f>AI43*VLOOKUP('Données projet'!$B$10,Paramètres!$A$1:$I$89,3,0)*VLOOKUP('Données projet'!$B$10,Paramètres!$A$1:$I$89,5,0)</f>
        <v>138.91800000000003</v>
      </c>
      <c r="AK43" s="14">
        <f t="shared" si="35"/>
        <v>36.049022673886341</v>
      </c>
      <c r="AL43" s="22">
        <f t="shared" si="4"/>
        <v>304.73423115701877</v>
      </c>
      <c r="AM43" s="62">
        <f t="shared" si="5"/>
        <v>598.06756449035208</v>
      </c>
      <c r="AN43" s="62">
        <f ca="1">AVERAGE(OFFSET($AM$3,0,0,'Données projet'!$E$10+1,1))-AVERAGE(OFFSET($H$3,0,0,'Données projet'!$E$10+1,1))</f>
        <v>366.41072413829329</v>
      </c>
      <c r="AO43" s="62">
        <f t="shared" si="36"/>
        <v>234.41212418619125</v>
      </c>
      <c r="AP43" s="16">
        <f>IF(ISNA(VLOOKUP(A43,'Données projet'!$A$61:$I$81,3,0)),0,VLOOKUP(A43,'Données projet'!$A$61:$I$81,3,0))</f>
        <v>5</v>
      </c>
      <c r="AQ43" s="16">
        <f>IF(ISNA(VLOOKUP(A43,'Données projet'!$A$61:$I$81,4,0)),0,VLOOKUP(A43,'Données projet'!$A$61:$I$81,4,0))</f>
        <v>21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0</v>
      </c>
      <c r="AV43" s="23">
        <f>EXP(-LN(2)/25)*AV42+(1-EXP(-LN(2)/25))/(LN(2)/25)*Calculateur!AQ43*Calculateur!AS43*VLOOKUP('Données projet'!$B$10,Paramètres!$A$1:$I$89,3,0)*0.475*44/12</f>
        <v>0</v>
      </c>
      <c r="AW43" s="23">
        <f>EXP(-LN(2)/2)*AW42+(1-EXP(-LN(2)/2))/(LN(2)/2)*AQ43*AT43*VLOOKUP('Données projet'!$B$10,Paramètres!$A$1:$I$89,3,0)*0.475*44/12</f>
        <v>0</v>
      </c>
      <c r="AX43" s="23">
        <f t="shared" si="6"/>
        <v>0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10.857142857142858</v>
      </c>
      <c r="BD43" s="13">
        <f>IF('Données projet'!$A$88&gt;35,BD42+BC43-BL42,IF(A43&lt;'Données projet'!$A$88,$BA$205^A43,IF(A43='Données projet'!$A$88,'Données projet'!$B$88,BD42+BC43-BL42)))</f>
        <v>182.57142857142847</v>
      </c>
      <c r="BE43" s="14">
        <f>BD43*VLOOKUP('Données projet'!$B$11,Paramètres!$A$1:$I$89,3,0)*VLOOKUP('Données projet'!$B$11,Paramètres!$A$1:$I$89,5,0)</f>
        <v>85.443428571428527</v>
      </c>
      <c r="BF43" s="14">
        <f t="shared" si="37"/>
        <v>23.462988887975445</v>
      </c>
      <c r="BG43" s="22">
        <f t="shared" si="7"/>
        <v>189.67867707512858</v>
      </c>
      <c r="BH43" s="62">
        <f t="shared" si="8"/>
        <v>483.01201040846189</v>
      </c>
      <c r="BI43" s="62">
        <f ca="1">AVERAGE(OFFSET($BH$3,0,0,'Données projet'!$E$11+1,1))-AVERAGE(OFFSET($H$3,0,0,'Données projet'!$E$11+1,1))</f>
        <v>152.72674713084456</v>
      </c>
      <c r="BJ43" s="62">
        <f t="shared" si="38"/>
        <v>203.90215120562164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12.607041216865817</v>
      </c>
      <c r="BQ43" s="23">
        <f>EXP(-LN(2)/25)*BQ42+(1-EXP(-LN(2)/25))/(LN(2)/25)*Calculateur!BL43*Calculateur!BN43*VLOOKUP('Données projet'!$B$11,Paramètres!$A$1:$I$89,3,0)*0.475*44/12</f>
        <v>0</v>
      </c>
      <c r="BR43" s="23">
        <f>EXP(-LN(2)/2)*BR42+(1-EXP(-LN(2)/2))/(LN(2)/2)*BL43*BO43*VLOOKUP('Données projet'!$B$11,Paramètres!$A$1:$I$89,3,0)*0.475*44/12</f>
        <v>0.48481059163234869</v>
      </c>
      <c r="BS43" s="24">
        <f t="shared" si="9"/>
        <v>13.091851808498165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3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11.447560799999993</v>
      </c>
      <c r="D44" s="12">
        <f t="shared" si="32"/>
        <v>3.9721975141322088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37.375329976850971</v>
      </c>
      <c r="H44" s="70">
        <f t="shared" si="1"/>
        <v>283.52274573044696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8.4</v>
      </c>
      <c r="N44" s="14">
        <f>IF('Données projet'!$A$36&gt;35,N43+M44-V43,IF(A44&lt;'Données projet'!$A$36,$K$205^A44,IF(A44='Données projet'!$A$36,'Données projet'!$B$36,N43+M44-V43)))</f>
        <v>124.40000000000003</v>
      </c>
      <c r="O44" s="14">
        <f>N44*VLOOKUP('Données projet'!$B$9,Paramètres!$A$1:$I$89,3,0)*VLOOKUP('Données projet'!$B$9,Paramètres!$A$1:$I$89,5,0)</f>
        <v>112.55712000000003</v>
      </c>
      <c r="P44" s="14">
        <f t="shared" si="33"/>
        <v>29.932653834140599</v>
      </c>
      <c r="Q44" s="22">
        <f t="shared" si="53"/>
        <v>248.16968942779496</v>
      </c>
      <c r="R44" s="62">
        <f t="shared" si="0"/>
        <v>541.50302276112825</v>
      </c>
      <c r="S44" s="62">
        <f ca="1">AVERAGE(OFFSET($R$3,0,0,'Données projet'!$E$9+1,1))-AVERAGE(OFFSET($H$3,0,0,'Données projet'!$E$9+1,1))</f>
        <v>327.25473597900725</v>
      </c>
      <c r="T44" s="62">
        <f t="shared" si="34"/>
        <v>211.5313580973322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0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0</v>
      </c>
      <c r="AC44" s="24">
        <f t="shared" si="3"/>
        <v>0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8.4</v>
      </c>
      <c r="AI44" s="14">
        <f>IF('Données projet'!$A$62&gt;35,AI43+AH44-AQ43,IF(A44&lt;'Données projet'!$A$62,$AF$205^A44,IF(A44='Données projet'!$A$62,'Données projet'!$B$62,AI43+AH44-AQ43)))</f>
        <v>124.40000000000003</v>
      </c>
      <c r="AJ44" s="14">
        <f>AI44*VLOOKUP('Données projet'!$B$10,Paramètres!$A$1:$I$89,3,0)*VLOOKUP('Données projet'!$B$10,Paramètres!$A$1:$I$89,5,0)</f>
        <v>126.14160000000005</v>
      </c>
      <c r="AK44" s="14">
        <f t="shared" si="35"/>
        <v>33.10323903126482</v>
      </c>
      <c r="AL44" s="22">
        <f t="shared" si="4"/>
        <v>277.35142797945298</v>
      </c>
      <c r="AM44" s="62">
        <f t="shared" si="5"/>
        <v>570.68476131278635</v>
      </c>
      <c r="AN44" s="62">
        <f ca="1">AVERAGE(OFFSET($AM$3,0,0,'Données projet'!$E$10+1,1))-AVERAGE(OFFSET($H$3,0,0,'Données projet'!$E$10+1,1))</f>
        <v>366.41072413829329</v>
      </c>
      <c r="AO44" s="62">
        <f t="shared" si="36"/>
        <v>234.41212418619125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0</v>
      </c>
      <c r="AV44" s="23">
        <f>EXP(-LN(2)/25)*AV43+(1-EXP(-LN(2)/25))/(LN(2)/25)*Calculateur!AQ44*Calculateur!AS44*VLOOKUP('Données projet'!$B$10,Paramètres!$A$1:$I$89,3,0)*0.475*44/12</f>
        <v>0</v>
      </c>
      <c r="AW44" s="23">
        <f>EXP(-LN(2)/2)*AW43+(1-EXP(-LN(2)/2))/(LN(2)/2)*AQ44*AT44*VLOOKUP('Données projet'!$B$10,Paramètres!$A$1:$I$89,3,0)*0.475*44/12</f>
        <v>0</v>
      </c>
      <c r="AX44" s="23">
        <f t="shared" si="6"/>
        <v>0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10.857142857142858</v>
      </c>
      <c r="BD44" s="13">
        <f>IF('Données projet'!$A$88&gt;35,BD43+BC44-BL43,IF(A44&lt;'Données projet'!$A$88,$BA$205^A44,IF(A44='Données projet'!$A$88,'Données projet'!$B$88,BD43+BC44-BL43)))</f>
        <v>193.42857142857133</v>
      </c>
      <c r="BE44" s="14">
        <f>BD44*VLOOKUP('Données projet'!$B$11,Paramètres!$A$1:$I$89,3,0)*VLOOKUP('Données projet'!$B$11,Paramètres!$A$1:$I$89,5,0)</f>
        <v>90.524571428571392</v>
      </c>
      <c r="BF44" s="14">
        <f t="shared" si="37"/>
        <v>24.691696167188251</v>
      </c>
      <c r="BG44" s="22">
        <f t="shared" si="7"/>
        <v>200.66833272928136</v>
      </c>
      <c r="BH44" s="62">
        <f t="shared" si="8"/>
        <v>494.00166606261467</v>
      </c>
      <c r="BI44" s="62">
        <f ca="1">AVERAGE(OFFSET($BH$3,0,0,'Données projet'!$E$11+1,1))-AVERAGE(OFFSET($H$3,0,0,'Données projet'!$E$11+1,1))</f>
        <v>152.72674713084456</v>
      </c>
      <c r="BJ44" s="62">
        <f t="shared" si="38"/>
        <v>203.90215120562164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12.359824828138942</v>
      </c>
      <c r="BQ44" s="23">
        <f>EXP(-LN(2)/25)*BQ43+(1-EXP(-LN(2)/25))/(LN(2)/25)*Calculateur!BL44*Calculateur!BN44*VLOOKUP('Données projet'!$B$11,Paramètres!$A$1:$I$89,3,0)*0.475*44/12</f>
        <v>0</v>
      </c>
      <c r="BR44" s="23">
        <f>EXP(-LN(2)/2)*BR43+(1-EXP(-LN(2)/2))/(LN(2)/2)*BL44*BO44*VLOOKUP('Données projet'!$B$11,Paramètres!$A$1:$I$89,3,0)*0.475*44/12</f>
        <v>0.34281285693429586</v>
      </c>
      <c r="BS44" s="24">
        <f t="shared" si="9"/>
        <v>12.702637685073238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3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11.726769599999992</v>
      </c>
      <c r="D45" s="12">
        <f t="shared" si="32"/>
        <v>4.0576827853002841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38.259297220229584</v>
      </c>
      <c r="H45" s="70">
        <f t="shared" si="1"/>
        <v>284.15792123773133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8.4</v>
      </c>
      <c r="N45" s="14">
        <f>IF('Données projet'!$A$36&gt;35,N44+M45-V44,IF(A45&lt;'Données projet'!$A$36,$K$205^A45,IF(A45='Données projet'!$A$36,'Données projet'!$B$36,N44+M45-V44)))</f>
        <v>132.80000000000004</v>
      </c>
      <c r="O45" s="14">
        <f>N45*VLOOKUP('Données projet'!$B$9,Paramètres!$A$1:$I$89,3,0)*VLOOKUP('Données projet'!$B$9,Paramètres!$A$1:$I$89,5,0)</f>
        <v>120.15744000000002</v>
      </c>
      <c r="P45" s="14">
        <f t="shared" si="33"/>
        <v>31.711716786129845</v>
      </c>
      <c r="Q45" s="22">
        <f t="shared" si="53"/>
        <v>264.50544806917623</v>
      </c>
      <c r="R45" s="62">
        <f t="shared" si="0"/>
        <v>557.83878140250954</v>
      </c>
      <c r="S45" s="62">
        <f ca="1">AVERAGE(OFFSET($R$3,0,0,'Données projet'!$E$9+1,1))-AVERAGE(OFFSET($H$3,0,0,'Données projet'!$E$9+1,1))</f>
        <v>327.25473597900725</v>
      </c>
      <c r="T45" s="62">
        <f t="shared" si="34"/>
        <v>211.5313580973322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0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0</v>
      </c>
      <c r="AC45" s="24">
        <f t="shared" si="3"/>
        <v>0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8.4</v>
      </c>
      <c r="AI45" s="14">
        <f>IF('Données projet'!$A$62&gt;35,AI44+AH45-AQ44,IF(A45&lt;'Données projet'!$A$62,$AF$205^A45,IF(A45='Données projet'!$A$62,'Données projet'!$B$62,AI44+AH45-AQ44)))</f>
        <v>132.80000000000004</v>
      </c>
      <c r="AJ45" s="14">
        <f>AI45*VLOOKUP('Données projet'!$B$10,Paramètres!$A$1:$I$89,3,0)*VLOOKUP('Données projet'!$B$10,Paramètres!$A$1:$I$89,5,0)</f>
        <v>134.65920000000006</v>
      </c>
      <c r="AK45" s="14">
        <f t="shared" si="35"/>
        <v>35.07074737441733</v>
      </c>
      <c r="AL45" s="22">
        <f t="shared" si="4"/>
        <v>295.61299167711024</v>
      </c>
      <c r="AM45" s="62">
        <f t="shared" si="5"/>
        <v>588.94632501044362</v>
      </c>
      <c r="AN45" s="62">
        <f ca="1">AVERAGE(OFFSET($AM$3,0,0,'Données projet'!$E$10+1,1))-AVERAGE(OFFSET($H$3,0,0,'Données projet'!$E$10+1,1))</f>
        <v>366.41072413829329</v>
      </c>
      <c r="AO45" s="62">
        <f t="shared" si="36"/>
        <v>234.41212418619125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0</v>
      </c>
      <c r="AV45" s="23">
        <f>EXP(-LN(2)/25)*AV44+(1-EXP(-LN(2)/25))/(LN(2)/25)*Calculateur!AQ45*Calculateur!AS45*VLOOKUP('Données projet'!$B$10,Paramètres!$A$1:$I$89,3,0)*0.475*44/12</f>
        <v>0</v>
      </c>
      <c r="AW45" s="23">
        <f>EXP(-LN(2)/2)*AW44+(1-EXP(-LN(2)/2))/(LN(2)/2)*AQ45*AT45*VLOOKUP('Données projet'!$B$10,Paramètres!$A$1:$I$89,3,0)*0.475*44/12</f>
        <v>0</v>
      </c>
      <c r="AX45" s="23">
        <f t="shared" si="6"/>
        <v>0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10.857142857142858</v>
      </c>
      <c r="BD45" s="13">
        <f>IF('Données projet'!$A$88&gt;35,BD44+BC45-BL44,IF(A45&lt;'Données projet'!$A$88,$BA$205^A45,IF(A45='Données projet'!$A$88,'Données projet'!$B$88,BD44+BC45-BL44)))</f>
        <v>204.28571428571419</v>
      </c>
      <c r="BE45" s="14">
        <f>BD45*VLOOKUP('Données projet'!$B$11,Paramètres!$A$1:$I$89,3,0)*VLOOKUP('Données projet'!$B$11,Paramètres!$A$1:$I$89,5,0)</f>
        <v>95.605714285714242</v>
      </c>
      <c r="BF45" s="14">
        <f t="shared" si="37"/>
        <v>25.912397380593962</v>
      </c>
      <c r="BG45" s="22">
        <f t="shared" si="7"/>
        <v>211.64404448548677</v>
      </c>
      <c r="BH45" s="62">
        <f t="shared" si="8"/>
        <v>504.97737781882006</v>
      </c>
      <c r="BI45" s="62">
        <f ca="1">AVERAGE(OFFSET($BH$3,0,0,'Données projet'!$E$11+1,1))-AVERAGE(OFFSET($H$3,0,0,'Données projet'!$E$11+1,1))</f>
        <v>152.72674713084456</v>
      </c>
      <c r="BJ45" s="62">
        <f t="shared" si="38"/>
        <v>203.90215120562164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12.117456202007894</v>
      </c>
      <c r="BQ45" s="23">
        <f>EXP(-LN(2)/25)*BQ44+(1-EXP(-LN(2)/25))/(LN(2)/25)*Calculateur!BL45*Calculateur!BN45*VLOOKUP('Données projet'!$B$11,Paramètres!$A$1:$I$89,3,0)*0.475*44/12</f>
        <v>0</v>
      </c>
      <c r="BR45" s="23">
        <f>EXP(-LN(2)/2)*BR44+(1-EXP(-LN(2)/2))/(LN(2)/2)*BL45*BO45*VLOOKUP('Données projet'!$B$11,Paramètres!$A$1:$I$89,3,0)*0.475*44/12</f>
        <v>0.24240529581617437</v>
      </c>
      <c r="BS45" s="24">
        <f t="shared" si="9"/>
        <v>12.359861497824069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3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12.005978399999991</v>
      </c>
      <c r="D46" s="12">
        <f t="shared" si="32"/>
        <v>4.1429314445134606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39.142690949438212</v>
      </c>
      <c r="H46" s="70">
        <f t="shared" si="1"/>
        <v>284.79268464586096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8.4</v>
      </c>
      <c r="N46" s="14">
        <f>IF('Données projet'!$A$36&gt;35,N45+M46-V45,IF(A46&lt;'Données projet'!$A$36,$K$205^A46,IF(A46='Données projet'!$A$36,'Données projet'!$B$36,N45+M46-V45)))</f>
        <v>141.20000000000005</v>
      </c>
      <c r="O46" s="14">
        <f>N46*VLOOKUP('Données projet'!$B$9,Paramètres!$A$1:$I$89,3,0)*VLOOKUP('Données projet'!$B$9,Paramètres!$A$1:$I$89,5,0)</f>
        <v>127.75776000000003</v>
      </c>
      <c r="P46" s="14">
        <f t="shared" si="33"/>
        <v>33.477720030956604</v>
      </c>
      <c r="Q46" s="22">
        <f t="shared" si="53"/>
        <v>280.81846105391611</v>
      </c>
      <c r="R46" s="62">
        <f t="shared" si="0"/>
        <v>574.15179438724942</v>
      </c>
      <c r="S46" s="62">
        <f ca="1">AVERAGE(OFFSET($R$3,0,0,'Données projet'!$E$9+1,1))-AVERAGE(OFFSET($H$3,0,0,'Données projet'!$E$9+1,1))</f>
        <v>327.25473597900725</v>
      </c>
      <c r="T46" s="62">
        <f t="shared" si="34"/>
        <v>211.5313580973322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0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0</v>
      </c>
      <c r="AC46" s="24">
        <f t="shared" si="3"/>
        <v>0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8.4</v>
      </c>
      <c r="AI46" s="14">
        <f>IF('Données projet'!$A$62&gt;35,AI45+AH46-AQ45,IF(A46&lt;'Données projet'!$A$62,$AF$205^A46,IF(A46='Données projet'!$A$62,'Données projet'!$B$62,AI45+AH46-AQ45)))</f>
        <v>141.20000000000005</v>
      </c>
      <c r="AJ46" s="14">
        <f>AI46*VLOOKUP('Données projet'!$B$10,Paramètres!$A$1:$I$89,3,0)*VLOOKUP('Données projet'!$B$10,Paramètres!$A$1:$I$89,5,0)</f>
        <v>143.17680000000004</v>
      </c>
      <c r="AK46" s="14">
        <f t="shared" si="35"/>
        <v>37.023812674521515</v>
      </c>
      <c r="AL46" s="22">
        <f t="shared" si="4"/>
        <v>313.84940040812506</v>
      </c>
      <c r="AM46" s="62">
        <f t="shared" si="5"/>
        <v>607.18273374145838</v>
      </c>
      <c r="AN46" s="62">
        <f ca="1">AVERAGE(OFFSET($AM$3,0,0,'Données projet'!$E$10+1,1))-AVERAGE(OFFSET($H$3,0,0,'Données projet'!$E$10+1,1))</f>
        <v>366.41072413829329</v>
      </c>
      <c r="AO46" s="62">
        <f t="shared" si="36"/>
        <v>234.41212418619125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0</v>
      </c>
      <c r="AV46" s="23">
        <f>EXP(-LN(2)/25)*AV45+(1-EXP(-LN(2)/25))/(LN(2)/25)*Calculateur!AQ46*Calculateur!AS46*VLOOKUP('Données projet'!$B$10,Paramètres!$A$1:$I$89,3,0)*0.475*44/12</f>
        <v>0</v>
      </c>
      <c r="AW46" s="23">
        <f>EXP(-LN(2)/2)*AW45+(1-EXP(-LN(2)/2))/(LN(2)/2)*AQ46*AT46*VLOOKUP('Données projet'!$B$10,Paramètres!$A$1:$I$89,3,0)*0.475*44/12</f>
        <v>0</v>
      </c>
      <c r="AX46" s="23">
        <f t="shared" si="6"/>
        <v>0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10.857142857142858</v>
      </c>
      <c r="BD46" s="13">
        <f>IF('Données projet'!$A$88&gt;35,BD45+BC46-BL45,IF(A46&lt;'Données projet'!$A$88,$BA$205^A46,IF(A46='Données projet'!$A$88,'Données projet'!$B$88,BD45+BC46-BL45)))</f>
        <v>215.14285714285705</v>
      </c>
      <c r="BE46" s="14">
        <f>BD46*VLOOKUP('Données projet'!$B$11,Paramètres!$A$1:$I$89,3,0)*VLOOKUP('Données projet'!$B$11,Paramètres!$A$1:$I$89,5,0)</f>
        <v>100.68685714285711</v>
      </c>
      <c r="BF46" s="14">
        <f t="shared" si="37"/>
        <v>27.125566544771527</v>
      </c>
      <c r="BG46" s="22">
        <f t="shared" si="7"/>
        <v>222.60663792261985</v>
      </c>
      <c r="BH46" s="62">
        <f t="shared" si="8"/>
        <v>515.9399712559532</v>
      </c>
      <c r="BI46" s="62">
        <f ca="1">AVERAGE(OFFSET($BH$3,0,0,'Données projet'!$E$11+1,1))-AVERAGE(OFFSET($H$3,0,0,'Données projet'!$E$11+1,1))</f>
        <v>152.72674713084456</v>
      </c>
      <c r="BJ46" s="62">
        <f t="shared" si="38"/>
        <v>203.90215120562164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11.879840276805009</v>
      </c>
      <c r="BQ46" s="23">
        <f>EXP(-LN(2)/25)*BQ45+(1-EXP(-LN(2)/25))/(LN(2)/25)*Calculateur!BL46*Calculateur!BN46*VLOOKUP('Données projet'!$B$11,Paramètres!$A$1:$I$89,3,0)*0.475*44/12</f>
        <v>0</v>
      </c>
      <c r="BR46" s="23">
        <f>EXP(-LN(2)/2)*BR45+(1-EXP(-LN(2)/2))/(LN(2)/2)*BL46*BO46*VLOOKUP('Données projet'!$B$11,Paramètres!$A$1:$I$89,3,0)*0.475*44/12</f>
        <v>0.17140642846714796</v>
      </c>
      <c r="BS46" s="24">
        <f t="shared" si="9"/>
        <v>12.051246705272156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3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12.28518719999999</v>
      </c>
      <c r="D47" s="12">
        <f t="shared" si="32"/>
        <v>4.227949627689247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40.025526037079736</v>
      </c>
      <c r="H47" s="70">
        <f t="shared" si="1"/>
        <v>285.42704664155877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8.4</v>
      </c>
      <c r="N47" s="14">
        <f>IF('Données projet'!$A$36&gt;35,N46+M47-V46,IF(A47&lt;'Données projet'!$A$36,$K$205^A47,IF(A47='Données projet'!$A$36,'Données projet'!$B$36,N46+M47-V46)))</f>
        <v>149.60000000000005</v>
      </c>
      <c r="O47" s="14">
        <f>N47*VLOOKUP('Données projet'!$B$9,Paramètres!$A$1:$I$89,3,0)*VLOOKUP('Données projet'!$B$9,Paramètres!$A$1:$I$89,5,0)</f>
        <v>135.35808000000006</v>
      </c>
      <c r="P47" s="14">
        <f t="shared" si="33"/>
        <v>35.231528980112834</v>
      </c>
      <c r="Q47" s="22">
        <f t="shared" si="53"/>
        <v>297.11023564036327</v>
      </c>
      <c r="R47" s="62">
        <f t="shared" si="0"/>
        <v>590.44356897369653</v>
      </c>
      <c r="S47" s="62">
        <f ca="1">AVERAGE(OFFSET($R$3,0,0,'Données projet'!$E$9+1,1))-AVERAGE(OFFSET($H$3,0,0,'Données projet'!$E$9+1,1))</f>
        <v>327.25473597900725</v>
      </c>
      <c r="T47" s="62">
        <f t="shared" si="34"/>
        <v>211.5313580973322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0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0</v>
      </c>
      <c r="AC47" s="24">
        <f t="shared" si="3"/>
        <v>0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8.4</v>
      </c>
      <c r="AI47" s="14">
        <f>IF('Données projet'!$A$62&gt;35,AI46+AH47-AQ46,IF(A47&lt;'Données projet'!$A$62,$AF$205^A47,IF(A47='Données projet'!$A$62,'Données projet'!$B$62,AI46+AH47-AQ46)))</f>
        <v>149.60000000000005</v>
      </c>
      <c r="AJ47" s="14">
        <f>AI47*VLOOKUP('Données projet'!$B$10,Paramètres!$A$1:$I$89,3,0)*VLOOKUP('Données projet'!$B$10,Paramètres!$A$1:$I$89,5,0)</f>
        <v>151.69440000000006</v>
      </c>
      <c r="AK47" s="14">
        <f t="shared" si="35"/>
        <v>38.963392010880654</v>
      </c>
      <c r="AL47" s="22">
        <f t="shared" si="4"/>
        <v>332.06232108561721</v>
      </c>
      <c r="AM47" s="62">
        <f t="shared" si="5"/>
        <v>625.39565441895047</v>
      </c>
      <c r="AN47" s="62">
        <f ca="1">AVERAGE(OFFSET($AM$3,0,0,'Données projet'!$E$10+1,1))-AVERAGE(OFFSET($H$3,0,0,'Données projet'!$E$10+1,1))</f>
        <v>366.41072413829329</v>
      </c>
      <c r="AO47" s="62">
        <f t="shared" si="36"/>
        <v>234.41212418619125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0</v>
      </c>
      <c r="AV47" s="23">
        <f>EXP(-LN(2)/25)*AV46+(1-EXP(-LN(2)/25))/(LN(2)/25)*Calculateur!AQ47*Calculateur!AS47*VLOOKUP('Données projet'!$B$10,Paramètres!$A$1:$I$89,3,0)*0.475*44/12</f>
        <v>0</v>
      </c>
      <c r="AW47" s="23">
        <f>EXP(-LN(2)/2)*AW46+(1-EXP(-LN(2)/2))/(LN(2)/2)*AQ47*AT47*VLOOKUP('Données projet'!$B$10,Paramètres!$A$1:$I$89,3,0)*0.475*44/12</f>
        <v>0</v>
      </c>
      <c r="AX47" s="23">
        <f t="shared" si="6"/>
        <v>0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>
        <f>VLOOKUP(A47,'Données projet'!$A$87:$I$107,2,0)</f>
        <v>226</v>
      </c>
      <c r="BB47" s="13">
        <f>VLOOKUP(A47,'Données projet'!$A$87:$I$107,9,0)</f>
        <v>10.857142857142858</v>
      </c>
      <c r="BC47" s="13">
        <f t="array" ref="BC47">INDEX(BB:BB,MIN(IF(ISNUMBER(BB47:BB243),ROW(BB47:BB243),"")))</f>
        <v>10.857142857142858</v>
      </c>
      <c r="BD47" s="13">
        <f>IF('Données projet'!$A$88&gt;35,BD46+BC47-BL46,IF(A47&lt;'Données projet'!$A$88,$BA$205^A47,IF(A47='Données projet'!$A$88,'Données projet'!$B$88,BD46+BC47-BL46)))</f>
        <v>225.99999999999991</v>
      </c>
      <c r="BE47" s="14">
        <f>BD47*VLOOKUP('Données projet'!$B$11,Paramètres!$A$1:$I$89,3,0)*VLOOKUP('Données projet'!$B$11,Paramètres!$A$1:$I$89,5,0)</f>
        <v>105.76799999999997</v>
      </c>
      <c r="BF47" s="14">
        <f t="shared" si="37"/>
        <v>28.33162713151323</v>
      </c>
      <c r="BG47" s="22">
        <f t="shared" si="7"/>
        <v>233.5568505873855</v>
      </c>
      <c r="BH47" s="62">
        <f t="shared" si="8"/>
        <v>526.89018392071875</v>
      </c>
      <c r="BI47" s="62">
        <f ca="1">AVERAGE(OFFSET($BH$3,0,0,'Données projet'!$E$11+1,1))-AVERAGE(OFFSET($H$3,0,0,'Données projet'!$E$11+1,1))</f>
        <v>152.72674713084456</v>
      </c>
      <c r="BJ47" s="62">
        <f t="shared" si="38"/>
        <v>203.90215120562164</v>
      </c>
      <c r="BK47" s="16">
        <f>IF(ISNA(VLOOKUP(A47,'Données projet'!$A$87:$I$107,3,0)),0,VLOOKUP(A47,'Données projet'!$A$87:$I$107,3,0))</f>
        <v>5</v>
      </c>
      <c r="BL47" s="16">
        <f>IF(ISNA(VLOOKUP(A47,'Données projet'!$A$87:$I$107,4,0)),0,VLOOKUP(A47,'Données projet'!$A$87:$I$107,4,0))</f>
        <v>60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11.646883854963949</v>
      </c>
      <c r="BQ47" s="23">
        <f>EXP(-LN(2)/25)*BQ46+(1-EXP(-LN(2)/25))/(LN(2)/25)*Calculateur!BL47*Calculateur!BN47*VLOOKUP('Données projet'!$B$11,Paramètres!$A$1:$I$89,3,0)*0.475*44/12</f>
        <v>0</v>
      </c>
      <c r="BR47" s="23">
        <f>EXP(-LN(2)/2)*BR46+(1-EXP(-LN(2)/2))/(LN(2)/2)*BL47*BO47*VLOOKUP('Données projet'!$B$11,Paramètres!$A$1:$I$89,3,0)*0.475*44/12</f>
        <v>0.12120264790808721</v>
      </c>
      <c r="BS47" s="24">
        <f t="shared" si="9"/>
        <v>11.768086502872036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3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12.56439599999999</v>
      </c>
      <c r="D48" s="12">
        <f t="shared" si="32"/>
        <v>4.312743175921228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40.907816641145189</v>
      </c>
      <c r="H48" s="70">
        <f t="shared" si="1"/>
        <v>286.0610173980628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>
        <f>VLOOKUP(A48,'Données projet'!$A$35:$I$55,2,0)</f>
        <v>158</v>
      </c>
      <c r="L48" s="13">
        <f>VLOOKUP(A48,'Données projet'!$A$35:$I$55,9,0)</f>
        <v>8.4</v>
      </c>
      <c r="M48" s="13">
        <f t="array" ref="M48">INDEX(L:L,MIN(IF(ISNUMBER(L48:L244),ROW(L48:L244),"")))</f>
        <v>8.4</v>
      </c>
      <c r="N48" s="14">
        <f>IF('Données projet'!$A$36&gt;35,N47+M48-V47,IF(A48&lt;'Données projet'!$A$36,$K$205^A48,IF(A48='Données projet'!$A$36,'Données projet'!$B$36,N47+M48-V47)))</f>
        <v>158.00000000000006</v>
      </c>
      <c r="O48" s="14">
        <f>N48*VLOOKUP('Données projet'!$B$9,Paramètres!$A$1:$I$89,3,0)*VLOOKUP('Données projet'!$B$9,Paramètres!$A$1:$I$89,5,0)</f>
        <v>142.95840000000004</v>
      </c>
      <c r="P48" s="14">
        <f t="shared" si="33"/>
        <v>36.973906370811264</v>
      </c>
      <c r="Q48" s="22">
        <f t="shared" si="53"/>
        <v>313.38210026249641</v>
      </c>
      <c r="R48" s="62">
        <f t="shared" si="0"/>
        <v>606.71543359582972</v>
      </c>
      <c r="S48" s="62">
        <f ca="1">AVERAGE(OFFSET($R$3,0,0,'Données projet'!$E$9+1,1))-AVERAGE(OFFSET($H$3,0,0,'Données projet'!$E$9+1,1))</f>
        <v>327.25473597900725</v>
      </c>
      <c r="T48" s="62">
        <f t="shared" si="34"/>
        <v>211.5313580973322</v>
      </c>
      <c r="U48" s="16">
        <f>IF(ISNA(VLOOKUP(A48,'Données projet'!$A$35:$I$55,3,0)),0,VLOOKUP(A48,'Données projet'!$A$35:$I$55,3,0))</f>
        <v>6</v>
      </c>
      <c r="V48" s="16">
        <f>IF(ISNA(VLOOKUP(A48,'Données projet'!$A$35:$I$55,4,0)),0,VLOOKUP(A48,'Données projet'!$A$35:$I$55,4,0))</f>
        <v>21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0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0</v>
      </c>
      <c r="AC48" s="24">
        <f t="shared" si="3"/>
        <v>0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>
        <f>VLOOKUP(A48,'Données projet'!$A$61:$I$81,2,0)</f>
        <v>158</v>
      </c>
      <c r="AG48" s="13">
        <f>VLOOKUP(A48,'Données projet'!$A$61:$I$81,9,0)</f>
        <v>8.4</v>
      </c>
      <c r="AH48" s="13">
        <f t="array" ref="AH48">INDEX(AG:AG,MIN(IF(ISNUMBER(AG48:AG244),ROW(AG48:AG244),"")))</f>
        <v>8.4</v>
      </c>
      <c r="AI48" s="14">
        <f>IF('Données projet'!$A$62&gt;35,AI47+AH48-AQ47,IF(A48&lt;'Données projet'!$A$62,$AF$205^A48,IF(A48='Données projet'!$A$62,'Données projet'!$B$62,AI47+AH48-AQ47)))</f>
        <v>158.00000000000006</v>
      </c>
      <c r="AJ48" s="14">
        <f>AI48*VLOOKUP('Données projet'!$B$10,Paramètres!$A$1:$I$89,3,0)*VLOOKUP('Données projet'!$B$10,Paramètres!$A$1:$I$89,5,0)</f>
        <v>160.21200000000007</v>
      </c>
      <c r="AK48" s="14">
        <f t="shared" si="35"/>
        <v>40.890328912852731</v>
      </c>
      <c r="AL48" s="22">
        <f t="shared" si="4"/>
        <v>350.25322285655193</v>
      </c>
      <c r="AM48" s="62">
        <f t="shared" si="5"/>
        <v>643.58655618988519</v>
      </c>
      <c r="AN48" s="62">
        <f ca="1">AVERAGE(OFFSET($AM$3,0,0,'Données projet'!$E$10+1,1))-AVERAGE(OFFSET($H$3,0,0,'Données projet'!$E$10+1,1))</f>
        <v>366.41072413829329</v>
      </c>
      <c r="AO48" s="62">
        <f t="shared" si="36"/>
        <v>234.41212418619125</v>
      </c>
      <c r="AP48" s="16">
        <f>IF(ISNA(VLOOKUP(A48,'Données projet'!$A$61:$I$81,3,0)),0,VLOOKUP(A48,'Données projet'!$A$61:$I$81,3,0))</f>
        <v>6</v>
      </c>
      <c r="AQ48" s="16">
        <f>IF(ISNA(VLOOKUP(A48,'Données projet'!$A$61:$I$81,4,0)),0,VLOOKUP(A48,'Données projet'!$A$61:$I$81,4,0))</f>
        <v>21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0</v>
      </c>
      <c r="AV48" s="23">
        <f>EXP(-LN(2)/25)*AV47+(1-EXP(-LN(2)/25))/(LN(2)/25)*Calculateur!AQ48*Calculateur!AS48*VLOOKUP('Données projet'!$B$10,Paramètres!$A$1:$I$89,3,0)*0.475*44/12</f>
        <v>0</v>
      </c>
      <c r="AW48" s="23">
        <f>EXP(-LN(2)/2)*AW47+(1-EXP(-LN(2)/2))/(LN(2)/2)*AQ48*AT48*VLOOKUP('Données projet'!$B$10,Paramètres!$A$1:$I$89,3,0)*0.475*44/12</f>
        <v>0</v>
      </c>
      <c r="AX48" s="23">
        <f t="shared" si="6"/>
        <v>0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11.857142857142858</v>
      </c>
      <c r="BD48" s="13">
        <f>IF('Données projet'!$A$88&gt;35,BD47+BC48-BL47,IF(A48&lt;'Données projet'!$A$88,$BA$205^A48,IF(A48='Données projet'!$A$88,'Données projet'!$B$88,BD47+BC48-BL47)))</f>
        <v>177.85714285714278</v>
      </c>
      <c r="BE48" s="14">
        <f>BD48*VLOOKUP('Données projet'!$B$11,Paramètres!$A$1:$I$89,3,0)*VLOOKUP('Données projet'!$B$11,Paramètres!$A$1:$I$89,5,0)</f>
        <v>83.237142857142814</v>
      </c>
      <c r="BF48" s="14">
        <f t="shared" si="37"/>
        <v>22.926845872875649</v>
      </c>
      <c r="BG48" s="22">
        <f t="shared" si="7"/>
        <v>184.9022803714488</v>
      </c>
      <c r="BH48" s="62">
        <f t="shared" si="8"/>
        <v>478.23561370478211</v>
      </c>
      <c r="BI48" s="62">
        <f ca="1">AVERAGE(OFFSET($BH$3,0,0,'Données projet'!$E$11+1,1))-AVERAGE(OFFSET($H$3,0,0,'Données projet'!$E$11+1,1))</f>
        <v>152.72674713084456</v>
      </c>
      <c r="BJ48" s="62">
        <f t="shared" si="38"/>
        <v>203.90215120562164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11.418495566465806</v>
      </c>
      <c r="BQ48" s="23">
        <f>EXP(-LN(2)/25)*BQ47+(1-EXP(-LN(2)/25))/(LN(2)/25)*Calculateur!BL48*Calculateur!BN48*VLOOKUP('Données projet'!$B$11,Paramètres!$A$1:$I$89,3,0)*0.475*44/12</f>
        <v>0</v>
      </c>
      <c r="BR48" s="23">
        <f>EXP(-LN(2)/2)*BR47+(1-EXP(-LN(2)/2))/(LN(2)/2)*BL48*BO48*VLOOKUP('Données projet'!$B$11,Paramètres!$A$1:$I$89,3,0)*0.475*44/12</f>
        <v>8.5703214233573993E-2</v>
      </c>
      <c r="BS48" s="24">
        <f t="shared" si="9"/>
        <v>11.50419878069938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3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12.843604799999989</v>
      </c>
      <c r="D49" s="12">
        <f t="shared" si="32"/>
        <v>4.3973176558769493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41.789576254455405</v>
      </c>
      <c r="H49" s="70">
        <f t="shared" si="1"/>
        <v>286.69460661065233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8.1999999999999993</v>
      </c>
      <c r="N49" s="14">
        <f>IF('Données projet'!$A$36&gt;35,N48+M49-V48,IF(A49&lt;'Données projet'!$A$36,$K$205^A49,IF(A49='Données projet'!$A$36,'Données projet'!$B$36,N48+M49-V48)))</f>
        <v>145.20000000000005</v>
      </c>
      <c r="O49" s="14">
        <f>N49*VLOOKUP('Données projet'!$B$9,Paramètres!$A$1:$I$89,3,0)*VLOOKUP('Données projet'!$B$9,Paramètres!$A$1:$I$89,5,0)</f>
        <v>131.37696000000003</v>
      </c>
      <c r="P49" s="14">
        <f t="shared" si="33"/>
        <v>34.314338988223334</v>
      </c>
      <c r="Q49" s="22">
        <f t="shared" si="53"/>
        <v>288.57901240448905</v>
      </c>
      <c r="R49" s="62">
        <f t="shared" si="0"/>
        <v>581.91234573782231</v>
      </c>
      <c r="S49" s="62">
        <f ca="1">AVERAGE(OFFSET($R$3,0,0,'Données projet'!$E$9+1,1))-AVERAGE(OFFSET($H$3,0,0,'Données projet'!$E$9+1,1))</f>
        <v>327.25473597900725</v>
      </c>
      <c r="T49" s="62">
        <f t="shared" si="34"/>
        <v>211.5313580973322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0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0</v>
      </c>
      <c r="AC49" s="24">
        <f t="shared" si="3"/>
        <v>0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8.1999999999999993</v>
      </c>
      <c r="AI49" s="14">
        <f>IF('Données projet'!$A$62&gt;35,AI48+AH49-AQ48,IF(A49&lt;'Données projet'!$A$62,$AF$205^A49,IF(A49='Données projet'!$A$62,'Données projet'!$B$62,AI48+AH49-AQ48)))</f>
        <v>145.20000000000005</v>
      </c>
      <c r="AJ49" s="14">
        <f>AI49*VLOOKUP('Données projet'!$B$10,Paramètres!$A$1:$I$89,3,0)*VLOOKUP('Données projet'!$B$10,Paramètres!$A$1:$I$89,5,0)</f>
        <v>147.23280000000005</v>
      </c>
      <c r="AK49" s="14">
        <f t="shared" si="35"/>
        <v>37.949049623906205</v>
      </c>
      <c r="AL49" s="22">
        <f t="shared" si="4"/>
        <v>322.52505476163668</v>
      </c>
      <c r="AM49" s="62">
        <f t="shared" si="5"/>
        <v>615.85838809497</v>
      </c>
      <c r="AN49" s="62">
        <f ca="1">AVERAGE(OFFSET($AM$3,0,0,'Données projet'!$E$10+1,1))-AVERAGE(OFFSET($H$3,0,0,'Données projet'!$E$10+1,1))</f>
        <v>366.41072413829329</v>
      </c>
      <c r="AO49" s="62">
        <f t="shared" si="36"/>
        <v>234.41212418619125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0</v>
      </c>
      <c r="AV49" s="23">
        <f>EXP(-LN(2)/25)*AV48+(1-EXP(-LN(2)/25))/(LN(2)/25)*Calculateur!AQ49*Calculateur!AS49*VLOOKUP('Données projet'!$B$10,Paramètres!$A$1:$I$89,3,0)*0.475*44/12</f>
        <v>0</v>
      </c>
      <c r="AW49" s="23">
        <f>EXP(-LN(2)/2)*AW48+(1-EXP(-LN(2)/2))/(LN(2)/2)*AQ49*AT49*VLOOKUP('Données projet'!$B$10,Paramètres!$A$1:$I$89,3,0)*0.475*44/12</f>
        <v>0</v>
      </c>
      <c r="AX49" s="23">
        <f t="shared" si="6"/>
        <v>0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11.857142857142858</v>
      </c>
      <c r="BD49" s="13">
        <f>IF('Données projet'!$A$88&gt;35,BD48+BC49-BL48,IF(A49&lt;'Données projet'!$A$88,$BA$205^A49,IF(A49='Données projet'!$A$88,'Données projet'!$B$88,BD48+BC49-BL48)))</f>
        <v>189.71428571428564</v>
      </c>
      <c r="BE49" s="14">
        <f>BD49*VLOOKUP('Données projet'!$B$11,Paramètres!$A$1:$I$89,3,0)*VLOOKUP('Données projet'!$B$11,Paramètres!$A$1:$I$89,5,0)</f>
        <v>88.786285714285683</v>
      </c>
      <c r="BF49" s="14">
        <f t="shared" si="37"/>
        <v>24.27227542742515</v>
      </c>
      <c r="BG49" s="22">
        <f t="shared" si="7"/>
        <v>196.91032732181304</v>
      </c>
      <c r="BH49" s="62">
        <f t="shared" si="8"/>
        <v>490.24366065514636</v>
      </c>
      <c r="BI49" s="62">
        <f ca="1">AVERAGE(OFFSET($BH$3,0,0,'Données projet'!$E$11+1,1))-AVERAGE(OFFSET($H$3,0,0,'Données projet'!$E$11+1,1))</f>
        <v>152.72674713084456</v>
      </c>
      <c r="BJ49" s="62">
        <f t="shared" si="38"/>
        <v>203.90215120562164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11.19458583300201</v>
      </c>
      <c r="BQ49" s="23">
        <f>EXP(-LN(2)/25)*BQ48+(1-EXP(-LN(2)/25))/(LN(2)/25)*Calculateur!BL49*Calculateur!BN49*VLOOKUP('Données projet'!$B$11,Paramètres!$A$1:$I$89,3,0)*0.475*44/12</f>
        <v>0</v>
      </c>
      <c r="BR49" s="23">
        <f>EXP(-LN(2)/2)*BR48+(1-EXP(-LN(2)/2))/(LN(2)/2)*BL49*BO49*VLOOKUP('Données projet'!$B$11,Paramètres!$A$1:$I$89,3,0)*0.475*44/12</f>
        <v>6.0601323954043614E-2</v>
      </c>
      <c r="BS49" s="24">
        <f t="shared" si="9"/>
        <v>11.255187156956055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3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13.122813599999988</v>
      </c>
      <c r="D50" s="12">
        <f t="shared" si="32"/>
        <v>4.481678378372064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42.670817749682158</v>
      </c>
      <c r="H50" s="70">
        <f t="shared" si="1"/>
        <v>287.32782352899801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8.1999999999999993</v>
      </c>
      <c r="N50" s="14">
        <f>IF('Données projet'!$A$36&gt;35,N49+M50-V49,IF(A50&lt;'Données projet'!$A$36,$K$205^A50,IF(A50='Données projet'!$A$36,'Données projet'!$B$36,N49+M50-V49)))</f>
        <v>153.40000000000003</v>
      </c>
      <c r="O50" s="14">
        <f>N50*VLOOKUP('Données projet'!$B$9,Paramètres!$A$1:$I$89,3,0)*VLOOKUP('Données projet'!$B$9,Paramètres!$A$1:$I$89,5,0)</f>
        <v>138.79632000000001</v>
      </c>
      <c r="P50" s="14">
        <f t="shared" si="33"/>
        <v>36.021120886354588</v>
      </c>
      <c r="Q50" s="22">
        <f t="shared" si="53"/>
        <v>304.47370954373423</v>
      </c>
      <c r="R50" s="62">
        <f t="shared" si="0"/>
        <v>597.80704287706749</v>
      </c>
      <c r="S50" s="62">
        <f ca="1">AVERAGE(OFFSET($R$3,0,0,'Données projet'!$E$9+1,1))-AVERAGE(OFFSET($H$3,0,0,'Données projet'!$E$9+1,1))</f>
        <v>327.25473597900725</v>
      </c>
      <c r="T50" s="62">
        <f t="shared" si="34"/>
        <v>211.5313580973322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0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0</v>
      </c>
      <c r="AC50" s="24">
        <f t="shared" si="3"/>
        <v>0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8.1999999999999993</v>
      </c>
      <c r="AI50" s="14">
        <f>IF('Données projet'!$A$62&gt;35,AI49+AH50-AQ49,IF(A50&lt;'Données projet'!$A$62,$AF$205^A50,IF(A50='Données projet'!$A$62,'Données projet'!$B$62,AI49+AH50-AQ49)))</f>
        <v>153.40000000000003</v>
      </c>
      <c r="AJ50" s="14">
        <f>AI50*VLOOKUP('Données projet'!$B$10,Paramètres!$A$1:$I$89,3,0)*VLOOKUP('Données projet'!$B$10,Paramètres!$A$1:$I$89,5,0)</f>
        <v>155.54760000000005</v>
      </c>
      <c r="AK50" s="14">
        <f t="shared" si="35"/>
        <v>39.836620617816237</v>
      </c>
      <c r="AL50" s="22">
        <f t="shared" si="4"/>
        <v>340.29418424269664</v>
      </c>
      <c r="AM50" s="62">
        <f t="shared" si="5"/>
        <v>633.62751757602996</v>
      </c>
      <c r="AN50" s="62">
        <f ca="1">AVERAGE(OFFSET($AM$3,0,0,'Données projet'!$E$10+1,1))-AVERAGE(OFFSET($H$3,0,0,'Données projet'!$E$10+1,1))</f>
        <v>366.41072413829329</v>
      </c>
      <c r="AO50" s="62">
        <f t="shared" si="36"/>
        <v>234.41212418619125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0</v>
      </c>
      <c r="AV50" s="23">
        <f>EXP(-LN(2)/25)*AV49+(1-EXP(-LN(2)/25))/(LN(2)/25)*Calculateur!AQ50*Calculateur!AS50*VLOOKUP('Données projet'!$B$10,Paramètres!$A$1:$I$89,3,0)*0.475*44/12</f>
        <v>0</v>
      </c>
      <c r="AW50" s="23">
        <f>EXP(-LN(2)/2)*AW49+(1-EXP(-LN(2)/2))/(LN(2)/2)*AQ50*AT50*VLOOKUP('Données projet'!$B$10,Paramètres!$A$1:$I$89,3,0)*0.475*44/12</f>
        <v>0</v>
      </c>
      <c r="AX50" s="23">
        <f t="shared" si="6"/>
        <v>0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11.857142857142858</v>
      </c>
      <c r="BD50" s="13">
        <f>IF('Données projet'!$A$88&gt;35,BD49+BC50-BL49,IF(A50&lt;'Données projet'!$A$88,$BA$205^A50,IF(A50='Données projet'!$A$88,'Données projet'!$B$88,BD49+BC50-BL49)))</f>
        <v>201.5714285714285</v>
      </c>
      <c r="BE50" s="14">
        <f>BD50*VLOOKUP('Données projet'!$B$11,Paramètres!$A$1:$I$89,3,0)*VLOOKUP('Données projet'!$B$11,Paramètres!$A$1:$I$89,5,0)</f>
        <v>94.335428571428523</v>
      </c>
      <c r="BF50" s="14">
        <f t="shared" si="37"/>
        <v>25.607945794285612</v>
      </c>
      <c r="BG50" s="22">
        <f t="shared" si="7"/>
        <v>208.90137702028542</v>
      </c>
      <c r="BH50" s="62">
        <f t="shared" si="8"/>
        <v>502.23471035361877</v>
      </c>
      <c r="BI50" s="62">
        <f ca="1">AVERAGE(OFFSET($BH$3,0,0,'Données projet'!$E$11+1,1))-AVERAGE(OFFSET($H$3,0,0,'Données projet'!$E$11+1,1))</f>
        <v>152.72674713084456</v>
      </c>
      <c r="BJ50" s="62">
        <f t="shared" si="38"/>
        <v>203.90215120562164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10.975066832839987</v>
      </c>
      <c r="BQ50" s="23">
        <f>EXP(-LN(2)/25)*BQ49+(1-EXP(-LN(2)/25))/(LN(2)/25)*Calculateur!BL50*Calculateur!BN50*VLOOKUP('Données projet'!$B$11,Paramètres!$A$1:$I$89,3,0)*0.475*44/12</f>
        <v>0</v>
      </c>
      <c r="BR50" s="23">
        <f>EXP(-LN(2)/2)*BR49+(1-EXP(-LN(2)/2))/(LN(2)/2)*BL50*BO50*VLOOKUP('Données projet'!$B$11,Paramètres!$A$1:$I$89,3,0)*0.475*44/12</f>
        <v>4.2851607116787004E-2</v>
      </c>
      <c r="BS50" s="24">
        <f t="shared" si="9"/>
        <v>11.017918439956775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3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13.402022399999987</v>
      </c>
      <c r="D51" s="12">
        <f t="shared" si="32"/>
        <v>4.5658304153190787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43.551553420429514</v>
      </c>
      <c r="H51" s="70">
        <f t="shared" si="1"/>
        <v>287.96067698668071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8.1999999999999993</v>
      </c>
      <c r="N51" s="14">
        <f>IF('Données projet'!$A$36&gt;35,N50+M51-V50,IF(A51&lt;'Données projet'!$A$36,$K$205^A51,IF(A51='Données projet'!$A$36,'Données projet'!$B$36,N50+M51-V50)))</f>
        <v>161.60000000000002</v>
      </c>
      <c r="O51" s="14">
        <f>N51*VLOOKUP('Données projet'!$B$9,Paramètres!$A$1:$I$89,3,0)*VLOOKUP('Données projet'!$B$9,Paramètres!$A$1:$I$89,5,0)</f>
        <v>146.21568000000002</v>
      </c>
      <c r="P51" s="14">
        <f t="shared" si="33"/>
        <v>37.717310552893402</v>
      </c>
      <c r="Q51" s="22">
        <f t="shared" si="53"/>
        <v>320.34995854628937</v>
      </c>
      <c r="R51" s="62">
        <f t="shared" si="0"/>
        <v>613.68329187962263</v>
      </c>
      <c r="S51" s="62">
        <f ca="1">AVERAGE(OFFSET($R$3,0,0,'Données projet'!$E$9+1,1))-AVERAGE(OFFSET($H$3,0,0,'Données projet'!$E$9+1,1))</f>
        <v>327.25473597900725</v>
      </c>
      <c r="T51" s="62">
        <f t="shared" si="34"/>
        <v>211.5313580973322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0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0</v>
      </c>
      <c r="AC51" s="24">
        <f t="shared" si="3"/>
        <v>0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8.1999999999999993</v>
      </c>
      <c r="AI51" s="14">
        <f>IF('Données projet'!$A$62&gt;35,AI50+AH51-AQ50,IF(A51&lt;'Données projet'!$A$62,$AF$205^A51,IF(A51='Données projet'!$A$62,'Données projet'!$B$62,AI50+AH51-AQ50)))</f>
        <v>161.60000000000002</v>
      </c>
      <c r="AJ51" s="14">
        <f>AI51*VLOOKUP('Données projet'!$B$10,Paramètres!$A$1:$I$89,3,0)*VLOOKUP('Données projet'!$B$10,Paramètres!$A$1:$I$89,5,0)</f>
        <v>163.86240000000004</v>
      </c>
      <c r="AK51" s="14">
        <f t="shared" si="35"/>
        <v>41.712477409029084</v>
      </c>
      <c r="AL51" s="22">
        <f t="shared" si="4"/>
        <v>358.0429114873923</v>
      </c>
      <c r="AM51" s="62">
        <f t="shared" si="5"/>
        <v>651.37624482072556</v>
      </c>
      <c r="AN51" s="62">
        <f ca="1">AVERAGE(OFFSET($AM$3,0,0,'Données projet'!$E$10+1,1))-AVERAGE(OFFSET($H$3,0,0,'Données projet'!$E$10+1,1))</f>
        <v>366.41072413829329</v>
      </c>
      <c r="AO51" s="62">
        <f t="shared" si="36"/>
        <v>234.41212418619125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0</v>
      </c>
      <c r="AV51" s="23">
        <f>EXP(-LN(2)/25)*AV50+(1-EXP(-LN(2)/25))/(LN(2)/25)*Calculateur!AQ51*Calculateur!AS51*VLOOKUP('Données projet'!$B$10,Paramètres!$A$1:$I$89,3,0)*0.475*44/12</f>
        <v>0</v>
      </c>
      <c r="AW51" s="23">
        <f>EXP(-LN(2)/2)*AW50+(1-EXP(-LN(2)/2))/(LN(2)/2)*AQ51*AT51*VLOOKUP('Données projet'!$B$10,Paramètres!$A$1:$I$89,3,0)*0.475*44/12</f>
        <v>0</v>
      </c>
      <c r="AX51" s="23">
        <f t="shared" si="6"/>
        <v>0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11.857142857142858</v>
      </c>
      <c r="BD51" s="13">
        <f>IF('Données projet'!$A$88&gt;35,BD50+BC51-BL50,IF(A51&lt;'Données projet'!$A$88,$BA$205^A51,IF(A51='Données projet'!$A$88,'Données projet'!$B$88,BD50+BC51-BL50)))</f>
        <v>213.42857142857136</v>
      </c>
      <c r="BE51" s="14">
        <f>BD51*VLOOKUP('Données projet'!$B$11,Paramètres!$A$1:$I$89,3,0)*VLOOKUP('Données projet'!$B$11,Paramètres!$A$1:$I$89,5,0)</f>
        <v>99.884571428571391</v>
      </c>
      <c r="BF51" s="14">
        <f t="shared" si="37"/>
        <v>26.934496434750237</v>
      </c>
      <c r="BG51" s="22">
        <f t="shared" si="7"/>
        <v>220.87654319528517</v>
      </c>
      <c r="BH51" s="62">
        <f t="shared" si="8"/>
        <v>514.20987652861845</v>
      </c>
      <c r="BI51" s="62">
        <f ca="1">AVERAGE(OFFSET($BH$3,0,0,'Données projet'!$E$11+1,1))-AVERAGE(OFFSET($H$3,0,0,'Données projet'!$E$11+1,1))</f>
        <v>152.72674713084456</v>
      </c>
      <c r="BJ51" s="62">
        <f t="shared" si="38"/>
        <v>203.90215120562164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10.759852466377772</v>
      </c>
      <c r="BQ51" s="23">
        <f>EXP(-LN(2)/25)*BQ50+(1-EXP(-LN(2)/25))/(LN(2)/25)*Calculateur!BL51*Calculateur!BN51*VLOOKUP('Données projet'!$B$11,Paramètres!$A$1:$I$89,3,0)*0.475*44/12</f>
        <v>0</v>
      </c>
      <c r="BR51" s="23">
        <f>EXP(-LN(2)/2)*BR50+(1-EXP(-LN(2)/2))/(LN(2)/2)*BL51*BO51*VLOOKUP('Données projet'!$B$11,Paramètres!$A$1:$I$89,3,0)*0.475*44/12</f>
        <v>3.0300661977021814E-2</v>
      </c>
      <c r="BS51" s="24">
        <f t="shared" si="9"/>
        <v>10.790153128354794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3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13.681231199999987</v>
      </c>
      <c r="D52" s="12">
        <f t="shared" si="32"/>
        <v>4.6497786152238438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44.431795018795164</v>
      </c>
      <c r="H52" s="70">
        <f t="shared" si="1"/>
        <v>288.5931754281815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8.1999999999999993</v>
      </c>
      <c r="N52" s="14">
        <f>IF('Données projet'!$A$36&gt;35,N51+M52-V51,IF(A52&lt;'Données projet'!$A$36,$K$205^A52,IF(A52='Données projet'!$A$36,'Données projet'!$B$36,N51+M52-V51)))</f>
        <v>169.8</v>
      </c>
      <c r="O52" s="14">
        <f>N52*VLOOKUP('Données projet'!$B$9,Paramètres!$A$1:$I$89,3,0)*VLOOKUP('Données projet'!$B$9,Paramètres!$A$1:$I$89,5,0)</f>
        <v>153.63504</v>
      </c>
      <c r="P52" s="14">
        <f t="shared" si="33"/>
        <v>39.403506785222667</v>
      </c>
      <c r="Q52" s="22">
        <f t="shared" si="53"/>
        <v>336.20880231759617</v>
      </c>
      <c r="R52" s="62">
        <f t="shared" si="0"/>
        <v>629.54213565092948</v>
      </c>
      <c r="S52" s="62">
        <f ca="1">AVERAGE(OFFSET($R$3,0,0,'Données projet'!$E$9+1,1))-AVERAGE(OFFSET($H$3,0,0,'Données projet'!$E$9+1,1))</f>
        <v>327.25473597900725</v>
      </c>
      <c r="T52" s="62">
        <f t="shared" si="34"/>
        <v>211.5313580973322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0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0</v>
      </c>
      <c r="AC52" s="24">
        <f t="shared" si="3"/>
        <v>0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8.1999999999999993</v>
      </c>
      <c r="AI52" s="14">
        <f>IF('Données projet'!$A$62&gt;35,AI51+AH52-AQ51,IF(A52&lt;'Données projet'!$A$62,$AF$205^A52,IF(A52='Données projet'!$A$62,'Données projet'!$B$62,AI51+AH52-AQ51)))</f>
        <v>169.8</v>
      </c>
      <c r="AJ52" s="14">
        <f>AI52*VLOOKUP('Données projet'!$B$10,Paramètres!$A$1:$I$89,3,0)*VLOOKUP('Données projet'!$B$10,Paramètres!$A$1:$I$89,5,0)</f>
        <v>172.1772</v>
      </c>
      <c r="AK52" s="14">
        <f t="shared" si="35"/>
        <v>43.577282221917017</v>
      </c>
      <c r="AL52" s="22">
        <f t="shared" si="4"/>
        <v>375.77238986983883</v>
      </c>
      <c r="AM52" s="62">
        <f t="shared" si="5"/>
        <v>669.10572320317215</v>
      </c>
      <c r="AN52" s="62">
        <f ca="1">AVERAGE(OFFSET($AM$3,0,0,'Données projet'!$E$10+1,1))-AVERAGE(OFFSET($H$3,0,0,'Données projet'!$E$10+1,1))</f>
        <v>366.41072413829329</v>
      </c>
      <c r="AO52" s="62">
        <f t="shared" si="36"/>
        <v>234.41212418619125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0</v>
      </c>
      <c r="AV52" s="23">
        <f>EXP(-LN(2)/25)*AV51+(1-EXP(-LN(2)/25))/(LN(2)/25)*Calculateur!AQ52*Calculateur!AS52*VLOOKUP('Données projet'!$B$10,Paramètres!$A$1:$I$89,3,0)*0.475*44/12</f>
        <v>0</v>
      </c>
      <c r="AW52" s="23">
        <f>EXP(-LN(2)/2)*AW51+(1-EXP(-LN(2)/2))/(LN(2)/2)*AQ52*AT52*VLOOKUP('Données projet'!$B$10,Paramètres!$A$1:$I$89,3,0)*0.475*44/12</f>
        <v>0</v>
      </c>
      <c r="AX52" s="23">
        <f t="shared" si="6"/>
        <v>0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11.857142857142858</v>
      </c>
      <c r="BD52" s="13">
        <f>IF('Données projet'!$A$88&gt;35,BD51+BC52-BL51,IF(A52&lt;'Données projet'!$A$88,$BA$205^A52,IF(A52='Données projet'!$A$88,'Données projet'!$B$88,BD51+BC52-BL51)))</f>
        <v>225.28571428571422</v>
      </c>
      <c r="BE52" s="14">
        <f>BD52*VLOOKUP('Données projet'!$B$11,Paramètres!$A$1:$I$89,3,0)*VLOOKUP('Données projet'!$B$11,Paramètres!$A$1:$I$89,5,0)</f>
        <v>105.43371428571426</v>
      </c>
      <c r="BF52" s="14">
        <f t="shared" si="37"/>
        <v>28.252491745957425</v>
      </c>
      <c r="BG52" s="22">
        <f t="shared" si="7"/>
        <v>232.83680883849482</v>
      </c>
      <c r="BH52" s="62">
        <f t="shared" si="8"/>
        <v>526.17014217182816</v>
      </c>
      <c r="BI52" s="62">
        <f ca="1">AVERAGE(OFFSET($BH$3,0,0,'Données projet'!$E$11+1,1))-AVERAGE(OFFSET($H$3,0,0,'Données projet'!$E$11+1,1))</f>
        <v>152.72674713084456</v>
      </c>
      <c r="BJ52" s="62">
        <f t="shared" si="38"/>
        <v>203.90215120562164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10.54885832237408</v>
      </c>
      <c r="BQ52" s="23">
        <f>EXP(-LN(2)/25)*BQ51+(1-EXP(-LN(2)/25))/(LN(2)/25)*Calculateur!BL52*Calculateur!BN52*VLOOKUP('Données projet'!$B$11,Paramètres!$A$1:$I$89,3,0)*0.475*44/12</f>
        <v>0</v>
      </c>
      <c r="BR52" s="23">
        <f>EXP(-LN(2)/2)*BR51+(1-EXP(-LN(2)/2))/(LN(2)/2)*BL52*BO52*VLOOKUP('Données projet'!$B$11,Paramètres!$A$1:$I$89,3,0)*0.475*44/12</f>
        <v>2.1425803558393505E-2</v>
      </c>
      <c r="BS52" s="24">
        <f t="shared" si="9"/>
        <v>10.570284125932474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3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13.960439999999986</v>
      </c>
      <c r="D53" s="12">
        <f t="shared" si="32"/>
        <v>4.7335276173812959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45.311553789778912</v>
      </c>
      <c r="H53" s="70">
        <f t="shared" si="1"/>
        <v>289.22532693360574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178</v>
      </c>
      <c r="L53" s="13">
        <f>VLOOKUP(A53,'Données projet'!$A$35:$I$55,9,0)</f>
        <v>8.1999999999999993</v>
      </c>
      <c r="M53" s="13">
        <f t="array" ref="M53">INDEX(L:L,MIN(IF(ISNUMBER(L53:L249),ROW(L53:L249),"")))</f>
        <v>8.1999999999999993</v>
      </c>
      <c r="N53" s="14">
        <f>IF('Données projet'!$A$36&gt;35,N52+M53-V52,IF(A53&lt;'Données projet'!$A$36,$K$205^A53,IF(A53='Données projet'!$A$36,'Données projet'!$B$36,N52+M53-V52)))</f>
        <v>178</v>
      </c>
      <c r="O53" s="14">
        <f>N53*VLOOKUP('Données projet'!$B$9,Paramètres!$A$1:$I$89,3,0)*VLOOKUP('Données projet'!$B$9,Paramètres!$A$1:$I$89,5,0)</f>
        <v>161.05439999999999</v>
      </c>
      <c r="P53" s="14">
        <f t="shared" si="33"/>
        <v>41.080247278685491</v>
      </c>
      <c r="Q53" s="22">
        <f t="shared" si="53"/>
        <v>352.05117734371055</v>
      </c>
      <c r="R53" s="62">
        <f t="shared" si="0"/>
        <v>645.38451067704386</v>
      </c>
      <c r="S53" s="62">
        <f ca="1">AVERAGE(OFFSET($R$3,0,0,'Données projet'!$E$9+1,1))-AVERAGE(OFFSET($H$3,0,0,'Données projet'!$E$9+1,1))</f>
        <v>327.25473597900725</v>
      </c>
      <c r="T53" s="62">
        <f t="shared" si="34"/>
        <v>211.5313580973322</v>
      </c>
      <c r="U53" s="16">
        <f>IF(ISNA(VLOOKUP(A53,'Données projet'!$A$35:$I$55,3,0)),0,VLOOKUP(A53,'Données projet'!$A$35:$I$55,3,0))</f>
        <v>7</v>
      </c>
      <c r="V53" s="16">
        <f>IF(ISNA(VLOOKUP(A53,'Données projet'!$A$35:$I$55,4,0)),0,VLOOKUP(A53,'Données projet'!$A$35:$I$55,4,0))</f>
        <v>21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0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0</v>
      </c>
      <c r="AC53" s="24">
        <f t="shared" si="3"/>
        <v>0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178</v>
      </c>
      <c r="AG53" s="13">
        <f>VLOOKUP(A53,'Données projet'!$A$61:$I$81,9,0)</f>
        <v>8.1999999999999993</v>
      </c>
      <c r="AH53" s="13">
        <f t="array" ref="AH53">INDEX(AG:AG,MIN(IF(ISNUMBER(AG53:AG249),ROW(AG53:AG249),"")))</f>
        <v>8.1999999999999993</v>
      </c>
      <c r="AI53" s="14">
        <f>IF('Données projet'!$A$62&gt;35,AI52+AH53-AQ52,IF(A53&lt;'Données projet'!$A$62,$AF$205^A53,IF(A53='Données projet'!$A$62,'Données projet'!$B$62,AI52+AH53-AQ52)))</f>
        <v>178</v>
      </c>
      <c r="AJ53" s="14">
        <f>AI53*VLOOKUP('Données projet'!$B$10,Paramètres!$A$1:$I$89,3,0)*VLOOKUP('Données projet'!$B$10,Paramètres!$A$1:$I$89,5,0)</f>
        <v>180.49200000000002</v>
      </c>
      <c r="AK53" s="14">
        <f t="shared" si="35"/>
        <v>45.431629706642653</v>
      </c>
      <c r="AL53" s="22">
        <f t="shared" si="4"/>
        <v>393.4836550724026</v>
      </c>
      <c r="AM53" s="62">
        <f t="shared" si="5"/>
        <v>686.81698840573586</v>
      </c>
      <c r="AN53" s="62">
        <f ca="1">AVERAGE(OFFSET($AM$3,0,0,'Données projet'!$E$10+1,1))-AVERAGE(OFFSET($H$3,0,0,'Données projet'!$E$10+1,1))</f>
        <v>366.41072413829329</v>
      </c>
      <c r="AO53" s="62">
        <f t="shared" si="36"/>
        <v>234.41212418619125</v>
      </c>
      <c r="AP53" s="16">
        <f>IF(ISNA(VLOOKUP(A53,'Données projet'!$A$61:$I$81,3,0)),0,VLOOKUP(A53,'Données projet'!$A$61:$I$81,3,0))</f>
        <v>7</v>
      </c>
      <c r="AQ53" s="16">
        <f>IF(ISNA(VLOOKUP(A53,'Données projet'!$A$61:$I$81,4,0)),0,VLOOKUP(A53,'Données projet'!$A$61:$I$81,4,0))</f>
        <v>21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0</v>
      </c>
      <c r="AV53" s="23">
        <f>EXP(-LN(2)/25)*AV52+(1-EXP(-LN(2)/25))/(LN(2)/25)*Calculateur!AQ53*Calculateur!AS53*VLOOKUP('Données projet'!$B$10,Paramètres!$A$1:$I$89,3,0)*0.475*44/12</f>
        <v>0</v>
      </c>
      <c r="AW53" s="23">
        <f>EXP(-LN(2)/2)*AW52+(1-EXP(-LN(2)/2))/(LN(2)/2)*AQ53*AT53*VLOOKUP('Données projet'!$B$10,Paramètres!$A$1:$I$89,3,0)*0.475*44/12</f>
        <v>0</v>
      </c>
      <c r="AX53" s="23">
        <f t="shared" si="6"/>
        <v>0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11.857142857142858</v>
      </c>
      <c r="BD53" s="13">
        <f>IF('Données projet'!$A$88&gt;35,BD52+BC53-BL52,IF(A53&lt;'Données projet'!$A$88,$BA$205^A53,IF(A53='Données projet'!$A$88,'Données projet'!$B$88,BD52+BC53-BL52)))</f>
        <v>237.14285714285708</v>
      </c>
      <c r="BE53" s="14">
        <f>BD53*VLOOKUP('Données projet'!$B$11,Paramètres!$A$1:$I$89,3,0)*VLOOKUP('Données projet'!$B$11,Paramètres!$A$1:$I$89,5,0)</f>
        <v>110.98285714285713</v>
      </c>
      <c r="BF53" s="14">
        <f t="shared" si="37"/>
        <v>29.562433359346652</v>
      </c>
      <c r="BG53" s="22">
        <f t="shared" si="7"/>
        <v>244.78304762467158</v>
      </c>
      <c r="BH53" s="62">
        <f t="shared" si="8"/>
        <v>538.11638095800492</v>
      </c>
      <c r="BI53" s="62">
        <f ca="1">AVERAGE(OFFSET($BH$3,0,0,'Données projet'!$E$11+1,1))-AVERAGE(OFFSET($H$3,0,0,'Données projet'!$E$11+1,1))</f>
        <v>152.72674713084456</v>
      </c>
      <c r="BJ53" s="62">
        <f t="shared" si="38"/>
        <v>203.90215120562164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10.342001644840581</v>
      </c>
      <c r="BQ53" s="23">
        <f>EXP(-LN(2)/25)*BQ52+(1-EXP(-LN(2)/25))/(LN(2)/25)*Calculateur!BL53*Calculateur!BN53*VLOOKUP('Données projet'!$B$11,Paramètres!$A$1:$I$89,3,0)*0.475*44/12</f>
        <v>0</v>
      </c>
      <c r="BR53" s="23">
        <f>EXP(-LN(2)/2)*BR52+(1-EXP(-LN(2)/2))/(LN(2)/2)*BL53*BO53*VLOOKUP('Données projet'!$B$11,Paramètres!$A$1:$I$89,3,0)*0.475*44/12</f>
        <v>1.5150330988510909E-2</v>
      </c>
      <c r="BS53" s="24">
        <f t="shared" si="9"/>
        <v>10.357151975829092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3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14.239648799999985</v>
      </c>
      <c r="D54" s="12">
        <f t="shared" si="32"/>
        <v>4.8170818649034564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46.190840502860688</v>
      </c>
      <c r="H54" s="70">
        <f t="shared" si="1"/>
        <v>289.85713924137349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8</v>
      </c>
      <c r="N54" s="14">
        <f>IF('Données projet'!$A$36&gt;35,N53+M54-V53,IF(A54&lt;'Données projet'!$A$36,$K$205^A54,IF(A54='Données projet'!$A$36,'Données projet'!$B$36,N53+M54-V53)))</f>
        <v>165</v>
      </c>
      <c r="O54" s="14">
        <f>N54*VLOOKUP('Données projet'!$B$9,Paramètres!$A$1:$I$89,3,0)*VLOOKUP('Données projet'!$B$9,Paramètres!$A$1:$I$89,5,0)</f>
        <v>149.29199999999997</v>
      </c>
      <c r="P54" s="14">
        <f t="shared" si="33"/>
        <v>38.417645803815411</v>
      </c>
      <c r="Q54" s="22">
        <f t="shared" si="53"/>
        <v>326.9276331083118</v>
      </c>
      <c r="R54" s="62">
        <f t="shared" si="0"/>
        <v>620.26096644164511</v>
      </c>
      <c r="S54" s="62">
        <f ca="1">AVERAGE(OFFSET($R$3,0,0,'Données projet'!$E$9+1,1))-AVERAGE(OFFSET($H$3,0,0,'Données projet'!$E$9+1,1))</f>
        <v>327.25473597900725</v>
      </c>
      <c r="T54" s="62">
        <f t="shared" si="34"/>
        <v>211.5313580973322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0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0</v>
      </c>
      <c r="AC54" s="24">
        <f t="shared" si="3"/>
        <v>0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8</v>
      </c>
      <c r="AI54" s="14">
        <f>IF('Données projet'!$A$62&gt;35,AI53+AH54-AQ53,IF(A54&lt;'Données projet'!$A$62,$AF$205^A54,IF(A54='Données projet'!$A$62,'Données projet'!$B$62,AI53+AH54-AQ53)))</f>
        <v>165</v>
      </c>
      <c r="AJ54" s="14">
        <f>AI54*VLOOKUP('Données projet'!$B$10,Paramètres!$A$1:$I$89,3,0)*VLOOKUP('Données projet'!$B$10,Paramètres!$A$1:$I$89,5,0)</f>
        <v>167.31</v>
      </c>
      <c r="AK54" s="14">
        <f t="shared" si="35"/>
        <v>42.486994942347515</v>
      </c>
      <c r="AL54" s="22">
        <f t="shared" si="4"/>
        <v>365.39643285792187</v>
      </c>
      <c r="AM54" s="62">
        <f t="shared" si="5"/>
        <v>658.72976619125518</v>
      </c>
      <c r="AN54" s="62">
        <f ca="1">AVERAGE(OFFSET($AM$3,0,0,'Données projet'!$E$10+1,1))-AVERAGE(OFFSET($H$3,0,0,'Données projet'!$E$10+1,1))</f>
        <v>366.41072413829329</v>
      </c>
      <c r="AO54" s="62">
        <f t="shared" si="36"/>
        <v>234.41212418619125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0</v>
      </c>
      <c r="AV54" s="23">
        <f>EXP(-LN(2)/25)*AV53+(1-EXP(-LN(2)/25))/(LN(2)/25)*Calculateur!AQ54*Calculateur!AS54*VLOOKUP('Données projet'!$B$10,Paramètres!$A$1:$I$89,3,0)*0.475*44/12</f>
        <v>0</v>
      </c>
      <c r="AW54" s="23">
        <f>EXP(-LN(2)/2)*AW53+(1-EXP(-LN(2)/2))/(LN(2)/2)*AQ54*AT54*VLOOKUP('Données projet'!$B$10,Paramètres!$A$1:$I$89,3,0)*0.475*44/12</f>
        <v>0</v>
      </c>
      <c r="AX54" s="23">
        <f t="shared" si="6"/>
        <v>0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>
        <f>VLOOKUP(A54,'Données projet'!$A$87:$I$107,2,0)</f>
        <v>249</v>
      </c>
      <c r="BB54" s="13">
        <f>VLOOKUP(A54,'Données projet'!$A$87:$I$107,9,0)</f>
        <v>11.857142857142858</v>
      </c>
      <c r="BC54" s="13">
        <f t="array" ref="BC54">INDEX(BB:BB,MIN(IF(ISNUMBER(BB54:BB250),ROW(BB54:BB250),"")))</f>
        <v>11.857142857142858</v>
      </c>
      <c r="BD54" s="13">
        <f>IF('Données projet'!$A$88&gt;35,BD53+BC54-BL53,IF(A54&lt;'Données projet'!$A$88,$BA$205^A54,IF(A54='Données projet'!$A$88,'Données projet'!$B$88,BD53+BC54-BL53)))</f>
        <v>248.99999999999994</v>
      </c>
      <c r="BE54" s="14">
        <f>BD54*VLOOKUP('Données projet'!$B$11,Paramètres!$A$1:$I$89,3,0)*VLOOKUP('Données projet'!$B$11,Paramètres!$A$1:$I$89,5,0)</f>
        <v>116.53199999999997</v>
      </c>
      <c r="BF54" s="14">
        <f t="shared" si="37"/>
        <v>30.864769909522728</v>
      </c>
      <c r="BG54" s="22">
        <f t="shared" si="7"/>
        <v>256.71604092575205</v>
      </c>
      <c r="BH54" s="62">
        <f t="shared" si="8"/>
        <v>550.04937425908543</v>
      </c>
      <c r="BI54" s="62">
        <f ca="1">AVERAGE(OFFSET($BH$3,0,0,'Données projet'!$E$11+1,1))-AVERAGE(OFFSET($H$3,0,0,'Données projet'!$E$11+1,1))</f>
        <v>152.72674713084456</v>
      </c>
      <c r="BJ54" s="62">
        <f t="shared" si="38"/>
        <v>203.90215120562164</v>
      </c>
      <c r="BK54" s="16">
        <f>IF(ISNA(VLOOKUP(A54,'Données projet'!$A$87:$I$107,3,0)),0,VLOOKUP(A54,'Données projet'!$A$87:$I$107,3,0))</f>
        <v>6</v>
      </c>
      <c r="BL54" s="16">
        <f>IF(ISNA(VLOOKUP(A54,'Données projet'!$A$87:$I$107,4,0)),0,VLOOKUP(A54,'Données projet'!$A$87:$I$107,4,0))</f>
        <v>70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10.139201300583398</v>
      </c>
      <c r="BQ54" s="23">
        <f>EXP(-LN(2)/25)*BQ53+(1-EXP(-LN(2)/25))/(LN(2)/25)*Calculateur!BL54*Calculateur!BN54*VLOOKUP('Données projet'!$B$11,Paramètres!$A$1:$I$89,3,0)*0.475*44/12</f>
        <v>0</v>
      </c>
      <c r="BR54" s="23">
        <f>EXP(-LN(2)/2)*BR53+(1-EXP(-LN(2)/2))/(LN(2)/2)*BL54*BO54*VLOOKUP('Données projet'!$B$11,Paramètres!$A$1:$I$89,3,0)*0.475*44/12</f>
        <v>1.0712901779196754E-2</v>
      </c>
      <c r="BS54" s="24">
        <f t="shared" si="9"/>
        <v>10.149914202362595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3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14.518857599999984</v>
      </c>
      <c r="D55" s="12">
        <f t="shared" si="32"/>
        <v>4.9004456166967874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47.06966548103204</v>
      </c>
      <c r="H55" s="70">
        <f t="shared" si="1"/>
        <v>290.48861976908023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8</v>
      </c>
      <c r="N55" s="14">
        <f>IF('Données projet'!$A$36&gt;35,N54+M55-V54,IF(A55&lt;'Données projet'!$A$36,$K$205^A55,IF(A55='Données projet'!$A$36,'Données projet'!$B$36,N54+M55-V54)))</f>
        <v>173</v>
      </c>
      <c r="O55" s="14">
        <f>N55*VLOOKUP('Données projet'!$B$9,Paramètres!$A$1:$I$89,3,0)*VLOOKUP('Données projet'!$B$9,Paramètres!$A$1:$I$89,5,0)</f>
        <v>156.53039999999999</v>
      </c>
      <c r="P55" s="14">
        <f t="shared" si="33"/>
        <v>40.058941713182037</v>
      </c>
      <c r="Q55" s="22">
        <f t="shared" si="53"/>
        <v>342.393103483792</v>
      </c>
      <c r="R55" s="62">
        <f t="shared" si="0"/>
        <v>635.72643681712532</v>
      </c>
      <c r="S55" s="62">
        <f ca="1">AVERAGE(OFFSET($R$3,0,0,'Données projet'!$E$9+1,1))-AVERAGE(OFFSET($H$3,0,0,'Données projet'!$E$9+1,1))</f>
        <v>327.25473597900725</v>
      </c>
      <c r="T55" s="62">
        <f t="shared" si="34"/>
        <v>211.5313580973322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0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0</v>
      </c>
      <c r="AC55" s="24">
        <f t="shared" si="3"/>
        <v>0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8</v>
      </c>
      <c r="AI55" s="14">
        <f>IF('Données projet'!$A$62&gt;35,AI54+AH55-AQ54,IF(A55&lt;'Données projet'!$A$62,$AF$205^A55,IF(A55='Données projet'!$A$62,'Données projet'!$B$62,AI54+AH55-AQ54)))</f>
        <v>173</v>
      </c>
      <c r="AJ55" s="14">
        <f>AI55*VLOOKUP('Données projet'!$B$10,Paramètres!$A$1:$I$89,3,0)*VLOOKUP('Données projet'!$B$10,Paramètres!$A$1:$I$89,5,0)</f>
        <v>175.422</v>
      </c>
      <c r="AK55" s="14">
        <f t="shared" si="35"/>
        <v>44.302143412304737</v>
      </c>
      <c r="AL55" s="22">
        <f t="shared" si="4"/>
        <v>382.68621644309741</v>
      </c>
      <c r="AM55" s="62">
        <f t="shared" si="5"/>
        <v>676.01954977643072</v>
      </c>
      <c r="AN55" s="62">
        <f ca="1">AVERAGE(OFFSET($AM$3,0,0,'Données projet'!$E$10+1,1))-AVERAGE(OFFSET($H$3,0,0,'Données projet'!$E$10+1,1))</f>
        <v>366.41072413829329</v>
      </c>
      <c r="AO55" s="62">
        <f t="shared" si="36"/>
        <v>234.41212418619125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0</v>
      </c>
      <c r="AV55" s="23">
        <f>EXP(-LN(2)/25)*AV54+(1-EXP(-LN(2)/25))/(LN(2)/25)*Calculateur!AQ55*Calculateur!AS55*VLOOKUP('Données projet'!$B$10,Paramètres!$A$1:$I$89,3,0)*0.475*44/12</f>
        <v>0</v>
      </c>
      <c r="AW55" s="23">
        <f>EXP(-LN(2)/2)*AW54+(1-EXP(-LN(2)/2))/(LN(2)/2)*AQ55*AT55*VLOOKUP('Données projet'!$B$10,Paramètres!$A$1:$I$89,3,0)*0.475*44/12</f>
        <v>0</v>
      </c>
      <c r="AX55" s="23">
        <f t="shared" si="6"/>
        <v>0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13.444444444444445</v>
      </c>
      <c r="BD55" s="13">
        <f>IF('Données projet'!$A$88&gt;35,BD54+BC55-BL54,IF(A55&lt;'Données projet'!$A$88,$BA$205^A55,IF(A55='Données projet'!$A$88,'Données projet'!$B$88,BD54+BC55-BL54)))</f>
        <v>192.4444444444444</v>
      </c>
      <c r="BE55" s="14">
        <f>BD55*VLOOKUP('Données projet'!$B$11,Paramètres!$A$1:$I$89,3,0)*VLOOKUP('Données projet'!$B$11,Paramètres!$A$1:$I$89,5,0)</f>
        <v>90.063999999999993</v>
      </c>
      <c r="BF55" s="14">
        <f t="shared" si="37"/>
        <v>24.580659614147791</v>
      </c>
      <c r="BG55" s="22">
        <f t="shared" si="7"/>
        <v>199.6727821613074</v>
      </c>
      <c r="BH55" s="62">
        <f t="shared" si="8"/>
        <v>493.00611549464071</v>
      </c>
      <c r="BI55" s="62">
        <f ca="1">AVERAGE(OFFSET($BH$3,0,0,'Données projet'!$E$11+1,1))-AVERAGE(OFFSET($H$3,0,0,'Données projet'!$E$11+1,1))</f>
        <v>152.72674713084456</v>
      </c>
      <c r="BJ55" s="62">
        <f t="shared" si="38"/>
        <v>203.90215120562164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9.9403777473811026</v>
      </c>
      <c r="BQ55" s="23">
        <f>EXP(-LN(2)/25)*BQ54+(1-EXP(-LN(2)/25))/(LN(2)/25)*Calculateur!BL55*Calculateur!BN55*VLOOKUP('Données projet'!$B$11,Paramètres!$A$1:$I$89,3,0)*0.475*44/12</f>
        <v>0</v>
      </c>
      <c r="BR55" s="23">
        <f>EXP(-LN(2)/2)*BR54+(1-EXP(-LN(2)/2))/(LN(2)/2)*BL55*BO55*VLOOKUP('Données projet'!$B$11,Paramètres!$A$1:$I$89,3,0)*0.475*44/12</f>
        <v>7.5751654942554552E-3</v>
      </c>
      <c r="BS55" s="24">
        <f t="shared" si="9"/>
        <v>9.9479529128753583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3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14.798066399999984</v>
      </c>
      <c r="D56" s="12">
        <f t="shared" si="32"/>
        <v>4.983622958492111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47.948038627531012</v>
      </c>
      <c r="H56" s="70">
        <f t="shared" si="1"/>
        <v>291.1197756327071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8</v>
      </c>
      <c r="N56" s="14">
        <f>IF('Données projet'!$A$36&gt;35,N55+M56-V55,IF(A56&lt;'Données projet'!$A$36,$K$205^A56,IF(A56='Données projet'!$A$36,'Données projet'!$B$36,N55+M56-V55)))</f>
        <v>181</v>
      </c>
      <c r="O56" s="14">
        <f>N56*VLOOKUP('Données projet'!$B$9,Paramètres!$A$1:$I$89,3,0)*VLOOKUP('Données projet'!$B$9,Paramètres!$A$1:$I$89,5,0)</f>
        <v>163.7688</v>
      </c>
      <c r="P56" s="14">
        <f t="shared" si="33"/>
        <v>41.691423503509803</v>
      </c>
      <c r="Q56" s="22">
        <f t="shared" si="53"/>
        <v>357.84322260194625</v>
      </c>
      <c r="R56" s="62">
        <f t="shared" si="0"/>
        <v>651.17655593527957</v>
      </c>
      <c r="S56" s="62">
        <f ca="1">AVERAGE(OFFSET($R$3,0,0,'Données projet'!$E$9+1,1))-AVERAGE(OFFSET($H$3,0,0,'Données projet'!$E$9+1,1))</f>
        <v>327.25473597900725</v>
      </c>
      <c r="T56" s="62">
        <f t="shared" si="34"/>
        <v>211.5313580973322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0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0</v>
      </c>
      <c r="AC56" s="24">
        <f t="shared" si="3"/>
        <v>0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8</v>
      </c>
      <c r="AI56" s="14">
        <f>IF('Données projet'!$A$62&gt;35,AI55+AH56-AQ55,IF(A56&lt;'Données projet'!$A$62,$AF$205^A56,IF(A56='Données projet'!$A$62,'Données projet'!$B$62,AI55+AH56-AQ55)))</f>
        <v>181</v>
      </c>
      <c r="AJ56" s="14">
        <f>AI56*VLOOKUP('Données projet'!$B$10,Paramètres!$A$1:$I$89,3,0)*VLOOKUP('Données projet'!$B$10,Paramètres!$A$1:$I$89,5,0)</f>
        <v>183.53400000000002</v>
      </c>
      <c r="AK56" s="14">
        <f t="shared" si="35"/>
        <v>46.107544136839593</v>
      </c>
      <c r="AL56" s="22">
        <f t="shared" si="4"/>
        <v>399.95902270499568</v>
      </c>
      <c r="AM56" s="62">
        <f t="shared" si="5"/>
        <v>693.29235603832899</v>
      </c>
      <c r="AN56" s="62">
        <f ca="1">AVERAGE(OFFSET($AM$3,0,0,'Données projet'!$E$10+1,1))-AVERAGE(OFFSET($H$3,0,0,'Données projet'!$E$10+1,1))</f>
        <v>366.41072413829329</v>
      </c>
      <c r="AO56" s="62">
        <f t="shared" si="36"/>
        <v>234.41212418619125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0</v>
      </c>
      <c r="AV56" s="23">
        <f>EXP(-LN(2)/25)*AV55+(1-EXP(-LN(2)/25))/(LN(2)/25)*Calculateur!AQ56*Calculateur!AS56*VLOOKUP('Données projet'!$B$10,Paramètres!$A$1:$I$89,3,0)*0.475*44/12</f>
        <v>0</v>
      </c>
      <c r="AW56" s="23">
        <f>EXP(-LN(2)/2)*AW55+(1-EXP(-LN(2)/2))/(LN(2)/2)*AQ56*AT56*VLOOKUP('Données projet'!$B$10,Paramètres!$A$1:$I$89,3,0)*0.475*44/12</f>
        <v>0</v>
      </c>
      <c r="AX56" s="23">
        <f t="shared" si="6"/>
        <v>0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13.444444444444445</v>
      </c>
      <c r="BD56" s="13">
        <f>IF('Données projet'!$A$88&gt;35,BD55+BC56-BL55,IF(A56&lt;'Données projet'!$A$88,$BA$205^A56,IF(A56='Données projet'!$A$88,'Données projet'!$B$88,BD55+BC56-BL55)))</f>
        <v>205.88888888888886</v>
      </c>
      <c r="BE56" s="14">
        <f>BD56*VLOOKUP('Données projet'!$B$11,Paramètres!$A$1:$I$89,3,0)*VLOOKUP('Données projet'!$B$11,Paramètres!$A$1:$I$89,5,0)</f>
        <v>96.355999999999995</v>
      </c>
      <c r="BF56" s="14">
        <f t="shared" si="37"/>
        <v>26.091998195525026</v>
      </c>
      <c r="BG56" s="22">
        <f t="shared" si="7"/>
        <v>213.26359685720604</v>
      </c>
      <c r="BH56" s="62">
        <f t="shared" si="8"/>
        <v>506.59693019053935</v>
      </c>
      <c r="BI56" s="62">
        <f ca="1">AVERAGE(OFFSET($BH$3,0,0,'Données projet'!$E$11+1,1))-AVERAGE(OFFSET($H$3,0,0,'Données projet'!$E$11+1,1))</f>
        <v>152.72674713084456</v>
      </c>
      <c r="BJ56" s="62">
        <f t="shared" si="38"/>
        <v>203.90215120562164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9.7454530027867108</v>
      </c>
      <c r="BQ56" s="23">
        <f>EXP(-LN(2)/25)*BQ55+(1-EXP(-LN(2)/25))/(LN(2)/25)*Calculateur!BL56*Calculateur!BN56*VLOOKUP('Données projet'!$B$11,Paramètres!$A$1:$I$89,3,0)*0.475*44/12</f>
        <v>0</v>
      </c>
      <c r="BR56" s="23">
        <f>EXP(-LN(2)/2)*BR55+(1-EXP(-LN(2)/2))/(LN(2)/2)*BL56*BO56*VLOOKUP('Données projet'!$B$11,Paramètres!$A$1:$I$89,3,0)*0.475*44/12</f>
        <v>5.356450889598378E-3</v>
      </c>
      <c r="BS56" s="24">
        <f t="shared" si="9"/>
        <v>9.7508094536763092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3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15.077275199999983</v>
      </c>
      <c r="D57" s="12">
        <f t="shared" si="32"/>
        <v>5.0666178130185973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48.825969450502583</v>
      </c>
      <c r="H57" s="70">
        <f t="shared" si="1"/>
        <v>291.75061366434073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8</v>
      </c>
      <c r="N57" s="14">
        <f>IF('Données projet'!$A$36&gt;35,N56+M57-V56,IF(A57&lt;'Données projet'!$A$36,$K$205^A57,IF(A57='Données projet'!$A$36,'Données projet'!$B$36,N56+M57-V56)))</f>
        <v>189</v>
      </c>
      <c r="O57" s="14">
        <f>N57*VLOOKUP('Données projet'!$B$9,Paramètres!$A$1:$I$89,3,0)*VLOOKUP('Données projet'!$B$9,Paramètres!$A$1:$I$89,5,0)</f>
        <v>171.00719999999998</v>
      </c>
      <c r="P57" s="14">
        <f t="shared" si="33"/>
        <v>43.315525267338089</v>
      </c>
      <c r="Q57" s="22">
        <f t="shared" si="53"/>
        <v>373.27874650728046</v>
      </c>
      <c r="R57" s="62">
        <f t="shared" si="0"/>
        <v>666.61207984061377</v>
      </c>
      <c r="S57" s="62">
        <f ca="1">AVERAGE(OFFSET($R$3,0,0,'Données projet'!$E$9+1,1))-AVERAGE(OFFSET($H$3,0,0,'Données projet'!$E$9+1,1))</f>
        <v>327.25473597900725</v>
      </c>
      <c r="T57" s="62">
        <f t="shared" si="34"/>
        <v>211.5313580973322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0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0</v>
      </c>
      <c r="AC57" s="24">
        <f t="shared" si="3"/>
        <v>0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8</v>
      </c>
      <c r="AI57" s="14">
        <f>IF('Données projet'!$A$62&gt;35,AI56+AH57-AQ56,IF(A57&lt;'Données projet'!$A$62,$AF$205^A57,IF(A57='Données projet'!$A$62,'Données projet'!$B$62,AI56+AH57-AQ56)))</f>
        <v>189</v>
      </c>
      <c r="AJ57" s="14">
        <f>AI57*VLOOKUP('Données projet'!$B$10,Paramètres!$A$1:$I$89,3,0)*VLOOKUP('Données projet'!$B$10,Paramètres!$A$1:$I$89,5,0)</f>
        <v>191.64600000000002</v>
      </c>
      <c r="AK57" s="14">
        <f t="shared" si="35"/>
        <v>47.903677189291635</v>
      </c>
      <c r="AL57" s="22">
        <f t="shared" si="4"/>
        <v>417.21568777134962</v>
      </c>
      <c r="AM57" s="62">
        <f t="shared" si="5"/>
        <v>710.54902110468288</v>
      </c>
      <c r="AN57" s="62">
        <f ca="1">AVERAGE(OFFSET($AM$3,0,0,'Données projet'!$E$10+1,1))-AVERAGE(OFFSET($H$3,0,0,'Données projet'!$E$10+1,1))</f>
        <v>366.41072413829329</v>
      </c>
      <c r="AO57" s="62">
        <f t="shared" si="36"/>
        <v>234.41212418619125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0</v>
      </c>
      <c r="AV57" s="23">
        <f>EXP(-LN(2)/25)*AV56+(1-EXP(-LN(2)/25))/(LN(2)/25)*Calculateur!AQ57*Calculateur!AS57*VLOOKUP('Données projet'!$B$10,Paramètres!$A$1:$I$89,3,0)*0.475*44/12</f>
        <v>0</v>
      </c>
      <c r="AW57" s="23">
        <f>EXP(-LN(2)/2)*AW56+(1-EXP(-LN(2)/2))/(LN(2)/2)*AQ57*AT57*VLOOKUP('Données projet'!$B$10,Paramètres!$A$1:$I$89,3,0)*0.475*44/12</f>
        <v>0</v>
      </c>
      <c r="AX57" s="23">
        <f t="shared" si="6"/>
        <v>0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13.444444444444445</v>
      </c>
      <c r="BD57" s="13">
        <f>IF('Données projet'!$A$88&gt;35,BD56+BC57-BL56,IF(A57&lt;'Données projet'!$A$88,$BA$205^A57,IF(A57='Données projet'!$A$88,'Données projet'!$B$88,BD56+BC57-BL56)))</f>
        <v>219.33333333333331</v>
      </c>
      <c r="BE57" s="14">
        <f>BD57*VLOOKUP('Données projet'!$B$11,Paramètres!$A$1:$I$89,3,0)*VLOOKUP('Données projet'!$B$11,Paramètres!$A$1:$I$89,5,0)</f>
        <v>102.648</v>
      </c>
      <c r="BF57" s="14">
        <f t="shared" si="37"/>
        <v>27.591884256813071</v>
      </c>
      <c r="BG57" s="22">
        <f t="shared" si="7"/>
        <v>226.83446508061607</v>
      </c>
      <c r="BH57" s="62">
        <f t="shared" si="8"/>
        <v>520.16779841394941</v>
      </c>
      <c r="BI57" s="62">
        <f ca="1">AVERAGE(OFFSET($BH$3,0,0,'Données projet'!$E$11+1,1))-AVERAGE(OFFSET($H$3,0,0,'Données projet'!$E$11+1,1))</f>
        <v>152.72674713084456</v>
      </c>
      <c r="BJ57" s="62">
        <f t="shared" si="38"/>
        <v>203.90215120562164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9.5543506135414606</v>
      </c>
      <c r="BQ57" s="23">
        <f>EXP(-LN(2)/25)*BQ56+(1-EXP(-LN(2)/25))/(LN(2)/25)*Calculateur!BL57*Calculateur!BN57*VLOOKUP('Données projet'!$B$11,Paramètres!$A$1:$I$89,3,0)*0.475*44/12</f>
        <v>0</v>
      </c>
      <c r="BR57" s="23">
        <f>EXP(-LN(2)/2)*BR56+(1-EXP(-LN(2)/2))/(LN(2)/2)*BL57*BO57*VLOOKUP('Données projet'!$B$11,Paramètres!$A$1:$I$89,3,0)*0.475*44/12</f>
        <v>3.7875827471277284E-3</v>
      </c>
      <c r="BS57" s="24">
        <f t="shared" si="9"/>
        <v>9.5581381962885885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3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15.356483999999982</v>
      </c>
      <c r="D58" s="12">
        <f t="shared" si="32"/>
        <v>5.1494339494027708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49.703467085780431</v>
      </c>
      <c r="H58" s="70">
        <f t="shared" si="1"/>
        <v>292.38114042854318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>
        <f>VLOOKUP(A58,'Données projet'!$A$35:$I$55,2,0)</f>
        <v>197</v>
      </c>
      <c r="L58" s="13">
        <f>VLOOKUP(A58,'Données projet'!$A$35:$I$55,9,0)</f>
        <v>8</v>
      </c>
      <c r="M58" s="13">
        <f t="array" ref="M58">INDEX(L:L,MIN(IF(ISNUMBER(L58:L254),ROW(L58:L254),"")))</f>
        <v>8</v>
      </c>
      <c r="N58" s="14">
        <f>IF('Données projet'!$A$36&gt;35,N57+M58-V57,IF(A58&lt;'Données projet'!$A$36,$K$205^A58,IF(A58='Données projet'!$A$36,'Données projet'!$B$36,N57+M58-V57)))</f>
        <v>197</v>
      </c>
      <c r="O58" s="14">
        <f>N58*VLOOKUP('Données projet'!$B$9,Paramètres!$A$1:$I$89,3,0)*VLOOKUP('Données projet'!$B$9,Paramètres!$A$1:$I$89,5,0)</f>
        <v>178.2456</v>
      </c>
      <c r="P58" s="14">
        <f t="shared" si="33"/>
        <v>44.931642269910427</v>
      </c>
      <c r="Q58" s="22">
        <f t="shared" si="53"/>
        <v>388.70036362009404</v>
      </c>
      <c r="R58" s="62">
        <f t="shared" si="0"/>
        <v>682.03369695342735</v>
      </c>
      <c r="S58" s="62">
        <f ca="1">AVERAGE(OFFSET($R$3,0,0,'Données projet'!$E$9+1,1))-AVERAGE(OFFSET($H$3,0,0,'Données projet'!$E$9+1,1))</f>
        <v>327.25473597900725</v>
      </c>
      <c r="T58" s="62">
        <f t="shared" si="34"/>
        <v>211.5313580973322</v>
      </c>
      <c r="U58" s="16">
        <f>IF(ISNA(VLOOKUP(A58,'Données projet'!$A$35:$I$55,3,0)),0,VLOOKUP(A58,'Données projet'!$A$35:$I$55,3,0))</f>
        <v>8</v>
      </c>
      <c r="V58" s="16">
        <f>IF(ISNA(VLOOKUP(A58,'Données projet'!$A$35:$I$55,4,0)),0,VLOOKUP(A58,'Données projet'!$A$35:$I$55,4,0))</f>
        <v>21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0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0</v>
      </c>
      <c r="AC58" s="24">
        <f t="shared" si="3"/>
        <v>0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>
        <f>VLOOKUP(A58,'Données projet'!$A$61:$I$81,2,0)</f>
        <v>197</v>
      </c>
      <c r="AG58" s="13">
        <f>VLOOKUP(A58,'Données projet'!$A$61:$I$81,9,0)</f>
        <v>8</v>
      </c>
      <c r="AH58" s="13">
        <f t="array" ref="AH58">INDEX(AG:AG,MIN(IF(ISNUMBER(AG58:AG254),ROW(AG58:AG254),"")))</f>
        <v>8</v>
      </c>
      <c r="AI58" s="14">
        <f>IF('Données projet'!$A$62&gt;35,AI57+AH58-AQ57,IF(A58&lt;'Données projet'!$A$62,$AF$205^A58,IF(A58='Données projet'!$A$62,'Données projet'!$B$62,AI57+AH58-AQ57)))</f>
        <v>197</v>
      </c>
      <c r="AJ58" s="14">
        <f>AI58*VLOOKUP('Données projet'!$B$10,Paramètres!$A$1:$I$89,3,0)*VLOOKUP('Données projet'!$B$10,Paramètres!$A$1:$I$89,5,0)</f>
        <v>199.75800000000004</v>
      </c>
      <c r="AK58" s="14">
        <f t="shared" si="35"/>
        <v>49.690979702964015</v>
      </c>
      <c r="AL58" s="22">
        <f t="shared" si="4"/>
        <v>434.45697298266236</v>
      </c>
      <c r="AM58" s="62">
        <f t="shared" si="5"/>
        <v>727.79030631599562</v>
      </c>
      <c r="AN58" s="62">
        <f ca="1">AVERAGE(OFFSET($AM$3,0,0,'Données projet'!$E$10+1,1))-AVERAGE(OFFSET($H$3,0,0,'Données projet'!$E$10+1,1))</f>
        <v>366.41072413829329</v>
      </c>
      <c r="AO58" s="62">
        <f t="shared" si="36"/>
        <v>234.41212418619125</v>
      </c>
      <c r="AP58" s="16">
        <f>IF(ISNA(VLOOKUP(A58,'Données projet'!$A$61:$I$81,3,0)),0,VLOOKUP(A58,'Données projet'!$A$61:$I$81,3,0))</f>
        <v>8</v>
      </c>
      <c r="AQ58" s="16">
        <f>IF(ISNA(VLOOKUP(A58,'Données projet'!$A$61:$I$81,4,0)),0,VLOOKUP(A58,'Données projet'!$A$61:$I$81,4,0))</f>
        <v>21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0</v>
      </c>
      <c r="AV58" s="23">
        <f>EXP(-LN(2)/25)*AV57+(1-EXP(-LN(2)/25))/(LN(2)/25)*Calculateur!AQ58*Calculateur!AS58*VLOOKUP('Données projet'!$B$10,Paramètres!$A$1:$I$89,3,0)*0.475*44/12</f>
        <v>0</v>
      </c>
      <c r="AW58" s="23">
        <f>EXP(-LN(2)/2)*AW57+(1-EXP(-LN(2)/2))/(LN(2)/2)*AQ58*AT58*VLOOKUP('Données projet'!$B$10,Paramètres!$A$1:$I$89,3,0)*0.475*44/12</f>
        <v>0</v>
      </c>
      <c r="AX58" s="23">
        <f t="shared" si="6"/>
        <v>0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13.444444444444445</v>
      </c>
      <c r="BD58" s="13">
        <f>IF('Données projet'!$A$88&gt;35,BD57+BC58-BL57,IF(A58&lt;'Données projet'!$A$88,$BA$205^A58,IF(A58='Données projet'!$A$88,'Données projet'!$B$88,BD57+BC58-BL57)))</f>
        <v>232.77777777777777</v>
      </c>
      <c r="BE58" s="14">
        <f>BD58*VLOOKUP('Données projet'!$B$11,Paramètres!$A$1:$I$89,3,0)*VLOOKUP('Données projet'!$B$11,Paramètres!$A$1:$I$89,5,0)</f>
        <v>108.94</v>
      </c>
      <c r="BF58" s="14">
        <f t="shared" si="37"/>
        <v>29.081099734343869</v>
      </c>
      <c r="BG58" s="22">
        <f t="shared" si="7"/>
        <v>240.38674870398219</v>
      </c>
      <c r="BH58" s="62">
        <f t="shared" si="8"/>
        <v>533.72008203731548</v>
      </c>
      <c r="BI58" s="62">
        <f ca="1">AVERAGE(OFFSET($BH$3,0,0,'Données projet'!$E$11+1,1))-AVERAGE(OFFSET($H$3,0,0,'Données projet'!$E$11+1,1))</f>
        <v>152.72674713084456</v>
      </c>
      <c r="BJ58" s="62">
        <f t="shared" si="38"/>
        <v>203.90215120562164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9.3669956255883609</v>
      </c>
      <c r="BQ58" s="23">
        <f>EXP(-LN(2)/25)*BQ57+(1-EXP(-LN(2)/25))/(LN(2)/25)*Calculateur!BL58*Calculateur!BN58*VLOOKUP('Données projet'!$B$11,Paramètres!$A$1:$I$89,3,0)*0.475*44/12</f>
        <v>0</v>
      </c>
      <c r="BR58" s="23">
        <f>EXP(-LN(2)/2)*BR57+(1-EXP(-LN(2)/2))/(LN(2)/2)*BL58*BO58*VLOOKUP('Données projet'!$B$11,Paramètres!$A$1:$I$89,3,0)*0.475*44/12</f>
        <v>2.6782254447991895E-3</v>
      </c>
      <c r="BS58" s="24">
        <f t="shared" si="9"/>
        <v>9.3696738510331592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3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15.635692799999982</v>
      </c>
      <c r="D59" s="12">
        <f t="shared" si="32"/>
        <v>5.2320749918646348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50.58054031796518</v>
      </c>
      <c r="H59" s="70">
        <f t="shared" si="1"/>
        <v>293.01136223749756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7.6</v>
      </c>
      <c r="N59" s="14">
        <f>IF('Données projet'!$A$36&gt;35,N58+M59-V58,IF(A59&lt;'Données projet'!$A$36,$K$205^A59,IF(A59='Données projet'!$A$36,'Données projet'!$B$36,N58+M59-V58)))</f>
        <v>183.6</v>
      </c>
      <c r="O59" s="14">
        <f>N59*VLOOKUP('Données projet'!$B$9,Paramètres!$A$1:$I$89,3,0)*VLOOKUP('Données projet'!$B$9,Paramètres!$A$1:$I$89,5,0)</f>
        <v>166.12127999999998</v>
      </c>
      <c r="P59" s="14">
        <f t="shared" si="33"/>
        <v>42.220155874487318</v>
      </c>
      <c r="Q59" s="22">
        <f t="shared" si="53"/>
        <v>362.8613341480654</v>
      </c>
      <c r="R59" s="62">
        <f t="shared" si="0"/>
        <v>656.19466748139871</v>
      </c>
      <c r="S59" s="62">
        <f ca="1">AVERAGE(OFFSET($R$3,0,0,'Données projet'!$E$9+1,1))-AVERAGE(OFFSET($H$3,0,0,'Données projet'!$E$9+1,1))</f>
        <v>327.25473597900725</v>
      </c>
      <c r="T59" s="62">
        <f t="shared" si="34"/>
        <v>211.5313580973322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0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0</v>
      </c>
      <c r="AC59" s="24">
        <f t="shared" si="3"/>
        <v>0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7.6</v>
      </c>
      <c r="AI59" s="14">
        <f>IF('Données projet'!$A$62&gt;35,AI58+AH59-AQ58,IF(A59&lt;'Données projet'!$A$62,$AF$205^A59,IF(A59='Données projet'!$A$62,'Données projet'!$B$62,AI58+AH59-AQ58)))</f>
        <v>183.6</v>
      </c>
      <c r="AJ59" s="14">
        <f>AI59*VLOOKUP('Données projet'!$B$10,Paramètres!$A$1:$I$89,3,0)*VLOOKUP('Données projet'!$B$10,Paramètres!$A$1:$I$89,5,0)</f>
        <v>186.1704</v>
      </c>
      <c r="AK59" s="14">
        <f t="shared" si="35"/>
        <v>46.692281933796018</v>
      </c>
      <c r="AL59" s="22">
        <f t="shared" si="4"/>
        <v>405.56917103469476</v>
      </c>
      <c r="AM59" s="62">
        <f t="shared" si="5"/>
        <v>698.90250436802808</v>
      </c>
      <c r="AN59" s="62">
        <f ca="1">AVERAGE(OFFSET($AM$3,0,0,'Données projet'!$E$10+1,1))-AVERAGE(OFFSET($H$3,0,0,'Données projet'!$E$10+1,1))</f>
        <v>366.41072413829329</v>
      </c>
      <c r="AO59" s="62">
        <f t="shared" si="36"/>
        <v>234.41212418619125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0</v>
      </c>
      <c r="AV59" s="23">
        <f>EXP(-LN(2)/25)*AV58+(1-EXP(-LN(2)/25))/(LN(2)/25)*Calculateur!AQ59*Calculateur!AS59*VLOOKUP('Données projet'!$B$10,Paramètres!$A$1:$I$89,3,0)*0.475*44/12</f>
        <v>0</v>
      </c>
      <c r="AW59" s="23">
        <f>EXP(-LN(2)/2)*AW58+(1-EXP(-LN(2)/2))/(LN(2)/2)*AQ59*AT59*VLOOKUP('Données projet'!$B$10,Paramètres!$A$1:$I$89,3,0)*0.475*44/12</f>
        <v>0</v>
      </c>
      <c r="AX59" s="23">
        <f t="shared" si="6"/>
        <v>0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13.444444444444445</v>
      </c>
      <c r="BD59" s="13">
        <f>IF('Données projet'!$A$88&gt;35,BD58+BC59-BL58,IF(A59&lt;'Données projet'!$A$88,$BA$205^A59,IF(A59='Données projet'!$A$88,'Données projet'!$B$88,BD58+BC59-BL58)))</f>
        <v>246.22222222222223</v>
      </c>
      <c r="BE59" s="14">
        <f>BD59*VLOOKUP('Données projet'!$B$11,Paramètres!$A$1:$I$89,3,0)*VLOOKUP('Données projet'!$B$11,Paramètres!$A$1:$I$89,5,0)</f>
        <v>115.232</v>
      </c>
      <c r="BF59" s="14">
        <f t="shared" si="37"/>
        <v>30.560331138556659</v>
      </c>
      <c r="BG59" s="22">
        <f t="shared" si="7"/>
        <v>253.92164339965282</v>
      </c>
      <c r="BH59" s="62">
        <f t="shared" si="8"/>
        <v>547.25497673298617</v>
      </c>
      <c r="BI59" s="62">
        <f ca="1">AVERAGE(OFFSET($BH$3,0,0,'Données projet'!$E$11+1,1))-AVERAGE(OFFSET($H$3,0,0,'Données projet'!$E$11+1,1))</f>
        <v>152.72674713084456</v>
      </c>
      <c r="BJ59" s="62">
        <f t="shared" si="38"/>
        <v>203.90215120562164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9.1833145546737622</v>
      </c>
      <c r="BQ59" s="23">
        <f>EXP(-LN(2)/25)*BQ58+(1-EXP(-LN(2)/25))/(LN(2)/25)*Calculateur!BL59*Calculateur!BN59*VLOOKUP('Données projet'!$B$11,Paramètres!$A$1:$I$89,3,0)*0.475*44/12</f>
        <v>0</v>
      </c>
      <c r="BR59" s="23">
        <f>EXP(-LN(2)/2)*BR58+(1-EXP(-LN(2)/2))/(LN(2)/2)*BL59*BO59*VLOOKUP('Données projet'!$B$11,Paramètres!$A$1:$I$89,3,0)*0.475*44/12</f>
        <v>1.8937913735638644E-3</v>
      </c>
      <c r="BS59" s="24">
        <f t="shared" si="9"/>
        <v>9.1852083460473253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3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15.914901599999981</v>
      </c>
      <c r="D60" s="12">
        <f t="shared" si="32"/>
        <v>5.3145444277750489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51.457197599954355</v>
      </c>
      <c r="H60" s="70">
        <f t="shared" si="1"/>
        <v>293.6412851650415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7.6</v>
      </c>
      <c r="N60" s="14">
        <f>IF('Données projet'!$A$36&gt;35,N59+M60-V59,IF(A60&lt;'Données projet'!$A$36,$K$205^A60,IF(A60='Données projet'!$A$36,'Données projet'!$B$36,N59+M60-V59)))</f>
        <v>191.2</v>
      </c>
      <c r="O60" s="14">
        <f>N60*VLOOKUP('Données projet'!$B$9,Paramètres!$A$1:$I$89,3,0)*VLOOKUP('Données projet'!$B$9,Paramètres!$A$1:$I$89,5,0)</f>
        <v>172.99775999999997</v>
      </c>
      <c r="P60" s="14">
        <f t="shared" si="33"/>
        <v>43.760737531919609</v>
      </c>
      <c r="Q60" s="22">
        <f t="shared" si="53"/>
        <v>377.52104986809326</v>
      </c>
      <c r="R60" s="62">
        <f t="shared" si="0"/>
        <v>670.85438320142657</v>
      </c>
      <c r="S60" s="62">
        <f ca="1">AVERAGE(OFFSET($R$3,0,0,'Données projet'!$E$9+1,1))-AVERAGE(OFFSET($H$3,0,0,'Données projet'!$E$9+1,1))</f>
        <v>327.25473597900725</v>
      </c>
      <c r="T60" s="62">
        <f t="shared" si="34"/>
        <v>211.5313580973322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0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0</v>
      </c>
      <c r="AC60" s="24">
        <f t="shared" si="3"/>
        <v>0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7.6</v>
      </c>
      <c r="AI60" s="14">
        <f>IF('Données projet'!$A$62&gt;35,AI59+AH60-AQ59,IF(A60&lt;'Données projet'!$A$62,$AF$205^A60,IF(A60='Données projet'!$A$62,'Données projet'!$B$62,AI59+AH60-AQ59)))</f>
        <v>191.2</v>
      </c>
      <c r="AJ60" s="14">
        <f>AI60*VLOOKUP('Données projet'!$B$10,Paramètres!$A$1:$I$89,3,0)*VLOOKUP('Données projet'!$B$10,Paramètres!$A$1:$I$89,5,0)</f>
        <v>193.8768</v>
      </c>
      <c r="AK60" s="14">
        <f t="shared" si="35"/>
        <v>48.396048099527611</v>
      </c>
      <c r="AL60" s="22">
        <f t="shared" si="4"/>
        <v>421.95854377334393</v>
      </c>
      <c r="AM60" s="62">
        <f t="shared" si="5"/>
        <v>715.29187710667725</v>
      </c>
      <c r="AN60" s="62">
        <f ca="1">AVERAGE(OFFSET($AM$3,0,0,'Données projet'!$E$10+1,1))-AVERAGE(OFFSET($H$3,0,0,'Données projet'!$E$10+1,1))</f>
        <v>366.41072413829329</v>
      </c>
      <c r="AO60" s="62">
        <f t="shared" si="36"/>
        <v>234.41212418619125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0</v>
      </c>
      <c r="AV60" s="23">
        <f>EXP(-LN(2)/25)*AV59+(1-EXP(-LN(2)/25))/(LN(2)/25)*Calculateur!AQ60*Calculateur!AS60*VLOOKUP('Données projet'!$B$10,Paramètres!$A$1:$I$89,3,0)*0.475*44/12</f>
        <v>0</v>
      </c>
      <c r="AW60" s="23">
        <f>EXP(-LN(2)/2)*AW59+(1-EXP(-LN(2)/2))/(LN(2)/2)*AQ60*AT60*VLOOKUP('Données projet'!$B$10,Paramètres!$A$1:$I$89,3,0)*0.475*44/12</f>
        <v>0</v>
      </c>
      <c r="AX60" s="23">
        <f t="shared" si="6"/>
        <v>0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13.444444444444445</v>
      </c>
      <c r="BD60" s="13">
        <f>IF('Données projet'!$A$88&gt;35,BD59+BC60-BL59,IF(A60&lt;'Données projet'!$A$88,$BA$205^A60,IF(A60='Données projet'!$A$88,'Données projet'!$B$88,BD59+BC60-BL59)))</f>
        <v>259.66666666666669</v>
      </c>
      <c r="BE60" s="14">
        <f>BD60*VLOOKUP('Données projet'!$B$11,Paramètres!$A$1:$I$89,3,0)*VLOOKUP('Données projet'!$B$11,Paramètres!$A$1:$I$89,5,0)</f>
        <v>121.52400000000002</v>
      </c>
      <c r="BF60" s="14">
        <f t="shared" si="37"/>
        <v>32.030185774775809</v>
      </c>
      <c r="BG60" s="22">
        <f t="shared" si="7"/>
        <v>267.44020689106782</v>
      </c>
      <c r="BH60" s="62">
        <f t="shared" si="8"/>
        <v>560.77354022440113</v>
      </c>
      <c r="BI60" s="62">
        <f ca="1">AVERAGE(OFFSET($BH$3,0,0,'Données projet'!$E$11+1,1))-AVERAGE(OFFSET($H$3,0,0,'Données projet'!$E$11+1,1))</f>
        <v>152.72674713084456</v>
      </c>
      <c r="BJ60" s="62">
        <f t="shared" si="38"/>
        <v>203.90215120562164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9.0032353575254085</v>
      </c>
      <c r="BQ60" s="23">
        <f>EXP(-LN(2)/25)*BQ59+(1-EXP(-LN(2)/25))/(LN(2)/25)*Calculateur!BL60*Calculateur!BN60*VLOOKUP('Données projet'!$B$11,Paramètres!$A$1:$I$89,3,0)*0.475*44/12</f>
        <v>0</v>
      </c>
      <c r="BR60" s="23">
        <f>EXP(-LN(2)/2)*BR59+(1-EXP(-LN(2)/2))/(LN(2)/2)*BL60*BO60*VLOOKUP('Données projet'!$B$11,Paramètres!$A$1:$I$89,3,0)*0.475*44/12</f>
        <v>1.3391127223995949E-3</v>
      </c>
      <c r="BS60" s="24">
        <f t="shared" si="9"/>
        <v>9.0045744702478085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3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16.194110399999982</v>
      </c>
      <c r="D61" s="12">
        <f t="shared" si="32"/>
        <v>5.3968456151316611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52.333447071062949</v>
      </c>
      <c r="H61" s="70">
        <f t="shared" si="1"/>
        <v>294.27091505968764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7.6</v>
      </c>
      <c r="N61" s="14">
        <f>IF('Données projet'!$A$36&gt;35,N60+M61-V60,IF(A61&lt;'Données projet'!$A$36,$K$205^A61,IF(A61='Données projet'!$A$36,'Données projet'!$B$36,N60+M61-V60)))</f>
        <v>198.79999999999998</v>
      </c>
      <c r="O61" s="14">
        <f>N61*VLOOKUP('Données projet'!$B$9,Paramètres!$A$1:$I$89,3,0)*VLOOKUP('Données projet'!$B$9,Paramètres!$A$1:$I$89,5,0)</f>
        <v>179.87423999999999</v>
      </c>
      <c r="P61" s="14">
        <f t="shared" si="33"/>
        <v>45.294205745553846</v>
      </c>
      <c r="Q61" s="22">
        <f t="shared" si="53"/>
        <v>392.16837634017293</v>
      </c>
      <c r="R61" s="62">
        <f t="shared" si="0"/>
        <v>685.50170967350618</v>
      </c>
      <c r="S61" s="62">
        <f ca="1">AVERAGE(OFFSET($R$3,0,0,'Données projet'!$E$9+1,1))-AVERAGE(OFFSET($H$3,0,0,'Données projet'!$E$9+1,1))</f>
        <v>327.25473597900725</v>
      </c>
      <c r="T61" s="62">
        <f t="shared" si="34"/>
        <v>211.5313580973322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0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0</v>
      </c>
      <c r="AC61" s="24">
        <f t="shared" si="3"/>
        <v>0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7.6</v>
      </c>
      <c r="AI61" s="14">
        <f>IF('Données projet'!$A$62&gt;35,AI60+AH61-AQ60,IF(A61&lt;'Données projet'!$A$62,$AF$205^A61,IF(A61='Données projet'!$A$62,'Données projet'!$B$62,AI60+AH61-AQ60)))</f>
        <v>198.79999999999998</v>
      </c>
      <c r="AJ61" s="14">
        <f>AI61*VLOOKUP('Données projet'!$B$10,Paramètres!$A$1:$I$89,3,0)*VLOOKUP('Données projet'!$B$10,Paramètres!$A$1:$I$89,5,0)</f>
        <v>201.58320000000001</v>
      </c>
      <c r="AK61" s="14">
        <f t="shared" si="35"/>
        <v>50.091947337331924</v>
      </c>
      <c r="AL61" s="22">
        <f t="shared" si="4"/>
        <v>438.33421494585309</v>
      </c>
      <c r="AM61" s="62">
        <f t="shared" si="5"/>
        <v>731.66754827918635</v>
      </c>
      <c r="AN61" s="62">
        <f ca="1">AVERAGE(OFFSET($AM$3,0,0,'Données projet'!$E$10+1,1))-AVERAGE(OFFSET($H$3,0,0,'Données projet'!$E$10+1,1))</f>
        <v>366.41072413829329</v>
      </c>
      <c r="AO61" s="62">
        <f t="shared" si="36"/>
        <v>234.41212418619125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0</v>
      </c>
      <c r="AV61" s="23">
        <f>EXP(-LN(2)/25)*AV60+(1-EXP(-LN(2)/25))/(LN(2)/25)*Calculateur!AQ61*Calculateur!AS61*VLOOKUP('Données projet'!$B$10,Paramètres!$A$1:$I$89,3,0)*0.475*44/12</f>
        <v>0</v>
      </c>
      <c r="AW61" s="23">
        <f>EXP(-LN(2)/2)*AW60+(1-EXP(-LN(2)/2))/(LN(2)/2)*AQ61*AT61*VLOOKUP('Données projet'!$B$10,Paramètres!$A$1:$I$89,3,0)*0.475*44/12</f>
        <v>0</v>
      </c>
      <c r="AX61" s="23">
        <f t="shared" si="6"/>
        <v>0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13.444444444444445</v>
      </c>
      <c r="BD61" s="13">
        <f>IF('Données projet'!$A$88&gt;35,BD60+BC61-BL60,IF(A61&lt;'Données projet'!$A$88,$BA$205^A61,IF(A61='Données projet'!$A$88,'Données projet'!$B$88,BD60+BC61-BL60)))</f>
        <v>273.11111111111114</v>
      </c>
      <c r="BE61" s="14">
        <f>BD61*VLOOKUP('Données projet'!$B$11,Paramètres!$A$1:$I$89,3,0)*VLOOKUP('Données projet'!$B$11,Paramètres!$A$1:$I$89,5,0)</f>
        <v>127.81600000000002</v>
      </c>
      <c r="BF61" s="14">
        <f t="shared" si="37"/>
        <v>33.491204508905589</v>
      </c>
      <c r="BG61" s="22">
        <f t="shared" si="7"/>
        <v>280.94338118634391</v>
      </c>
      <c r="BH61" s="62">
        <f t="shared" si="8"/>
        <v>574.27671451967717</v>
      </c>
      <c r="BI61" s="62">
        <f ca="1">AVERAGE(OFFSET($BH$3,0,0,'Données projet'!$E$11+1,1))-AVERAGE(OFFSET($H$3,0,0,'Données projet'!$E$11+1,1))</f>
        <v>152.72674713084456</v>
      </c>
      <c r="BJ61" s="62">
        <f t="shared" si="38"/>
        <v>203.90215120562164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8.8266874035956704</v>
      </c>
      <c r="BQ61" s="23">
        <f>EXP(-LN(2)/25)*BQ60+(1-EXP(-LN(2)/25))/(LN(2)/25)*Calculateur!BL61*Calculateur!BN61*VLOOKUP('Données projet'!$B$11,Paramètres!$A$1:$I$89,3,0)*0.475*44/12</f>
        <v>0</v>
      </c>
      <c r="BR61" s="23">
        <f>EXP(-LN(2)/2)*BR60+(1-EXP(-LN(2)/2))/(LN(2)/2)*BL61*BO61*VLOOKUP('Données projet'!$B$11,Paramètres!$A$1:$I$89,3,0)*0.475*44/12</f>
        <v>9.4689568678193244E-4</v>
      </c>
      <c r="BS61" s="24">
        <f t="shared" si="9"/>
        <v>8.8276342992824528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3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16.473319199999981</v>
      </c>
      <c r="D62" s="12">
        <f t="shared" si="32"/>
        <v>5.4789817895046742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53.209296573859007</v>
      </c>
      <c r="H62" s="70">
        <f t="shared" si="1"/>
        <v>294.90025755672065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7.6</v>
      </c>
      <c r="N62" s="14">
        <f>IF('Données projet'!$A$36&gt;35,N61+M62-V61,IF(A62&lt;'Données projet'!$A$36,$K$205^A62,IF(A62='Données projet'!$A$36,'Données projet'!$B$36,N61+M62-V61)))</f>
        <v>206.39999999999998</v>
      </c>
      <c r="O62" s="14">
        <f>N62*VLOOKUP('Données projet'!$B$9,Paramètres!$A$1:$I$89,3,0)*VLOOKUP('Données projet'!$B$9,Paramètres!$A$1:$I$89,5,0)</f>
        <v>186.75071999999997</v>
      </c>
      <c r="P62" s="14">
        <f t="shared" si="33"/>
        <v>46.820863587839391</v>
      </c>
      <c r="Q62" s="22">
        <f t="shared" si="53"/>
        <v>406.80384141548689</v>
      </c>
      <c r="R62" s="62">
        <f t="shared" si="0"/>
        <v>700.13717474882014</v>
      </c>
      <c r="S62" s="62">
        <f ca="1">AVERAGE(OFFSET($R$3,0,0,'Données projet'!$E$9+1,1))-AVERAGE(OFFSET($H$3,0,0,'Données projet'!$E$9+1,1))</f>
        <v>327.25473597900725</v>
      </c>
      <c r="T62" s="62">
        <f t="shared" si="34"/>
        <v>211.5313580973322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0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0</v>
      </c>
      <c r="AC62" s="24">
        <f t="shared" si="3"/>
        <v>0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7.6</v>
      </c>
      <c r="AI62" s="14">
        <f>IF('Données projet'!$A$62&gt;35,AI61+AH62-AQ61,IF(A62&lt;'Données projet'!$A$62,$AF$205^A62,IF(A62='Données projet'!$A$62,'Données projet'!$B$62,AI61+AH62-AQ61)))</f>
        <v>206.39999999999998</v>
      </c>
      <c r="AJ62" s="14">
        <f>AI62*VLOOKUP('Données projet'!$B$10,Paramètres!$A$1:$I$89,3,0)*VLOOKUP('Données projet'!$B$10,Paramètres!$A$1:$I$89,5,0)</f>
        <v>209.28960000000001</v>
      </c>
      <c r="AK62" s="14">
        <f t="shared" si="35"/>
        <v>51.780314822292169</v>
      </c>
      <c r="AL62" s="22">
        <f t="shared" si="4"/>
        <v>454.69676831549214</v>
      </c>
      <c r="AM62" s="62">
        <f t="shared" si="5"/>
        <v>748.03010164882539</v>
      </c>
      <c r="AN62" s="62">
        <f ca="1">AVERAGE(OFFSET($AM$3,0,0,'Données projet'!$E$10+1,1))-AVERAGE(OFFSET($H$3,0,0,'Données projet'!$E$10+1,1))</f>
        <v>366.41072413829329</v>
      </c>
      <c r="AO62" s="62">
        <f t="shared" si="36"/>
        <v>234.41212418619125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0</v>
      </c>
      <c r="AV62" s="23">
        <f>EXP(-LN(2)/25)*AV61+(1-EXP(-LN(2)/25))/(LN(2)/25)*Calculateur!AQ62*Calculateur!AS62*VLOOKUP('Données projet'!$B$10,Paramètres!$A$1:$I$89,3,0)*0.475*44/12</f>
        <v>0</v>
      </c>
      <c r="AW62" s="23">
        <f>EXP(-LN(2)/2)*AW61+(1-EXP(-LN(2)/2))/(LN(2)/2)*AQ62*AT62*VLOOKUP('Données projet'!$B$10,Paramètres!$A$1:$I$89,3,0)*0.475*44/12</f>
        <v>0</v>
      </c>
      <c r="AX62" s="23">
        <f t="shared" si="6"/>
        <v>0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13.444444444444445</v>
      </c>
      <c r="BD62" s="13">
        <f>IF('Données projet'!$A$88&gt;35,BD61+BC62-BL61,IF(A62&lt;'Données projet'!$A$88,$BA$205^A62,IF(A62='Données projet'!$A$88,'Données projet'!$B$88,BD61+BC62-BL61)))</f>
        <v>286.5555555555556</v>
      </c>
      <c r="BE62" s="14">
        <f>BD62*VLOOKUP('Données projet'!$B$11,Paramètres!$A$1:$I$89,3,0)*VLOOKUP('Données projet'!$B$11,Paramètres!$A$1:$I$89,5,0)</f>
        <v>134.10800000000003</v>
      </c>
      <c r="BF62" s="14">
        <f t="shared" si="37"/>
        <v>34.943871948095122</v>
      </c>
      <c r="BG62" s="22">
        <f t="shared" si="7"/>
        <v>294.43201030959904</v>
      </c>
      <c r="BH62" s="62">
        <f t="shared" si="8"/>
        <v>587.76534364293229</v>
      </c>
      <c r="BI62" s="62">
        <f ca="1">AVERAGE(OFFSET($BH$3,0,0,'Données projet'!$E$11+1,1))-AVERAGE(OFFSET($H$3,0,0,'Données projet'!$E$11+1,1))</f>
        <v>152.72674713084456</v>
      </c>
      <c r="BJ62" s="62">
        <f t="shared" si="38"/>
        <v>203.90215120562164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8.6536014473588754</v>
      </c>
      <c r="BQ62" s="23">
        <f>EXP(-LN(2)/25)*BQ61+(1-EXP(-LN(2)/25))/(LN(2)/25)*Calculateur!BL62*Calculateur!BN62*VLOOKUP('Données projet'!$B$11,Paramètres!$A$1:$I$89,3,0)*0.475*44/12</f>
        <v>0</v>
      </c>
      <c r="BR62" s="23">
        <f>EXP(-LN(2)/2)*BR61+(1-EXP(-LN(2)/2))/(LN(2)/2)*BL62*BO62*VLOOKUP('Données projet'!$B$11,Paramètres!$A$1:$I$89,3,0)*0.475*44/12</f>
        <v>6.6955636119979758E-4</v>
      </c>
      <c r="BS62" s="24">
        <f t="shared" si="9"/>
        <v>8.6542710037200745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3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16.75252799999998</v>
      </c>
      <c r="D63" s="12">
        <f t="shared" si="32"/>
        <v>5.5609560704983654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54.084753669825467</v>
      </c>
      <c r="H63" s="70">
        <f t="shared" si="1"/>
        <v>295.52931808945129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>
        <f>VLOOKUP(A63,'Données projet'!$A$35:$I$55,2,0)</f>
        <v>214</v>
      </c>
      <c r="L63" s="13">
        <f>VLOOKUP(A63,'Données projet'!$A$35:$I$55,9,0)</f>
        <v>7.6</v>
      </c>
      <c r="M63" s="13">
        <f t="array" ref="M63">INDEX(L:L,MIN(IF(ISNUMBER(L63:L259),ROW(L63:L259),"")))</f>
        <v>7.6</v>
      </c>
      <c r="N63" s="14">
        <f>IF('Données projet'!$A$36&gt;35,N62+M63-V62,IF(A63&lt;'Données projet'!$A$36,$K$205^A63,IF(A63='Données projet'!$A$36,'Données projet'!$B$36,N62+M63-V62)))</f>
        <v>213.99999999999997</v>
      </c>
      <c r="O63" s="14">
        <f>N63*VLOOKUP('Données projet'!$B$9,Paramètres!$A$1:$I$89,3,0)*VLOOKUP('Données projet'!$B$9,Paramètres!$A$1:$I$89,5,0)</f>
        <v>193.62719999999996</v>
      </c>
      <c r="P63" s="14">
        <f t="shared" si="33"/>
        <v>48.340990547231193</v>
      </c>
      <c r="Q63" s="22">
        <f t="shared" si="53"/>
        <v>421.42793186976087</v>
      </c>
      <c r="R63" s="62">
        <f t="shared" si="0"/>
        <v>714.76126520309413</v>
      </c>
      <c r="S63" s="62">
        <f ca="1">AVERAGE(OFFSET($R$3,0,0,'Données projet'!$E$9+1,1))-AVERAGE(OFFSET($H$3,0,0,'Données projet'!$E$9+1,1))</f>
        <v>327.25473597900725</v>
      </c>
      <c r="T63" s="62">
        <f t="shared" si="34"/>
        <v>211.5313580973322</v>
      </c>
      <c r="U63" s="16">
        <f>IF(ISNA(VLOOKUP(A63,'Données projet'!$A$35:$I$55,3,0)),0,VLOOKUP(A63,'Données projet'!$A$35:$I$55,3,0))</f>
        <v>9</v>
      </c>
      <c r="V63" s="16">
        <f>IF(ISNA(VLOOKUP(A63,'Données projet'!$A$35:$I$55,4,0)),0,VLOOKUP(A63,'Données projet'!$A$35:$I$55,4,0))</f>
        <v>21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0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0</v>
      </c>
      <c r="AC63" s="24">
        <f t="shared" si="3"/>
        <v>0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214</v>
      </c>
      <c r="AG63" s="13">
        <f>VLOOKUP(A63,'Données projet'!$A$61:$I$81,9,0)</f>
        <v>7.6</v>
      </c>
      <c r="AH63" s="13">
        <f t="array" ref="AH63">INDEX(AG:AG,MIN(IF(ISNUMBER(AG63:AG259),ROW(AG63:AG259),"")))</f>
        <v>7.6</v>
      </c>
      <c r="AI63" s="14">
        <f>IF('Données projet'!$A$62&gt;35,AI62+AH63-AQ62,IF(A63&lt;'Données projet'!$A$62,$AF$205^A63,IF(A63='Données projet'!$A$62,'Données projet'!$B$62,AI62+AH63-AQ62)))</f>
        <v>213.99999999999997</v>
      </c>
      <c r="AJ63" s="14">
        <f>AI63*VLOOKUP('Données projet'!$B$10,Paramètres!$A$1:$I$89,3,0)*VLOOKUP('Données projet'!$B$10,Paramètres!$A$1:$I$89,5,0)</f>
        <v>216.99600000000001</v>
      </c>
      <c r="AK63" s="14">
        <f t="shared" si="35"/>
        <v>53.461459647386917</v>
      </c>
      <c r="AL63" s="22">
        <f t="shared" si="4"/>
        <v>471.04674221919896</v>
      </c>
      <c r="AM63" s="62">
        <f t="shared" si="5"/>
        <v>764.38007555253228</v>
      </c>
      <c r="AN63" s="62">
        <f ca="1">AVERAGE(OFFSET($AM$3,0,0,'Données projet'!$E$10+1,1))-AVERAGE(OFFSET($H$3,0,0,'Données projet'!$E$10+1,1))</f>
        <v>366.41072413829329</v>
      </c>
      <c r="AO63" s="62">
        <f t="shared" si="36"/>
        <v>234.41212418619125</v>
      </c>
      <c r="AP63" s="16">
        <f>IF(ISNA(VLOOKUP(A63,'Données projet'!$A$61:$I$81,3,0)),0,VLOOKUP(A63,'Données projet'!$A$61:$I$81,3,0))</f>
        <v>9</v>
      </c>
      <c r="AQ63" s="16">
        <f>IF(ISNA(VLOOKUP(A63,'Données projet'!$A$61:$I$81,4,0)),0,VLOOKUP(A63,'Données projet'!$A$61:$I$81,4,0))</f>
        <v>21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0</v>
      </c>
      <c r="AV63" s="23">
        <f>EXP(-LN(2)/25)*AV62+(1-EXP(-LN(2)/25))/(LN(2)/25)*Calculateur!AQ63*Calculateur!AS63*VLOOKUP('Données projet'!$B$10,Paramètres!$A$1:$I$89,3,0)*0.475*44/12</f>
        <v>0</v>
      </c>
      <c r="AW63" s="23">
        <f>EXP(-LN(2)/2)*AW62+(1-EXP(-LN(2)/2))/(LN(2)/2)*AQ63*AT63*VLOOKUP('Données projet'!$B$10,Paramètres!$A$1:$I$89,3,0)*0.475*44/12</f>
        <v>0</v>
      </c>
      <c r="AX63" s="23">
        <f t="shared" si="6"/>
        <v>0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>
        <f>VLOOKUP(A63,'Données projet'!$A$87:$I$107,2,0)</f>
        <v>300</v>
      </c>
      <c r="BB63" s="13">
        <f>VLOOKUP(A63,'Données projet'!$A$87:$I$107,9,0)</f>
        <v>13.444444444444445</v>
      </c>
      <c r="BC63" s="13">
        <f t="array" ref="BC63">INDEX(BB:BB,MIN(IF(ISNUMBER(BB63:BB259),ROW(BB63:BB259),"")))</f>
        <v>13.444444444444445</v>
      </c>
      <c r="BD63" s="13">
        <f>IF('Données projet'!$A$88&gt;35,BD62+BC63-BL62,IF(A63&lt;'Données projet'!$A$88,$BA$205^A63,IF(A63='Données projet'!$A$88,'Données projet'!$B$88,BD62+BC63-BL62)))</f>
        <v>300.00000000000006</v>
      </c>
      <c r="BE63" s="14">
        <f>BD63*VLOOKUP('Données projet'!$B$11,Paramètres!$A$1:$I$89,3,0)*VLOOKUP('Données projet'!$B$11,Paramètres!$A$1:$I$89,5,0)</f>
        <v>140.40000000000003</v>
      </c>
      <c r="BF63" s="14">
        <f t="shared" si="37"/>
        <v>36.388624656711201</v>
      </c>
      <c r="BG63" s="22">
        <f t="shared" si="7"/>
        <v>307.90685461043876</v>
      </c>
      <c r="BH63" s="62">
        <f t="shared" si="8"/>
        <v>601.24018794377207</v>
      </c>
      <c r="BI63" s="62">
        <f ca="1">AVERAGE(OFFSET($BH$3,0,0,'Données projet'!$E$11+1,1))-AVERAGE(OFFSET($H$3,0,0,'Données projet'!$E$11+1,1))</f>
        <v>152.72674713084456</v>
      </c>
      <c r="BJ63" s="62">
        <f t="shared" si="38"/>
        <v>203.90215120562164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300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8.4839096011518738</v>
      </c>
      <c r="BQ63" s="23">
        <f>EXP(-LN(2)/25)*BQ62+(1-EXP(-LN(2)/25))/(LN(2)/25)*Calculateur!BL63*Calculateur!BN63*VLOOKUP('Données projet'!$B$11,Paramètres!$A$1:$I$89,3,0)*0.475*44/12</f>
        <v>0</v>
      </c>
      <c r="BR63" s="23">
        <f>EXP(-LN(2)/2)*BR62+(1-EXP(-LN(2)/2))/(LN(2)/2)*BL63*BO63*VLOOKUP('Données projet'!$B$11,Paramètres!$A$1:$I$89,3,0)*0.475*44/12</f>
        <v>4.7344784339096627E-4</v>
      </c>
      <c r="BS63" s="24">
        <f t="shared" si="9"/>
        <v>8.4843830489952641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3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17.03173679999998</v>
      </c>
      <c r="D64" s="12">
        <f t="shared" si="32"/>
        <v>5.6427714677696184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54.959825653948201</v>
      </c>
      <c r="H64" s="70">
        <f t="shared" si="1"/>
        <v>296.15810189969875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7.2</v>
      </c>
      <c r="N64" s="14">
        <f>IF('Données projet'!$A$36&gt;35,N63+M64-V63,IF(A64&lt;'Données projet'!$A$36,$K$205^A64,IF(A64='Données projet'!$A$36,'Données projet'!$B$36,N63+M64-V63)))</f>
        <v>200.19999999999996</v>
      </c>
      <c r="O64" s="14">
        <f>N64*VLOOKUP('Données projet'!$B$9,Paramètres!$A$1:$I$89,3,0)*VLOOKUP('Données projet'!$B$9,Paramètres!$A$1:$I$89,5,0)</f>
        <v>181.14095999999995</v>
      </c>
      <c r="P64" s="14">
        <f t="shared" si="33"/>
        <v>45.575935320610945</v>
      </c>
      <c r="Q64" s="22">
        <f t="shared" si="53"/>
        <v>394.86525935006392</v>
      </c>
      <c r="R64" s="62">
        <f t="shared" si="0"/>
        <v>688.19859268339724</v>
      </c>
      <c r="S64" s="62">
        <f ca="1">AVERAGE(OFFSET($R$3,0,0,'Données projet'!$E$9+1,1))-AVERAGE(OFFSET($H$3,0,0,'Données projet'!$E$9+1,1))</f>
        <v>327.25473597900725</v>
      </c>
      <c r="T64" s="62">
        <f t="shared" si="34"/>
        <v>211.5313580973322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0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0</v>
      </c>
      <c r="AC64" s="24">
        <f t="shared" si="3"/>
        <v>0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7.2</v>
      </c>
      <c r="AI64" s="14">
        <f>IF('Données projet'!$A$62&gt;35,AI63+AH64-AQ63,IF(A64&lt;'Données projet'!$A$62,$AF$205^A64,IF(A64='Données projet'!$A$62,'Données projet'!$B$62,AI63+AH64-AQ63)))</f>
        <v>200.19999999999996</v>
      </c>
      <c r="AJ64" s="14">
        <f>AI64*VLOOKUP('Données projet'!$B$10,Paramètres!$A$1:$I$89,3,0)*VLOOKUP('Données projet'!$B$10,Paramètres!$A$1:$I$89,5,0)</f>
        <v>203.00279999999995</v>
      </c>
      <c r="AK64" s="14">
        <f t="shared" si="35"/>
        <v>50.403518824343074</v>
      </c>
      <c r="AL64" s="22">
        <f t="shared" si="4"/>
        <v>441.3493386190641</v>
      </c>
      <c r="AM64" s="62">
        <f t="shared" si="5"/>
        <v>734.68267195239741</v>
      </c>
      <c r="AN64" s="62">
        <f ca="1">AVERAGE(OFFSET($AM$3,0,0,'Données projet'!$E$10+1,1))-AVERAGE(OFFSET($H$3,0,0,'Données projet'!$E$10+1,1))</f>
        <v>366.41072413829329</v>
      </c>
      <c r="AO64" s="62">
        <f t="shared" si="36"/>
        <v>234.41212418619125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0</v>
      </c>
      <c r="AV64" s="23">
        <f>EXP(-LN(2)/25)*AV63+(1-EXP(-LN(2)/25))/(LN(2)/25)*Calculateur!AQ64*Calculateur!AS64*VLOOKUP('Données projet'!$B$10,Paramètres!$A$1:$I$89,3,0)*0.475*44/12</f>
        <v>0</v>
      </c>
      <c r="AW64" s="23">
        <f>EXP(-LN(2)/2)*AW63+(1-EXP(-LN(2)/2))/(LN(2)/2)*AQ64*AT64*VLOOKUP('Données projet'!$B$10,Paramètres!$A$1:$I$89,3,0)*0.475*44/12</f>
        <v>0</v>
      </c>
      <c r="AX64" s="23">
        <f t="shared" si="6"/>
        <v>0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5.6843418860808015E-14</v>
      </c>
      <c r="BE64" s="14">
        <f>BD64*VLOOKUP('Données projet'!$B$11,Paramètres!$A$1:$I$89,3,0)*VLOOKUP('Données projet'!$B$11,Paramètres!$A$1:$I$89,5,0)</f>
        <v>2.6602720026858149E-14</v>
      </c>
      <c r="BF64" s="14">
        <f t="shared" si="37"/>
        <v>4.6624771586320878E-13</v>
      </c>
      <c r="BG64" s="22">
        <f t="shared" si="7"/>
        <v>8.583811758418665E-13</v>
      </c>
      <c r="BH64" s="62">
        <f t="shared" si="8"/>
        <v>293.33333333333417</v>
      </c>
      <c r="BI64" s="62">
        <f ca="1">AVERAGE(OFFSET($BH$3,0,0,'Données projet'!$E$11+1,1))-AVERAGE(OFFSET($H$3,0,0,'Données projet'!$E$11+1,1))</f>
        <v>152.72674713084456</v>
      </c>
      <c r="BJ64" s="62">
        <f t="shared" si="38"/>
        <v>203.90215120562164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8.3175453085471851</v>
      </c>
      <c r="BQ64" s="23">
        <f>EXP(-LN(2)/25)*BQ63+(1-EXP(-LN(2)/25))/(LN(2)/25)*Calculateur!BL64*Calculateur!BN64*VLOOKUP('Données projet'!$B$11,Paramètres!$A$1:$I$89,3,0)*0.475*44/12</f>
        <v>0</v>
      </c>
      <c r="BR64" s="23">
        <f>EXP(-LN(2)/2)*BR63+(1-EXP(-LN(2)/2))/(LN(2)/2)*BL64*BO64*VLOOKUP('Données projet'!$B$11,Paramètres!$A$1:$I$89,3,0)*0.475*44/12</f>
        <v>3.3477818059989884E-4</v>
      </c>
      <c r="BS64" s="24">
        <f t="shared" si="9"/>
        <v>8.3178800867277847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3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17.310945599999979</v>
      </c>
      <c r="D65" s="12">
        <f t="shared" si="32"/>
        <v>5.7244308866406204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55.834519568320445</v>
      </c>
      <c r="H65" s="70">
        <f t="shared" si="1"/>
        <v>296.78661404756571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7.2</v>
      </c>
      <c r="N65" s="14">
        <f>IF('Données projet'!$A$36&gt;35,N64+M65-V64,IF(A65&lt;'Données projet'!$A$36,$K$205^A65,IF(A65='Données projet'!$A$36,'Données projet'!$B$36,N64+M65-V64)))</f>
        <v>207.39999999999995</v>
      </c>
      <c r="O65" s="14">
        <f>N65*VLOOKUP('Données projet'!$B$9,Paramètres!$A$1:$I$89,3,0)*VLOOKUP('Données projet'!$B$9,Paramètres!$A$1:$I$89,5,0)</f>
        <v>187.65551999999994</v>
      </c>
      <c r="P65" s="14">
        <f t="shared" si="33"/>
        <v>47.021247649900147</v>
      </c>
      <c r="Q65" s="22">
        <f t="shared" si="53"/>
        <v>408.72870365690932</v>
      </c>
      <c r="R65" s="62">
        <f t="shared" si="0"/>
        <v>702.06203699024263</v>
      </c>
      <c r="S65" s="62">
        <f ca="1">AVERAGE(OFFSET($R$3,0,0,'Données projet'!$E$9+1,1))-AVERAGE(OFFSET($H$3,0,0,'Données projet'!$E$9+1,1))</f>
        <v>327.25473597900725</v>
      </c>
      <c r="T65" s="62">
        <f t="shared" si="34"/>
        <v>211.5313580973322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0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0</v>
      </c>
      <c r="AC65" s="24">
        <f t="shared" si="3"/>
        <v>0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7.2</v>
      </c>
      <c r="AI65" s="14">
        <f>IF('Données projet'!$A$62&gt;35,AI64+AH65-AQ64,IF(A65&lt;'Données projet'!$A$62,$AF$205^A65,IF(A65='Données projet'!$A$62,'Données projet'!$B$62,AI64+AH65-AQ64)))</f>
        <v>207.39999999999995</v>
      </c>
      <c r="AJ65" s="14">
        <f>AI65*VLOOKUP('Données projet'!$B$10,Paramètres!$A$1:$I$89,3,0)*VLOOKUP('Données projet'!$B$10,Paramètres!$A$1:$I$89,5,0)</f>
        <v>210.30359999999996</v>
      </c>
      <c r="AK65" s="14">
        <f t="shared" si="35"/>
        <v>52.001924357524459</v>
      </c>
      <c r="AL65" s="22">
        <f t="shared" si="4"/>
        <v>456.84878825602163</v>
      </c>
      <c r="AM65" s="62">
        <f t="shared" si="5"/>
        <v>750.18212158935489</v>
      </c>
      <c r="AN65" s="62">
        <f ca="1">AVERAGE(OFFSET($AM$3,0,0,'Données projet'!$E$10+1,1))-AVERAGE(OFFSET($H$3,0,0,'Données projet'!$E$10+1,1))</f>
        <v>366.41072413829329</v>
      </c>
      <c r="AO65" s="62">
        <f t="shared" si="36"/>
        <v>234.41212418619125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0</v>
      </c>
      <c r="AV65" s="23">
        <f>EXP(-LN(2)/25)*AV64+(1-EXP(-LN(2)/25))/(LN(2)/25)*Calculateur!AQ65*Calculateur!AS65*VLOOKUP('Données projet'!$B$10,Paramètres!$A$1:$I$89,3,0)*0.475*44/12</f>
        <v>0</v>
      </c>
      <c r="AW65" s="23">
        <f>EXP(-LN(2)/2)*AW64+(1-EXP(-LN(2)/2))/(LN(2)/2)*AQ65*AT65*VLOOKUP('Données projet'!$B$10,Paramètres!$A$1:$I$89,3,0)*0.475*44/12</f>
        <v>0</v>
      </c>
      <c r="AX65" s="23">
        <f t="shared" si="6"/>
        <v>0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5.6843418860808015E-14</v>
      </c>
      <c r="BE65" s="14">
        <f>BD65*VLOOKUP('Données projet'!$B$11,Paramètres!$A$1:$I$89,3,0)*VLOOKUP('Données projet'!$B$11,Paramètres!$A$1:$I$89,5,0)</f>
        <v>2.6602720026858149E-14</v>
      </c>
      <c r="BF65" s="14">
        <f t="shared" si="37"/>
        <v>4.6624771586320878E-13</v>
      </c>
      <c r="BG65" s="22">
        <f t="shared" si="7"/>
        <v>8.583811758418665E-13</v>
      </c>
      <c r="BH65" s="62">
        <f t="shared" si="8"/>
        <v>293.33333333333417</v>
      </c>
      <c r="BI65" s="62">
        <f ca="1">AVERAGE(OFFSET($BH$3,0,0,'Données projet'!$E$11+1,1))-AVERAGE(OFFSET($H$3,0,0,'Données projet'!$E$11+1,1))</f>
        <v>152.72674713084456</v>
      </c>
      <c r="BJ65" s="62">
        <f t="shared" si="38"/>
        <v>203.90215120562164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8.1544433182482763</v>
      </c>
      <c r="BQ65" s="23">
        <f>EXP(-LN(2)/25)*BQ64+(1-EXP(-LN(2)/25))/(LN(2)/25)*Calculateur!BL65*Calculateur!BN65*VLOOKUP('Données projet'!$B$11,Paramètres!$A$1:$I$89,3,0)*0.475*44/12</f>
        <v>0</v>
      </c>
      <c r="BR65" s="23">
        <f>EXP(-LN(2)/2)*BR64+(1-EXP(-LN(2)/2))/(LN(2)/2)*BL65*BO65*VLOOKUP('Données projet'!$B$11,Paramètres!$A$1:$I$89,3,0)*0.475*44/12</f>
        <v>2.3672392169548319E-4</v>
      </c>
      <c r="BS65" s="24">
        <f t="shared" si="9"/>
        <v>8.1546800421699714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3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17.590154399999978</v>
      </c>
      <c r="D66" s="12">
        <f t="shared" si="32"/>
        <v>5.8059371333391816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56.708842214844537</v>
      </c>
      <c r="H66" s="70">
        <f t="shared" si="1"/>
        <v>297.41485942056573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7.2</v>
      </c>
      <c r="N66" s="14">
        <f>IF('Données projet'!$A$36&gt;35,N65+M66-V65,IF(A66&lt;'Données projet'!$A$36,$K$205^A66,IF(A66='Données projet'!$A$36,'Données projet'!$B$36,N65+M66-V65)))</f>
        <v>214.59999999999994</v>
      </c>
      <c r="O66" s="14">
        <f>N66*VLOOKUP('Données projet'!$B$9,Paramètres!$A$1:$I$89,3,0)*VLOOKUP('Données projet'!$B$9,Paramètres!$A$1:$I$89,5,0)</f>
        <v>194.17007999999996</v>
      </c>
      <c r="P66" s="14">
        <f t="shared" si="33"/>
        <v>48.460730182351035</v>
      </c>
      <c r="Q66" s="22">
        <f t="shared" si="53"/>
        <v>422.5819944009279</v>
      </c>
      <c r="R66" s="62">
        <f t="shared" si="0"/>
        <v>715.91532773426115</v>
      </c>
      <c r="S66" s="62">
        <f ca="1">AVERAGE(OFFSET($R$3,0,0,'Données projet'!$E$9+1,1))-AVERAGE(OFFSET($H$3,0,0,'Données projet'!$E$9+1,1))</f>
        <v>327.25473597900725</v>
      </c>
      <c r="T66" s="62">
        <f t="shared" si="34"/>
        <v>211.5313580973322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0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0</v>
      </c>
      <c r="AC66" s="24">
        <f t="shared" si="3"/>
        <v>0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7.2</v>
      </c>
      <c r="AI66" s="14">
        <f>IF('Données projet'!$A$62&gt;35,AI65+AH66-AQ65,IF(A66&lt;'Données projet'!$A$62,$AF$205^A66,IF(A66='Données projet'!$A$62,'Données projet'!$B$62,AI65+AH66-AQ65)))</f>
        <v>214.59999999999994</v>
      </c>
      <c r="AJ66" s="14">
        <f>AI66*VLOOKUP('Données projet'!$B$10,Paramètres!$A$1:$I$89,3,0)*VLOOKUP('Données projet'!$B$10,Paramètres!$A$1:$I$89,5,0)</f>
        <v>217.60439999999994</v>
      </c>
      <c r="AK66" s="14">
        <f t="shared" si="35"/>
        <v>53.593882578706356</v>
      </c>
      <c r="AL66" s="22">
        <f t="shared" si="4"/>
        <v>472.33700882458015</v>
      </c>
      <c r="AM66" s="62">
        <f t="shared" si="5"/>
        <v>765.67034215791341</v>
      </c>
      <c r="AN66" s="62">
        <f ca="1">AVERAGE(OFFSET($AM$3,0,0,'Données projet'!$E$10+1,1))-AVERAGE(OFFSET($H$3,0,0,'Données projet'!$E$10+1,1))</f>
        <v>366.41072413829329</v>
      </c>
      <c r="AO66" s="62">
        <f t="shared" si="36"/>
        <v>234.41212418619125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0</v>
      </c>
      <c r="AV66" s="23">
        <f>EXP(-LN(2)/25)*AV65+(1-EXP(-LN(2)/25))/(LN(2)/25)*Calculateur!AQ66*Calculateur!AS66*VLOOKUP('Données projet'!$B$10,Paramètres!$A$1:$I$89,3,0)*0.475*44/12</f>
        <v>0</v>
      </c>
      <c r="AW66" s="23">
        <f>EXP(-LN(2)/2)*AW65+(1-EXP(-LN(2)/2))/(LN(2)/2)*AQ66*AT66*VLOOKUP('Données projet'!$B$10,Paramètres!$A$1:$I$89,3,0)*0.475*44/12</f>
        <v>0</v>
      </c>
      <c r="AX66" s="23">
        <f t="shared" si="6"/>
        <v>0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5.6843418860808015E-14</v>
      </c>
      <c r="BE66" s="14">
        <f>BD66*VLOOKUP('Données projet'!$B$11,Paramètres!$A$1:$I$89,3,0)*VLOOKUP('Données projet'!$B$11,Paramètres!$A$1:$I$89,5,0)</f>
        <v>2.6602720026858149E-14</v>
      </c>
      <c r="BF66" s="14">
        <f t="shared" si="37"/>
        <v>4.6624771586320878E-13</v>
      </c>
      <c r="BG66" s="22">
        <f t="shared" si="7"/>
        <v>8.583811758418665E-13</v>
      </c>
      <c r="BH66" s="62">
        <f t="shared" si="8"/>
        <v>293.33333333333417</v>
      </c>
      <c r="BI66" s="62">
        <f ca="1">AVERAGE(OFFSET($BH$3,0,0,'Données projet'!$E$11+1,1))-AVERAGE(OFFSET($H$3,0,0,'Données projet'!$E$11+1,1))</f>
        <v>152.72674713084456</v>
      </c>
      <c r="BJ66" s="62">
        <f t="shared" si="38"/>
        <v>203.90215120562164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7.9945396584967376</v>
      </c>
      <c r="BQ66" s="23">
        <f>EXP(-LN(2)/25)*BQ65+(1-EXP(-LN(2)/25))/(LN(2)/25)*Calculateur!BL66*Calculateur!BN66*VLOOKUP('Données projet'!$B$11,Paramètres!$A$1:$I$89,3,0)*0.475*44/12</f>
        <v>0</v>
      </c>
      <c r="BR66" s="23">
        <f>EXP(-LN(2)/2)*BR65+(1-EXP(-LN(2)/2))/(LN(2)/2)*BL66*BO66*VLOOKUP('Données projet'!$B$11,Paramètres!$A$1:$I$89,3,0)*0.475*44/12</f>
        <v>1.6738909029994945E-4</v>
      </c>
      <c r="BS66" s="24">
        <f t="shared" si="9"/>
        <v>7.9947070475870374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3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17.869363199999977</v>
      </c>
      <c r="D67" s="12">
        <f t="shared" si="32"/>
        <v>5.8872929198968995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57.582800167104438</v>
      </c>
      <c r="H67" s="70">
        <f t="shared" si="1"/>
        <v>298.04284274215377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7.2</v>
      </c>
      <c r="N67" s="14">
        <f>IF('Données projet'!$A$36&gt;35,N66+M67-V66,IF(A67&lt;'Données projet'!$A$36,$K$205^A67,IF(A67='Données projet'!$A$36,'Données projet'!$B$36,N66+M67-V66)))</f>
        <v>221.79999999999993</v>
      </c>
      <c r="O67" s="14">
        <f>N67*VLOOKUP('Données projet'!$B$9,Paramètres!$A$1:$I$89,3,0)*VLOOKUP('Données projet'!$B$9,Paramètres!$A$1:$I$89,5,0)</f>
        <v>200.68463999999992</v>
      </c>
      <c r="P67" s="14">
        <f t="shared" si="33"/>
        <v>49.894600936700193</v>
      </c>
      <c r="Q67" s="22">
        <f t="shared" ref="Q67:Q98" si="54">(O67+P67)*0.475*44/12</f>
        <v>436.42551129808606</v>
      </c>
      <c r="R67" s="62">
        <f t="shared" ref="R67:R130" si="55">Q67+(I67+J67)*44/12</f>
        <v>729.75884463141938</v>
      </c>
      <c r="S67" s="62">
        <f ca="1">AVERAGE(OFFSET($R$3,0,0,'Données projet'!$E$9+1,1))-AVERAGE(OFFSET($H$3,0,0,'Données projet'!$E$9+1,1))</f>
        <v>327.25473597900725</v>
      </c>
      <c r="T67" s="62">
        <f t="shared" si="34"/>
        <v>211.5313580973322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0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0</v>
      </c>
      <c r="AC67" s="24">
        <f t="shared" si="3"/>
        <v>0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7.2</v>
      </c>
      <c r="AI67" s="14">
        <f>IF('Données projet'!$A$62&gt;35,AI66+AH67-AQ66,IF(A67&lt;'Données projet'!$A$62,$AF$205^A67,IF(A67='Données projet'!$A$62,'Données projet'!$B$62,AI66+AH67-AQ66)))</f>
        <v>221.79999999999993</v>
      </c>
      <c r="AJ67" s="14">
        <f>AI67*VLOOKUP('Données projet'!$B$10,Paramètres!$A$1:$I$89,3,0)*VLOOKUP('Données projet'!$B$10,Paramètres!$A$1:$I$89,5,0)</f>
        <v>224.90519999999995</v>
      </c>
      <c r="AK67" s="14">
        <f t="shared" si="35"/>
        <v>55.17963460003309</v>
      </c>
      <c r="AL67" s="22">
        <f t="shared" si="4"/>
        <v>487.81442026172425</v>
      </c>
      <c r="AM67" s="62">
        <f t="shared" si="5"/>
        <v>781.14775359505757</v>
      </c>
      <c r="AN67" s="62">
        <f ca="1">AVERAGE(OFFSET($AM$3,0,0,'Données projet'!$E$10+1,1))-AVERAGE(OFFSET($H$3,0,0,'Données projet'!$E$10+1,1))</f>
        <v>366.41072413829329</v>
      </c>
      <c r="AO67" s="62">
        <f t="shared" si="36"/>
        <v>234.41212418619125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0</v>
      </c>
      <c r="AV67" s="23">
        <f>EXP(-LN(2)/25)*AV66+(1-EXP(-LN(2)/25))/(LN(2)/25)*Calculateur!AQ67*Calculateur!AS67*VLOOKUP('Données projet'!$B$10,Paramètres!$A$1:$I$89,3,0)*0.475*44/12</f>
        <v>0</v>
      </c>
      <c r="AW67" s="23">
        <f>EXP(-LN(2)/2)*AW66+(1-EXP(-LN(2)/2))/(LN(2)/2)*AQ67*AT67*VLOOKUP('Données projet'!$B$10,Paramètres!$A$1:$I$89,3,0)*0.475*44/12</f>
        <v>0</v>
      </c>
      <c r="AX67" s="23">
        <f t="shared" si="6"/>
        <v>0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5.6843418860808015E-14</v>
      </c>
      <c r="BE67" s="14">
        <f>BD67*VLOOKUP('Données projet'!$B$11,Paramètres!$A$1:$I$89,3,0)*VLOOKUP('Données projet'!$B$11,Paramètres!$A$1:$I$89,5,0)</f>
        <v>2.6602720026858149E-14</v>
      </c>
      <c r="BF67" s="14">
        <f t="shared" si="37"/>
        <v>4.6624771586320878E-13</v>
      </c>
      <c r="BG67" s="22">
        <f t="shared" si="7"/>
        <v>8.583811758418665E-13</v>
      </c>
      <c r="BH67" s="62">
        <f t="shared" si="8"/>
        <v>293.33333333333417</v>
      </c>
      <c r="BI67" s="62">
        <f ca="1">AVERAGE(OFFSET($BH$3,0,0,'Données projet'!$E$11+1,1))-AVERAGE(OFFSET($H$3,0,0,'Données projet'!$E$11+1,1))</f>
        <v>152.72674713084456</v>
      </c>
      <c r="BJ67" s="62">
        <f t="shared" si="38"/>
        <v>203.90215120562164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7.8377716119813243</v>
      </c>
      <c r="BQ67" s="23">
        <f>EXP(-LN(2)/25)*BQ66+(1-EXP(-LN(2)/25))/(LN(2)/25)*Calculateur!BL67*Calculateur!BN67*VLOOKUP('Données projet'!$B$11,Paramètres!$A$1:$I$89,3,0)*0.475*44/12</f>
        <v>0</v>
      </c>
      <c r="BR67" s="23">
        <f>EXP(-LN(2)/2)*BR66+(1-EXP(-LN(2)/2))/(LN(2)/2)*BL67*BO67*VLOOKUP('Données projet'!$B$11,Paramètres!$A$1:$I$89,3,0)*0.475*44/12</f>
        <v>1.1836196084774161E-4</v>
      </c>
      <c r="BS67" s="24">
        <f t="shared" si="9"/>
        <v>7.8378899739421719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3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18.148571999999977</v>
      </c>
      <c r="D68" s="12">
        <f t="shared" si="32"/>
        <v>5.9685008687324785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58.456399781475028</v>
      </c>
      <c r="H68" s="70">
        <f t="shared" ref="H68:H131" si="56">(B68+E68+F68)*44/12+(C68+D68)*0.475*44/12</f>
        <v>298.67056857970903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>
        <f>VLOOKUP(A68,'Données projet'!$A$35:$I$55,2,0)</f>
        <v>229</v>
      </c>
      <c r="L68" s="13">
        <f>VLOOKUP(A68,'Données projet'!$A$35:$I$55,9,0)</f>
        <v>7.2</v>
      </c>
      <c r="M68" s="13">
        <f t="array" ref="M68">INDEX(L:L,MIN(IF(ISNUMBER(L68:L264),ROW(L68:L264),"")))</f>
        <v>7.2</v>
      </c>
      <c r="N68" s="14">
        <f>IF('Données projet'!$A$36&gt;35,N67+M68-V67,IF(A68&lt;'Données projet'!$A$36,$K$205^A68,IF(A68='Données projet'!$A$36,'Données projet'!$B$36,N67+M68-V67)))</f>
        <v>228.99999999999991</v>
      </c>
      <c r="O68" s="14">
        <f>N68*VLOOKUP('Données projet'!$B$9,Paramètres!$A$1:$I$89,3,0)*VLOOKUP('Données projet'!$B$9,Paramètres!$A$1:$I$89,5,0)</f>
        <v>207.19919999999991</v>
      </c>
      <c r="P68" s="14">
        <f t="shared" si="33"/>
        <v>51.3230629736655</v>
      </c>
      <c r="Q68" s="22">
        <f t="shared" si="54"/>
        <v>450.25960801246725</v>
      </c>
      <c r="R68" s="62">
        <f t="shared" si="55"/>
        <v>743.59294134580057</v>
      </c>
      <c r="S68" s="62">
        <f ca="1">AVERAGE(OFFSET($R$3,0,0,'Données projet'!$E$9+1,1))-AVERAGE(OFFSET($H$3,0,0,'Données projet'!$E$9+1,1))</f>
        <v>327.25473597900725</v>
      </c>
      <c r="T68" s="62">
        <f t="shared" si="34"/>
        <v>211.5313580973322</v>
      </c>
      <c r="U68" s="16">
        <f>IF(ISNA(VLOOKUP(A68,'Données projet'!$A$35:$I$55,3,0)),0,VLOOKUP(A68,'Données projet'!$A$35:$I$55,3,0))</f>
        <v>10</v>
      </c>
      <c r="V68" s="16">
        <f>IF(ISNA(VLOOKUP(A68,'Données projet'!$A$35:$I$55,4,0)),0,VLOOKUP(A68,'Données projet'!$A$35:$I$55,4,0))</f>
        <v>21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0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0</v>
      </c>
      <c r="AC68" s="24">
        <f t="shared" ref="AC68:AC131" si="57">SUM(Z68:AB68)</f>
        <v>0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>
        <f>VLOOKUP(A68,'Données projet'!$A$61:$I$81,2,0)</f>
        <v>229</v>
      </c>
      <c r="AG68" s="13">
        <f>VLOOKUP(A68,'Données projet'!$A$61:$I$81,9,0)</f>
        <v>7.2</v>
      </c>
      <c r="AH68" s="13">
        <f t="array" ref="AH68">INDEX(AG:AG,MIN(IF(ISNUMBER(AG68:AG264),ROW(AG68:AG264),"")))</f>
        <v>7.2</v>
      </c>
      <c r="AI68" s="14">
        <f>IF('Données projet'!$A$62&gt;35,AI67+AH68-AQ67,IF(A68&lt;'Données projet'!$A$62,$AF$205^A68,IF(A68='Données projet'!$A$62,'Données projet'!$B$62,AI67+AH68-AQ67)))</f>
        <v>228.99999999999991</v>
      </c>
      <c r="AJ68" s="14">
        <f>AI68*VLOOKUP('Données projet'!$B$10,Paramètres!$A$1:$I$89,3,0)*VLOOKUP('Données projet'!$B$10,Paramètres!$A$1:$I$89,5,0)</f>
        <v>232.2059999999999</v>
      </c>
      <c r="AK68" s="14">
        <f t="shared" si="35"/>
        <v>56.759404991217522</v>
      </c>
      <c r="AL68" s="22">
        <f t="shared" ref="AL68:AL131" si="58">(AJ68+AK68)*0.475*44/12</f>
        <v>503.281413693037</v>
      </c>
      <c r="AM68" s="62">
        <f t="shared" ref="AM68:AM131" si="59">AL68+(AD68+AE68)*44/12</f>
        <v>796.61474702637031</v>
      </c>
      <c r="AN68" s="62">
        <f ca="1">AVERAGE(OFFSET($AM$3,0,0,'Données projet'!$E$10+1,1))-AVERAGE(OFFSET($H$3,0,0,'Données projet'!$E$10+1,1))</f>
        <v>366.41072413829329</v>
      </c>
      <c r="AO68" s="62">
        <f t="shared" si="36"/>
        <v>234.41212418619125</v>
      </c>
      <c r="AP68" s="16">
        <f>IF(ISNA(VLOOKUP(A68,'Données projet'!$A$61:$I$81,3,0)),0,VLOOKUP(A68,'Données projet'!$A$61:$I$81,3,0))</f>
        <v>10</v>
      </c>
      <c r="AQ68" s="16">
        <f>IF(ISNA(VLOOKUP(A68,'Données projet'!$A$61:$I$81,4,0)),0,VLOOKUP(A68,'Données projet'!$A$61:$I$81,4,0))</f>
        <v>21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0</v>
      </c>
      <c r="AV68" s="23">
        <f>EXP(-LN(2)/25)*AV67+(1-EXP(-LN(2)/25))/(LN(2)/25)*Calculateur!AQ68*Calculateur!AS68*VLOOKUP('Données projet'!$B$10,Paramètres!$A$1:$I$89,3,0)*0.475*44/12</f>
        <v>0</v>
      </c>
      <c r="AW68" s="23">
        <f>EXP(-LN(2)/2)*AW67+(1-EXP(-LN(2)/2))/(LN(2)/2)*AQ68*AT68*VLOOKUP('Données projet'!$B$10,Paramètres!$A$1:$I$89,3,0)*0.475*44/12</f>
        <v>0</v>
      </c>
      <c r="AX68" s="23">
        <f t="shared" ref="AX68:AX131" si="60">SUM(AU68:AW68)</f>
        <v>0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5.6843418860808015E-14</v>
      </c>
      <c r="BE68" s="14">
        <f>BD68*VLOOKUP('Données projet'!$B$11,Paramètres!$A$1:$I$89,3,0)*VLOOKUP('Données projet'!$B$11,Paramètres!$A$1:$I$89,5,0)</f>
        <v>2.6602720026858149E-14</v>
      </c>
      <c r="BF68" s="14">
        <f t="shared" si="37"/>
        <v>4.6624771586320878E-13</v>
      </c>
      <c r="BG68" s="22">
        <f t="shared" ref="BG68:BG131" si="61">(BE68+BF68)*0.475*44/12</f>
        <v>8.583811758418665E-13</v>
      </c>
      <c r="BH68" s="62">
        <f t="shared" ref="BH68:BH131" si="62">BG68+(AY68+AZ68)*44/12</f>
        <v>293.33333333333417</v>
      </c>
      <c r="BI68" s="62">
        <f ca="1">AVERAGE(OFFSET($BH$3,0,0,'Données projet'!$E$11+1,1))-AVERAGE(OFFSET($H$3,0,0,'Données projet'!$E$11+1,1))</f>
        <v>152.72674713084456</v>
      </c>
      <c r="BJ68" s="62">
        <f t="shared" si="38"/>
        <v>203.90215120562164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7.6840776912390121</v>
      </c>
      <c r="BQ68" s="23">
        <f>EXP(-LN(2)/25)*BQ67+(1-EXP(-LN(2)/25))/(LN(2)/25)*Calculateur!BL68*Calculateur!BN68*VLOOKUP('Données projet'!$B$11,Paramètres!$A$1:$I$89,3,0)*0.475*44/12</f>
        <v>0</v>
      </c>
      <c r="BR68" s="23">
        <f>EXP(-LN(2)/2)*BR67+(1-EXP(-LN(2)/2))/(LN(2)/2)*BL68*BO68*VLOOKUP('Données projet'!$B$11,Paramètres!$A$1:$I$89,3,0)*0.475*44/12</f>
        <v>8.3694545149974738E-5</v>
      </c>
      <c r="BS68" s="24">
        <f t="shared" ref="BS68:BS131" si="63">SUM(BP68:BR68)</f>
        <v>7.6841613857841624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3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18.427780799999976</v>
      </c>
      <c r="D69" s="12">
        <f t="shared" ref="D69:D132" si="86">IFERROR(EXP(-1.0587+0.8836*LN(C69)+0.284),0)</f>
        <v>6.0495635169450521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59.329647207528517</v>
      </c>
      <c r="H69" s="70">
        <f t="shared" si="56"/>
        <v>299.2980413520126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6.8</v>
      </c>
      <c r="N69" s="14">
        <f>IF('Données projet'!$A$36&gt;35,N68+M69-V68,IF(A69&lt;'Données projet'!$A$36,$K$205^A69,IF(A69='Données projet'!$A$36,'Données projet'!$B$36,N68+M69-V68)))</f>
        <v>214.79999999999993</v>
      </c>
      <c r="O69" s="14">
        <f>N69*VLOOKUP('Données projet'!$B$9,Paramètres!$A$1:$I$89,3,0)*VLOOKUP('Données projet'!$B$9,Paramètres!$A$1:$I$89,5,0)</f>
        <v>194.35103999999993</v>
      </c>
      <c r="P69" s="14">
        <f t="shared" ref="P69:P132" si="87">EXP(-1.0587+0.8836*LN(O69)+0.284)</f>
        <v>48.500634729810159</v>
      </c>
      <c r="Q69" s="22">
        <f t="shared" si="54"/>
        <v>422.96666682108594</v>
      </c>
      <c r="R69" s="62">
        <f t="shared" si="55"/>
        <v>716.30000015441919</v>
      </c>
      <c r="S69" s="62">
        <f ca="1">AVERAGE(OFFSET($R$3,0,0,'Données projet'!$E$9+1,1))-AVERAGE(OFFSET($H$3,0,0,'Données projet'!$E$9+1,1))</f>
        <v>327.25473597900725</v>
      </c>
      <c r="T69" s="62">
        <f t="shared" ref="T69:T132" si="88">$T$3</f>
        <v>211.5313580973322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0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0</v>
      </c>
      <c r="AC69" s="24">
        <f t="shared" si="57"/>
        <v>0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6.8</v>
      </c>
      <c r="AI69" s="14">
        <f>IF('Données projet'!$A$62&gt;35,AI68+AH69-AQ68,IF(A69&lt;'Données projet'!$A$62,$AF$205^A69,IF(A69='Données projet'!$A$62,'Données projet'!$B$62,AI68+AH69-AQ68)))</f>
        <v>214.79999999999993</v>
      </c>
      <c r="AJ69" s="14">
        <f>AI69*VLOOKUP('Données projet'!$B$10,Paramètres!$A$1:$I$89,3,0)*VLOOKUP('Données projet'!$B$10,Paramètres!$A$1:$I$89,5,0)</f>
        <v>217.80719999999994</v>
      </c>
      <c r="AK69" s="14">
        <f t="shared" ref="AK69:AK132" si="89">EXP(-1.0587+0.8836*LN(AJ69)+0.284)</f>
        <v>53.638013973813976</v>
      </c>
      <c r="AL69" s="22">
        <f t="shared" si="58"/>
        <v>472.76708100439259</v>
      </c>
      <c r="AM69" s="62">
        <f t="shared" si="59"/>
        <v>766.10041433772585</v>
      </c>
      <c r="AN69" s="62">
        <f ca="1">AVERAGE(OFFSET($AM$3,0,0,'Données projet'!$E$10+1,1))-AVERAGE(OFFSET($H$3,0,0,'Données projet'!$E$10+1,1))</f>
        <v>366.41072413829329</v>
      </c>
      <c r="AO69" s="62">
        <f t="shared" ref="AO69:AO132" si="90">$AO$3</f>
        <v>234.41212418619125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0</v>
      </c>
      <c r="AV69" s="23">
        <f>EXP(-LN(2)/25)*AV68+(1-EXP(-LN(2)/25))/(LN(2)/25)*Calculateur!AQ69*Calculateur!AS69*VLOOKUP('Données projet'!$B$10,Paramètres!$A$1:$I$89,3,0)*0.475*44/12</f>
        <v>0</v>
      </c>
      <c r="AW69" s="23">
        <f>EXP(-LN(2)/2)*AW68+(1-EXP(-LN(2)/2))/(LN(2)/2)*AQ69*AT69*VLOOKUP('Données projet'!$B$10,Paramètres!$A$1:$I$89,3,0)*0.475*44/12</f>
        <v>0</v>
      </c>
      <c r="AX69" s="23">
        <f t="shared" si="60"/>
        <v>0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5.6843418860808015E-14</v>
      </c>
      <c r="BE69" s="14">
        <f>BD69*VLOOKUP('Données projet'!$B$11,Paramètres!$A$1:$I$89,3,0)*VLOOKUP('Données projet'!$B$11,Paramètres!$A$1:$I$89,5,0)</f>
        <v>2.6602720026858149E-14</v>
      </c>
      <c r="BF69" s="14">
        <f t="shared" ref="BF69:BF132" si="91">EXP(-1.0587+0.8836*LN(BE69)+0.284)</f>
        <v>4.6624771586320878E-13</v>
      </c>
      <c r="BG69" s="22">
        <f t="shared" si="61"/>
        <v>8.583811758418665E-13</v>
      </c>
      <c r="BH69" s="62">
        <f t="shared" si="62"/>
        <v>293.33333333333417</v>
      </c>
      <c r="BI69" s="62">
        <f ca="1">AVERAGE(OFFSET($BH$3,0,0,'Données projet'!$E$11+1,1))-AVERAGE(OFFSET($H$3,0,0,'Données projet'!$E$11+1,1))</f>
        <v>152.72674713084456</v>
      </c>
      <c r="BJ69" s="62">
        <f t="shared" ref="BJ69:BJ132" si="92">$BJ$3</f>
        <v>203.90215120562164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7.5333976145384209</v>
      </c>
      <c r="BQ69" s="23">
        <f>EXP(-LN(2)/25)*BQ68+(1-EXP(-LN(2)/25))/(LN(2)/25)*Calculateur!BL69*Calculateur!BN69*VLOOKUP('Données projet'!$B$11,Paramètres!$A$1:$I$89,3,0)*0.475*44/12</f>
        <v>0</v>
      </c>
      <c r="BR69" s="23">
        <f>EXP(-LN(2)/2)*BR68+(1-EXP(-LN(2)/2))/(LN(2)/2)*BL69*BO69*VLOOKUP('Données projet'!$B$11,Paramètres!$A$1:$I$89,3,0)*0.475*44/12</f>
        <v>5.9180980423870811E-5</v>
      </c>
      <c r="BS69" s="24">
        <f t="shared" si="63"/>
        <v>7.5334567955188447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3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18.706989599999975</v>
      </c>
      <c r="D70" s="12">
        <f t="shared" si="86"/>
        <v>6.1304833203398319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60.202548397792071</v>
      </c>
      <c r="H70" s="70">
        <f t="shared" si="56"/>
        <v>299.92526533625852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6.8</v>
      </c>
      <c r="N70" s="14">
        <f>IF('Données projet'!$A$36&gt;35,N69+M70-V69,IF(A70&lt;'Données projet'!$A$36,$K$205^A70,IF(A70='Données projet'!$A$36,'Données projet'!$B$36,N69+M70-V69)))</f>
        <v>221.59999999999994</v>
      </c>
      <c r="O70" s="14">
        <f>N70*VLOOKUP('Données projet'!$B$9,Paramètres!$A$1:$I$89,3,0)*VLOOKUP('Données projet'!$B$9,Paramètres!$A$1:$I$89,5,0)</f>
        <v>200.50367999999995</v>
      </c>
      <c r="P70" s="14">
        <f t="shared" si="87"/>
        <v>49.854845135229887</v>
      </c>
      <c r="Q70" s="22">
        <f t="shared" si="54"/>
        <v>436.04109794385857</v>
      </c>
      <c r="R70" s="62">
        <f t="shared" si="55"/>
        <v>729.37443127719189</v>
      </c>
      <c r="S70" s="62">
        <f ca="1">AVERAGE(OFFSET($R$3,0,0,'Données projet'!$E$9+1,1))-AVERAGE(OFFSET($H$3,0,0,'Données projet'!$E$9+1,1))</f>
        <v>327.25473597900725</v>
      </c>
      <c r="T70" s="62">
        <f t="shared" si="88"/>
        <v>211.5313580973322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0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0</v>
      </c>
      <c r="AC70" s="24">
        <f t="shared" si="57"/>
        <v>0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6.8</v>
      </c>
      <c r="AI70" s="14">
        <f>IF('Données projet'!$A$62&gt;35,AI69+AH70-AQ69,IF(A70&lt;'Données projet'!$A$62,$AF$205^A70,IF(A70='Données projet'!$A$62,'Données projet'!$B$62,AI69+AH70-AQ69)))</f>
        <v>221.59999999999994</v>
      </c>
      <c r="AJ70" s="14">
        <f>AI70*VLOOKUP('Données projet'!$B$10,Paramètres!$A$1:$I$89,3,0)*VLOOKUP('Données projet'!$B$10,Paramètres!$A$1:$I$89,5,0)</f>
        <v>224.70239999999995</v>
      </c>
      <c r="AK70" s="14">
        <f t="shared" si="89"/>
        <v>55.135667706678262</v>
      </c>
      <c r="AL70" s="22">
        <f t="shared" si="58"/>
        <v>487.38463458913128</v>
      </c>
      <c r="AM70" s="62">
        <f t="shared" si="59"/>
        <v>780.7179679224646</v>
      </c>
      <c r="AN70" s="62">
        <f ca="1">AVERAGE(OFFSET($AM$3,0,0,'Données projet'!$E$10+1,1))-AVERAGE(OFFSET($H$3,0,0,'Données projet'!$E$10+1,1))</f>
        <v>366.41072413829329</v>
      </c>
      <c r="AO70" s="62">
        <f t="shared" si="90"/>
        <v>234.41212418619125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0</v>
      </c>
      <c r="AV70" s="23">
        <f>EXP(-LN(2)/25)*AV69+(1-EXP(-LN(2)/25))/(LN(2)/25)*Calculateur!AQ70*Calculateur!AS70*VLOOKUP('Données projet'!$B$10,Paramètres!$A$1:$I$89,3,0)*0.475*44/12</f>
        <v>0</v>
      </c>
      <c r="AW70" s="23">
        <f>EXP(-LN(2)/2)*AW69+(1-EXP(-LN(2)/2))/(LN(2)/2)*AQ70*AT70*VLOOKUP('Données projet'!$B$10,Paramètres!$A$1:$I$89,3,0)*0.475*44/12</f>
        <v>0</v>
      </c>
      <c r="AX70" s="23">
        <f t="shared" si="60"/>
        <v>0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5.6843418860808015E-14</v>
      </c>
      <c r="BE70" s="14">
        <f>BD70*VLOOKUP('Données projet'!$B$11,Paramètres!$A$1:$I$89,3,0)*VLOOKUP('Données projet'!$B$11,Paramètres!$A$1:$I$89,5,0)</f>
        <v>2.6602720026858149E-14</v>
      </c>
      <c r="BF70" s="14">
        <f t="shared" si="91"/>
        <v>4.6624771586320878E-13</v>
      </c>
      <c r="BG70" s="22">
        <f t="shared" si="61"/>
        <v>8.583811758418665E-13</v>
      </c>
      <c r="BH70" s="62">
        <f t="shared" si="62"/>
        <v>293.33333333333417</v>
      </c>
      <c r="BI70" s="62">
        <f ca="1">AVERAGE(OFFSET($BH$3,0,0,'Données projet'!$E$11+1,1))-AVERAGE(OFFSET($H$3,0,0,'Données projet'!$E$11+1,1))</f>
        <v>152.72674713084456</v>
      </c>
      <c r="BJ70" s="62">
        <f t="shared" si="92"/>
        <v>203.90215120562164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7.3856722822361567</v>
      </c>
      <c r="BQ70" s="23">
        <f>EXP(-LN(2)/25)*BQ69+(1-EXP(-LN(2)/25))/(LN(2)/25)*Calculateur!BL70*Calculateur!BN70*VLOOKUP('Données projet'!$B$11,Paramètres!$A$1:$I$89,3,0)*0.475*44/12</f>
        <v>0</v>
      </c>
      <c r="BR70" s="23">
        <f>EXP(-LN(2)/2)*BR69+(1-EXP(-LN(2)/2))/(LN(2)/2)*BL70*BO70*VLOOKUP('Données projet'!$B$11,Paramètres!$A$1:$I$89,3,0)*0.475*44/12</f>
        <v>4.1847272574987376E-5</v>
      </c>
      <c r="BS70" s="24">
        <f t="shared" si="63"/>
        <v>7.3857141295087319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3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18.986198399999974</v>
      </c>
      <c r="D71" s="12">
        <f t="shared" si="86"/>
        <v>6.2112626572066825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61.075109116906532</v>
      </c>
      <c r="H71" s="70">
        <f t="shared" si="56"/>
        <v>300.55224467463495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6.8</v>
      </c>
      <c r="N71" s="14">
        <f>IF('Données projet'!$A$36&gt;35,N70+M71-V70,IF(A71&lt;'Données projet'!$A$36,$K$205^A71,IF(A71='Données projet'!$A$36,'Données projet'!$B$36,N70+M71-V70)))</f>
        <v>228.39999999999995</v>
      </c>
      <c r="O71" s="14">
        <f>N71*VLOOKUP('Données projet'!$B$9,Paramètres!$A$1:$I$89,3,0)*VLOOKUP('Données projet'!$B$9,Paramètres!$A$1:$I$89,5,0)</f>
        <v>206.65631999999994</v>
      </c>
      <c r="P71" s="14">
        <f t="shared" si="87"/>
        <v>51.20422634371338</v>
      </c>
      <c r="Q71" s="22">
        <f t="shared" si="54"/>
        <v>449.10711821530072</v>
      </c>
      <c r="R71" s="62">
        <f t="shared" si="55"/>
        <v>742.44045154863397</v>
      </c>
      <c r="S71" s="62">
        <f ca="1">AVERAGE(OFFSET($R$3,0,0,'Données projet'!$E$9+1,1))-AVERAGE(OFFSET($H$3,0,0,'Données projet'!$E$9+1,1))</f>
        <v>327.25473597900725</v>
      </c>
      <c r="T71" s="62">
        <f t="shared" si="88"/>
        <v>211.5313580973322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0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0</v>
      </c>
      <c r="AC71" s="24">
        <f t="shared" si="57"/>
        <v>0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6.8</v>
      </c>
      <c r="AI71" s="14">
        <f>IF('Données projet'!$A$62&gt;35,AI70+AH71-AQ70,IF(A71&lt;'Données projet'!$A$62,$AF$205^A71,IF(A71='Données projet'!$A$62,'Données projet'!$B$62,AI70+AH71-AQ70)))</f>
        <v>228.39999999999995</v>
      </c>
      <c r="AJ71" s="14">
        <f>AI71*VLOOKUP('Données projet'!$B$10,Paramètres!$A$1:$I$89,3,0)*VLOOKUP('Données projet'!$B$10,Paramètres!$A$1:$I$89,5,0)</f>
        <v>231.59759999999997</v>
      </c>
      <c r="AK71" s="14">
        <f t="shared" si="89"/>
        <v>56.627980714948151</v>
      </c>
      <c r="AL71" s="22">
        <f t="shared" si="58"/>
        <v>501.99288641186791</v>
      </c>
      <c r="AM71" s="62">
        <f t="shared" si="59"/>
        <v>795.32621974520123</v>
      </c>
      <c r="AN71" s="62">
        <f ca="1">AVERAGE(OFFSET($AM$3,0,0,'Données projet'!$E$10+1,1))-AVERAGE(OFFSET($H$3,0,0,'Données projet'!$E$10+1,1))</f>
        <v>366.41072413829329</v>
      </c>
      <c r="AO71" s="62">
        <f t="shared" si="90"/>
        <v>234.41212418619125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0</v>
      </c>
      <c r="AV71" s="23">
        <f>EXP(-LN(2)/25)*AV70+(1-EXP(-LN(2)/25))/(LN(2)/25)*Calculateur!AQ71*Calculateur!AS71*VLOOKUP('Données projet'!$B$10,Paramètres!$A$1:$I$89,3,0)*0.475*44/12</f>
        <v>0</v>
      </c>
      <c r="AW71" s="23">
        <f>EXP(-LN(2)/2)*AW70+(1-EXP(-LN(2)/2))/(LN(2)/2)*AQ71*AT71*VLOOKUP('Données projet'!$B$10,Paramètres!$A$1:$I$89,3,0)*0.475*44/12</f>
        <v>0</v>
      </c>
      <c r="AX71" s="23">
        <f t="shared" si="60"/>
        <v>0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5.6843418860808015E-14</v>
      </c>
      <c r="BE71" s="14">
        <f>BD71*VLOOKUP('Données projet'!$B$11,Paramètres!$A$1:$I$89,3,0)*VLOOKUP('Données projet'!$B$11,Paramètres!$A$1:$I$89,5,0)</f>
        <v>2.6602720026858149E-14</v>
      </c>
      <c r="BF71" s="14">
        <f t="shared" si="91"/>
        <v>4.6624771586320878E-13</v>
      </c>
      <c r="BG71" s="22">
        <f t="shared" si="61"/>
        <v>8.583811758418665E-13</v>
      </c>
      <c r="BH71" s="62">
        <f t="shared" si="62"/>
        <v>293.33333333333417</v>
      </c>
      <c r="BI71" s="62">
        <f ca="1">AVERAGE(OFFSET($BH$3,0,0,'Données projet'!$E$11+1,1))-AVERAGE(OFFSET($H$3,0,0,'Données projet'!$E$11+1,1))</f>
        <v>152.72674713084456</v>
      </c>
      <c r="BJ71" s="62">
        <f t="shared" si="92"/>
        <v>203.90215120562164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7.240843753596784</v>
      </c>
      <c r="BQ71" s="23">
        <f>EXP(-LN(2)/25)*BQ70+(1-EXP(-LN(2)/25))/(LN(2)/25)*Calculateur!BL71*Calculateur!BN71*VLOOKUP('Données projet'!$B$11,Paramètres!$A$1:$I$89,3,0)*0.475*44/12</f>
        <v>0</v>
      </c>
      <c r="BR71" s="23">
        <f>EXP(-LN(2)/2)*BR70+(1-EXP(-LN(2)/2))/(LN(2)/2)*BL71*BO71*VLOOKUP('Données projet'!$B$11,Paramètres!$A$1:$I$89,3,0)*0.475*44/12</f>
        <v>2.9590490211935412E-5</v>
      </c>
      <c r="BS71" s="24">
        <f t="shared" si="63"/>
        <v>7.2408733440869959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3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19.265407199999974</v>
      </c>
      <c r="D72" s="12">
        <f t="shared" si="86"/>
        <v>6.2919038318700471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61.947334950230925</v>
      </c>
      <c r="H72" s="70">
        <f t="shared" si="56"/>
        <v>301.17898338050696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6.8</v>
      </c>
      <c r="N72" s="14">
        <f>IF('Données projet'!$A$36&gt;35,N71+M72-V71,IF(A72&lt;'Données projet'!$A$36,$K$205^A72,IF(A72='Données projet'!$A$36,'Données projet'!$B$36,N71+M72-V71)))</f>
        <v>235.19999999999996</v>
      </c>
      <c r="O72" s="14">
        <f>N72*VLOOKUP('Données projet'!$B$9,Paramètres!$A$1:$I$89,3,0)*VLOOKUP('Données projet'!$B$9,Paramètres!$A$1:$I$89,5,0)</f>
        <v>212.80895999999996</v>
      </c>
      <c r="P72" s="14">
        <f t="shared" si="87"/>
        <v>52.548938637485847</v>
      </c>
      <c r="Q72" s="22">
        <f t="shared" si="54"/>
        <v>462.16500679362099</v>
      </c>
      <c r="R72" s="62">
        <f t="shared" si="55"/>
        <v>755.4983401269543</v>
      </c>
      <c r="S72" s="62">
        <f ca="1">AVERAGE(OFFSET($R$3,0,0,'Données projet'!$E$9+1,1))-AVERAGE(OFFSET($H$3,0,0,'Données projet'!$E$9+1,1))</f>
        <v>327.25473597900725</v>
      </c>
      <c r="T72" s="62">
        <f t="shared" si="88"/>
        <v>211.5313580973322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0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0</v>
      </c>
      <c r="AC72" s="24">
        <f t="shared" si="57"/>
        <v>0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6.8</v>
      </c>
      <c r="AI72" s="14">
        <f>IF('Données projet'!$A$62&gt;35,AI71+AH72-AQ71,IF(A72&lt;'Données projet'!$A$62,$AF$205^A72,IF(A72='Données projet'!$A$62,'Données projet'!$B$62,AI71+AH72-AQ71)))</f>
        <v>235.19999999999996</v>
      </c>
      <c r="AJ72" s="14">
        <f>AI72*VLOOKUP('Données projet'!$B$10,Paramètres!$A$1:$I$89,3,0)*VLOOKUP('Données projet'!$B$10,Paramètres!$A$1:$I$89,5,0)</f>
        <v>238.49279999999996</v>
      </c>
      <c r="AK72" s="14">
        <f t="shared" si="89"/>
        <v>58.115130258576542</v>
      </c>
      <c r="AL72" s="22">
        <f t="shared" si="58"/>
        <v>516.59214520035414</v>
      </c>
      <c r="AM72" s="62">
        <f t="shared" si="59"/>
        <v>809.92547853368751</v>
      </c>
      <c r="AN72" s="62">
        <f ca="1">AVERAGE(OFFSET($AM$3,0,0,'Données projet'!$E$10+1,1))-AVERAGE(OFFSET($H$3,0,0,'Données projet'!$E$10+1,1))</f>
        <v>366.41072413829329</v>
      </c>
      <c r="AO72" s="62">
        <f t="shared" si="90"/>
        <v>234.41212418619125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0</v>
      </c>
      <c r="AV72" s="23">
        <f>EXP(-LN(2)/25)*AV71+(1-EXP(-LN(2)/25))/(LN(2)/25)*Calculateur!AQ72*Calculateur!AS72*VLOOKUP('Données projet'!$B$10,Paramètres!$A$1:$I$89,3,0)*0.475*44/12</f>
        <v>0</v>
      </c>
      <c r="AW72" s="23">
        <f>EXP(-LN(2)/2)*AW71+(1-EXP(-LN(2)/2))/(LN(2)/2)*AQ72*AT72*VLOOKUP('Données projet'!$B$10,Paramètres!$A$1:$I$89,3,0)*0.475*44/12</f>
        <v>0</v>
      </c>
      <c r="AX72" s="23">
        <f t="shared" si="60"/>
        <v>0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5.6843418860808015E-14</v>
      </c>
      <c r="BE72" s="14">
        <f>BD72*VLOOKUP('Données projet'!$B$11,Paramètres!$A$1:$I$89,3,0)*VLOOKUP('Données projet'!$B$11,Paramètres!$A$1:$I$89,5,0)</f>
        <v>2.6602720026858149E-14</v>
      </c>
      <c r="BF72" s="14">
        <f t="shared" si="91"/>
        <v>4.6624771586320878E-13</v>
      </c>
      <c r="BG72" s="22">
        <f t="shared" si="61"/>
        <v>8.583811758418665E-13</v>
      </c>
      <c r="BH72" s="62">
        <f t="shared" si="62"/>
        <v>293.33333333333417</v>
      </c>
      <c r="BI72" s="62">
        <f ca="1">AVERAGE(OFFSET($BH$3,0,0,'Données projet'!$E$11+1,1))-AVERAGE(OFFSET($H$3,0,0,'Données projet'!$E$11+1,1))</f>
        <v>152.72674713084456</v>
      </c>
      <c r="BJ72" s="62">
        <f t="shared" si="92"/>
        <v>203.90215120562164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7.0988552240673499</v>
      </c>
      <c r="BQ72" s="23">
        <f>EXP(-LN(2)/25)*BQ71+(1-EXP(-LN(2)/25))/(LN(2)/25)*Calculateur!BL72*Calculateur!BN72*VLOOKUP('Données projet'!$B$11,Paramètres!$A$1:$I$89,3,0)*0.475*44/12</f>
        <v>0</v>
      </c>
      <c r="BR72" s="23">
        <f>EXP(-LN(2)/2)*BR71+(1-EXP(-LN(2)/2))/(LN(2)/2)*BL72*BO72*VLOOKUP('Données projet'!$B$11,Paramètres!$A$1:$I$89,3,0)*0.475*44/12</f>
        <v>2.0923636287493691E-5</v>
      </c>
      <c r="BS72" s="24">
        <f t="shared" si="63"/>
        <v>7.0988761477036375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3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19.544615999999973</v>
      </c>
      <c r="D73" s="12">
        <f t="shared" si="86"/>
        <v>6.3724090780272729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62.819231311934111</v>
      </c>
      <c r="H73" s="70">
        <f t="shared" si="56"/>
        <v>301.80548534423082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>
        <f>VLOOKUP(A73,'Données projet'!$A$35:$I$55,2,0)</f>
        <v>242</v>
      </c>
      <c r="L73" s="13">
        <f>VLOOKUP(A73,'Données projet'!$A$35:$I$55,9,0)</f>
        <v>6.8</v>
      </c>
      <c r="M73" s="13">
        <f t="array" ref="M73">INDEX(L:L,MIN(IF(ISNUMBER(L73:L269),ROW(L73:L269),"")))</f>
        <v>6.8</v>
      </c>
      <c r="N73" s="14">
        <f>IF('Données projet'!$A$36&gt;35,N72+M73-V72,IF(A73&lt;'Données projet'!$A$36,$K$205^A73,IF(A73='Données projet'!$A$36,'Données projet'!$B$36,N72+M73-V72)))</f>
        <v>241.99999999999997</v>
      </c>
      <c r="O73" s="14">
        <f>N73*VLOOKUP('Données projet'!$B$9,Paramètres!$A$1:$I$89,3,0)*VLOOKUP('Données projet'!$B$9,Paramètres!$A$1:$I$89,5,0)</f>
        <v>218.96159999999998</v>
      </c>
      <c r="P73" s="14">
        <f t="shared" si="87"/>
        <v>53.88913250370743</v>
      </c>
      <c r="Q73" s="22">
        <f t="shared" si="54"/>
        <v>475.21502577729035</v>
      </c>
      <c r="R73" s="62">
        <f t="shared" si="55"/>
        <v>768.54835911062366</v>
      </c>
      <c r="S73" s="62">
        <f ca="1">AVERAGE(OFFSET($R$3,0,0,'Données projet'!$E$9+1,1))-AVERAGE(OFFSET($H$3,0,0,'Données projet'!$E$9+1,1))</f>
        <v>327.25473597900725</v>
      </c>
      <c r="T73" s="62">
        <f t="shared" si="88"/>
        <v>211.5313580973322</v>
      </c>
      <c r="U73" s="16">
        <f>IF(ISNA(VLOOKUP(A73,'Données projet'!$A$35:$I$55,3,0)),0,VLOOKUP(A73,'Données projet'!$A$35:$I$55,3,0))</f>
        <v>11</v>
      </c>
      <c r="V73" s="16">
        <f>IF(ISNA(VLOOKUP(A73,'Données projet'!$A$35:$I$55,4,0)),0,VLOOKUP(A73,'Données projet'!$A$35:$I$55,4,0))</f>
        <v>21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0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0</v>
      </c>
      <c r="AC73" s="24">
        <f t="shared" si="57"/>
        <v>0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>
        <f>VLOOKUP(A73,'Données projet'!$A$61:$I$81,2,0)</f>
        <v>242</v>
      </c>
      <c r="AG73" s="13">
        <f>VLOOKUP(A73,'Données projet'!$A$61:$I$81,9,0)</f>
        <v>6.8</v>
      </c>
      <c r="AH73" s="13">
        <f t="array" ref="AH73">INDEX(AG:AG,MIN(IF(ISNUMBER(AG73:AG269),ROW(AG73:AG269),"")))</f>
        <v>6.8</v>
      </c>
      <c r="AI73" s="14">
        <f>IF('Données projet'!$A$62&gt;35,AI72+AH73-AQ72,IF(A73&lt;'Données projet'!$A$62,$AF$205^A73,IF(A73='Données projet'!$A$62,'Données projet'!$B$62,AI72+AH73-AQ72)))</f>
        <v>241.99999999999997</v>
      </c>
      <c r="AJ73" s="14">
        <f>AI73*VLOOKUP('Données projet'!$B$10,Paramètres!$A$1:$I$89,3,0)*VLOOKUP('Données projet'!$B$10,Paramètres!$A$1:$I$89,5,0)</f>
        <v>245.38799999999998</v>
      </c>
      <c r="AK73" s="14">
        <f t="shared" si="89"/>
        <v>59.597282764919569</v>
      </c>
      <c r="AL73" s="22">
        <f t="shared" si="58"/>
        <v>531.18270081556818</v>
      </c>
      <c r="AM73" s="62">
        <f t="shared" si="59"/>
        <v>824.51603414890155</v>
      </c>
      <c r="AN73" s="62">
        <f ca="1">AVERAGE(OFFSET($AM$3,0,0,'Données projet'!$E$10+1,1))-AVERAGE(OFFSET($H$3,0,0,'Données projet'!$E$10+1,1))</f>
        <v>366.41072413829329</v>
      </c>
      <c r="AO73" s="62">
        <f t="shared" si="90"/>
        <v>234.41212418619125</v>
      </c>
      <c r="AP73" s="16">
        <f>IF(ISNA(VLOOKUP(A73,'Données projet'!$A$61:$I$81,3,0)),0,VLOOKUP(A73,'Données projet'!$A$61:$I$81,3,0))</f>
        <v>11</v>
      </c>
      <c r="AQ73" s="16">
        <f>IF(ISNA(VLOOKUP(A73,'Données projet'!$A$61:$I$81,4,0)),0,VLOOKUP(A73,'Données projet'!$A$61:$I$81,4,0))</f>
        <v>21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0</v>
      </c>
      <c r="AV73" s="23">
        <f>EXP(-LN(2)/25)*AV72+(1-EXP(-LN(2)/25))/(LN(2)/25)*Calculateur!AQ73*Calculateur!AS73*VLOOKUP('Données projet'!$B$10,Paramètres!$A$1:$I$89,3,0)*0.475*44/12</f>
        <v>0</v>
      </c>
      <c r="AW73" s="23">
        <f>EXP(-LN(2)/2)*AW72+(1-EXP(-LN(2)/2))/(LN(2)/2)*AQ73*AT73*VLOOKUP('Données projet'!$B$10,Paramètres!$A$1:$I$89,3,0)*0.475*44/12</f>
        <v>0</v>
      </c>
      <c r="AX73" s="23">
        <f t="shared" si="60"/>
        <v>0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5.6843418860808015E-14</v>
      </c>
      <c r="BE73" s="14">
        <f>BD73*VLOOKUP('Données projet'!$B$11,Paramètres!$A$1:$I$89,3,0)*VLOOKUP('Données projet'!$B$11,Paramètres!$A$1:$I$89,5,0)</f>
        <v>2.6602720026858149E-14</v>
      </c>
      <c r="BF73" s="14">
        <f t="shared" si="91"/>
        <v>4.6624771586320878E-13</v>
      </c>
      <c r="BG73" s="22">
        <f t="shared" si="61"/>
        <v>8.583811758418665E-13</v>
      </c>
      <c r="BH73" s="62">
        <f t="shared" si="62"/>
        <v>293.33333333333417</v>
      </c>
      <c r="BI73" s="62">
        <f ca="1">AVERAGE(OFFSET($BH$3,0,0,'Données projet'!$E$11+1,1))-AVERAGE(OFFSET($H$3,0,0,'Données projet'!$E$11+1,1))</f>
        <v>152.72674713084456</v>
      </c>
      <c r="BJ73" s="62">
        <f t="shared" si="92"/>
        <v>203.90215120562164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6.9596510029975365</v>
      </c>
      <c r="BQ73" s="23">
        <f>EXP(-LN(2)/25)*BQ72+(1-EXP(-LN(2)/25))/(LN(2)/25)*Calculateur!BL73*Calculateur!BN73*VLOOKUP('Données projet'!$B$11,Paramètres!$A$1:$I$89,3,0)*0.475*44/12</f>
        <v>0</v>
      </c>
      <c r="BR73" s="23">
        <f>EXP(-LN(2)/2)*BR72+(1-EXP(-LN(2)/2))/(LN(2)/2)*BL73*BO73*VLOOKUP('Données projet'!$B$11,Paramètres!$A$1:$I$89,3,0)*0.475*44/12</f>
        <v>1.4795245105967708E-5</v>
      </c>
      <c r="BS73" s="24">
        <f t="shared" si="63"/>
        <v>6.9596657982426429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3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19.823824799999972</v>
      </c>
      <c r="D74" s="12">
        <f t="shared" si="86"/>
        <v>6.4527805618907319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63.690803452610872</v>
      </c>
      <c r="H74" s="70">
        <f t="shared" si="56"/>
        <v>302.43175433862632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6.2</v>
      </c>
      <c r="N74" s="14">
        <f>IF('Données projet'!$A$36&gt;35,N73+M74-V73,IF(A74&lt;'Données projet'!$A$36,$K$205^A74,IF(A74='Données projet'!$A$36,'Données projet'!$B$36,N73+M74-V73)))</f>
        <v>227.19999999999996</v>
      </c>
      <c r="O74" s="14">
        <f>N74*VLOOKUP('Données projet'!$B$9,Paramètres!$A$1:$I$89,3,0)*VLOOKUP('Données projet'!$B$9,Paramètres!$A$1:$I$89,5,0)</f>
        <v>205.57055999999997</v>
      </c>
      <c r="P74" s="14">
        <f t="shared" si="87"/>
        <v>50.966443946767392</v>
      </c>
      <c r="Q74" s="22">
        <f t="shared" si="54"/>
        <v>446.80194854061978</v>
      </c>
      <c r="R74" s="62">
        <f t="shared" si="55"/>
        <v>740.13528187395309</v>
      </c>
      <c r="S74" s="62">
        <f ca="1">AVERAGE(OFFSET($R$3,0,0,'Données projet'!$E$9+1,1))-AVERAGE(OFFSET($H$3,0,0,'Données projet'!$E$9+1,1))</f>
        <v>327.25473597900725</v>
      </c>
      <c r="T74" s="62">
        <f t="shared" si="88"/>
        <v>211.5313580973322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0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0</v>
      </c>
      <c r="AC74" s="24">
        <f t="shared" si="57"/>
        <v>0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6.2</v>
      </c>
      <c r="AI74" s="14">
        <f>IF('Données projet'!$A$62&gt;35,AI73+AH74-AQ73,IF(A74&lt;'Données projet'!$A$62,$AF$205^A74,IF(A74='Données projet'!$A$62,'Données projet'!$B$62,AI73+AH74-AQ73)))</f>
        <v>227.19999999999996</v>
      </c>
      <c r="AJ74" s="14">
        <f>AI74*VLOOKUP('Données projet'!$B$10,Paramètres!$A$1:$I$89,3,0)*VLOOKUP('Données projet'!$B$10,Paramètres!$A$1:$I$89,5,0)</f>
        <v>230.38079999999997</v>
      </c>
      <c r="AK74" s="14">
        <f t="shared" si="89"/>
        <v>56.365011465139979</v>
      </c>
      <c r="AL74" s="22">
        <f t="shared" si="58"/>
        <v>499.41562163511867</v>
      </c>
      <c r="AM74" s="62">
        <f t="shared" si="59"/>
        <v>792.74895496845193</v>
      </c>
      <c r="AN74" s="62">
        <f ca="1">AVERAGE(OFFSET($AM$3,0,0,'Données projet'!$E$10+1,1))-AVERAGE(OFFSET($H$3,0,0,'Données projet'!$E$10+1,1))</f>
        <v>366.41072413829329</v>
      </c>
      <c r="AO74" s="62">
        <f t="shared" si="90"/>
        <v>234.41212418619125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0</v>
      </c>
      <c r="AV74" s="23">
        <f>EXP(-LN(2)/25)*AV73+(1-EXP(-LN(2)/25))/(LN(2)/25)*Calculateur!AQ74*Calculateur!AS74*VLOOKUP('Données projet'!$B$10,Paramètres!$A$1:$I$89,3,0)*0.475*44/12</f>
        <v>0</v>
      </c>
      <c r="AW74" s="23">
        <f>EXP(-LN(2)/2)*AW73+(1-EXP(-LN(2)/2))/(LN(2)/2)*AQ74*AT74*VLOOKUP('Données projet'!$B$10,Paramètres!$A$1:$I$89,3,0)*0.475*44/12</f>
        <v>0</v>
      </c>
      <c r="AX74" s="23">
        <f t="shared" si="60"/>
        <v>0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5.6843418860808015E-14</v>
      </c>
      <c r="BE74" s="14">
        <f>BD74*VLOOKUP('Données projet'!$B$11,Paramètres!$A$1:$I$89,3,0)*VLOOKUP('Données projet'!$B$11,Paramètres!$A$1:$I$89,5,0)</f>
        <v>2.6602720026858149E-14</v>
      </c>
      <c r="BF74" s="14">
        <f t="shared" si="91"/>
        <v>4.6624771586320878E-13</v>
      </c>
      <c r="BG74" s="22">
        <f t="shared" si="61"/>
        <v>8.583811758418665E-13</v>
      </c>
      <c r="BH74" s="62">
        <f t="shared" si="62"/>
        <v>293.33333333333417</v>
      </c>
      <c r="BI74" s="62">
        <f ca="1">AVERAGE(OFFSET($BH$3,0,0,'Données projet'!$E$11+1,1))-AVERAGE(OFFSET($H$3,0,0,'Données projet'!$E$11+1,1))</f>
        <v>152.72674713084456</v>
      </c>
      <c r="BJ74" s="62">
        <f t="shared" si="92"/>
        <v>203.90215120562164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6.823176491796711</v>
      </c>
      <c r="BQ74" s="23">
        <f>EXP(-LN(2)/25)*BQ73+(1-EXP(-LN(2)/25))/(LN(2)/25)*Calculateur!BL74*Calculateur!BN74*VLOOKUP('Données projet'!$B$11,Paramètres!$A$1:$I$89,3,0)*0.475*44/12</f>
        <v>0</v>
      </c>
      <c r="BR74" s="23">
        <f>EXP(-LN(2)/2)*BR73+(1-EXP(-LN(2)/2))/(LN(2)/2)*BL74*BO74*VLOOKUP('Données projet'!$B$11,Paramètres!$A$1:$I$89,3,0)*0.475*44/12</f>
        <v>1.0461818143746847E-5</v>
      </c>
      <c r="BS74" s="24">
        <f t="shared" si="63"/>
        <v>6.8231869536148544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3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20.103033599999971</v>
      </c>
      <c r="D75" s="12">
        <f t="shared" si="86"/>
        <v>6.5330203851479069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64.562056466456681</v>
      </c>
      <c r="H75" s="70">
        <f t="shared" si="56"/>
        <v>303.05779402413259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6.2</v>
      </c>
      <c r="N75" s="14">
        <f>IF('Données projet'!$A$36&gt;35,N74+M75-V74,IF(A75&lt;'Données projet'!$A$36,$K$205^A75,IF(A75='Données projet'!$A$36,'Données projet'!$B$36,N74+M75-V74)))</f>
        <v>233.39999999999995</v>
      </c>
      <c r="O75" s="14">
        <f>N75*VLOOKUP('Données projet'!$B$9,Paramètres!$A$1:$I$89,3,0)*VLOOKUP('Données projet'!$B$9,Paramètres!$A$1:$I$89,5,0)</f>
        <v>211.18031999999994</v>
      </c>
      <c r="P75" s="14">
        <f t="shared" si="87"/>
        <v>52.193431117443019</v>
      </c>
      <c r="Q75" s="22">
        <f t="shared" si="54"/>
        <v>458.70928319621316</v>
      </c>
      <c r="R75" s="62">
        <f t="shared" si="55"/>
        <v>752.04261652954642</v>
      </c>
      <c r="S75" s="62">
        <f ca="1">AVERAGE(OFFSET($R$3,0,0,'Données projet'!$E$9+1,1))-AVERAGE(OFFSET($H$3,0,0,'Données projet'!$E$9+1,1))</f>
        <v>327.25473597900725</v>
      </c>
      <c r="T75" s="62">
        <f t="shared" si="88"/>
        <v>211.5313580973322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0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0</v>
      </c>
      <c r="AC75" s="24">
        <f t="shared" si="57"/>
        <v>0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6.2</v>
      </c>
      <c r="AI75" s="14">
        <f>IF('Données projet'!$A$62&gt;35,AI74+AH75-AQ74,IF(A75&lt;'Données projet'!$A$62,$AF$205^A75,IF(A75='Données projet'!$A$62,'Données projet'!$B$62,AI74+AH75-AQ74)))</f>
        <v>233.39999999999995</v>
      </c>
      <c r="AJ75" s="14">
        <f>AI75*VLOOKUP('Données projet'!$B$10,Paramètres!$A$1:$I$89,3,0)*VLOOKUP('Données projet'!$B$10,Paramètres!$A$1:$I$89,5,0)</f>
        <v>236.66759999999996</v>
      </c>
      <c r="AK75" s="14">
        <f t="shared" si="89"/>
        <v>57.721965974560838</v>
      </c>
      <c r="AL75" s="22">
        <f t="shared" si="58"/>
        <v>512.72849407236004</v>
      </c>
      <c r="AM75" s="62">
        <f t="shared" si="59"/>
        <v>806.06182740569329</v>
      </c>
      <c r="AN75" s="62">
        <f ca="1">AVERAGE(OFFSET($AM$3,0,0,'Données projet'!$E$10+1,1))-AVERAGE(OFFSET($H$3,0,0,'Données projet'!$E$10+1,1))</f>
        <v>366.41072413829329</v>
      </c>
      <c r="AO75" s="62">
        <f t="shared" si="90"/>
        <v>234.41212418619125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0</v>
      </c>
      <c r="AV75" s="23">
        <f>EXP(-LN(2)/25)*AV74+(1-EXP(-LN(2)/25))/(LN(2)/25)*Calculateur!AQ75*Calculateur!AS75*VLOOKUP('Données projet'!$B$10,Paramètres!$A$1:$I$89,3,0)*0.475*44/12</f>
        <v>0</v>
      </c>
      <c r="AW75" s="23">
        <f>EXP(-LN(2)/2)*AW74+(1-EXP(-LN(2)/2))/(LN(2)/2)*AQ75*AT75*VLOOKUP('Données projet'!$B$10,Paramètres!$A$1:$I$89,3,0)*0.475*44/12</f>
        <v>0</v>
      </c>
      <c r="AX75" s="23">
        <f t="shared" si="60"/>
        <v>0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5.6843418860808015E-14</v>
      </c>
      <c r="BE75" s="14">
        <f>BD75*VLOOKUP('Données projet'!$B$11,Paramètres!$A$1:$I$89,3,0)*VLOOKUP('Données projet'!$B$11,Paramètres!$A$1:$I$89,5,0)</f>
        <v>2.6602720026858149E-14</v>
      </c>
      <c r="BF75" s="14">
        <f t="shared" si="91"/>
        <v>4.6624771586320878E-13</v>
      </c>
      <c r="BG75" s="22">
        <f t="shared" si="61"/>
        <v>8.583811758418665E-13</v>
      </c>
      <c r="BH75" s="62">
        <f t="shared" si="62"/>
        <v>293.33333333333417</v>
      </c>
      <c r="BI75" s="62">
        <f ca="1">AVERAGE(OFFSET($BH$3,0,0,'Données projet'!$E$11+1,1))-AVERAGE(OFFSET($H$3,0,0,'Données projet'!$E$11+1,1))</f>
        <v>152.72674713084456</v>
      </c>
      <c r="BJ75" s="62">
        <f t="shared" si="92"/>
        <v>203.90215120562164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6.6893781625193007</v>
      </c>
      <c r="BQ75" s="23">
        <f>EXP(-LN(2)/25)*BQ74+(1-EXP(-LN(2)/25))/(LN(2)/25)*Calculateur!BL75*Calculateur!BN75*VLOOKUP('Données projet'!$B$11,Paramètres!$A$1:$I$89,3,0)*0.475*44/12</f>
        <v>0</v>
      </c>
      <c r="BR75" s="23">
        <f>EXP(-LN(2)/2)*BR74+(1-EXP(-LN(2)/2))/(LN(2)/2)*BL75*BO75*VLOOKUP('Données projet'!$B$11,Paramètres!$A$1:$I$89,3,0)*0.475*44/12</f>
        <v>7.3976225529838556E-6</v>
      </c>
      <c r="BS75" s="24">
        <f t="shared" si="63"/>
        <v>6.6893855601418535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3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20.382242399999971</v>
      </c>
      <c r="D76" s="12">
        <f t="shared" si="86"/>
        <v>6.6131305877523392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65.432995298032623</v>
      </c>
      <c r="H76" s="70">
        <f t="shared" si="56"/>
        <v>303.68360795366863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6.2</v>
      </c>
      <c r="N76" s="14">
        <f>IF('Données projet'!$A$36&gt;35,N75+M76-V75,IF(A76&lt;'Données projet'!$A$36,$K$205^A76,IF(A76='Données projet'!$A$36,'Données projet'!$B$36,N75+M76-V75)))</f>
        <v>239.59999999999994</v>
      </c>
      <c r="O76" s="14">
        <f>N76*VLOOKUP('Données projet'!$B$9,Paramètres!$A$1:$I$89,3,0)*VLOOKUP('Données projet'!$B$9,Paramètres!$A$1:$I$89,5,0)</f>
        <v>216.79007999999996</v>
      </c>
      <c r="P76" s="14">
        <f t="shared" si="87"/>
        <v>53.416629794462551</v>
      </c>
      <c r="Q76" s="22">
        <f t="shared" si="54"/>
        <v>470.61001955868886</v>
      </c>
      <c r="R76" s="62">
        <f t="shared" si="55"/>
        <v>763.94335289202218</v>
      </c>
      <c r="S76" s="62">
        <f ca="1">AVERAGE(OFFSET($R$3,0,0,'Données projet'!$E$9+1,1))-AVERAGE(OFFSET($H$3,0,0,'Données projet'!$E$9+1,1))</f>
        <v>327.25473597900725</v>
      </c>
      <c r="T76" s="62">
        <f t="shared" si="88"/>
        <v>211.5313580973322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0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0</v>
      </c>
      <c r="AC76" s="24">
        <f t="shared" si="57"/>
        <v>0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6.2</v>
      </c>
      <c r="AI76" s="14">
        <f>IF('Données projet'!$A$62&gt;35,AI75+AH76-AQ75,IF(A76&lt;'Données projet'!$A$62,$AF$205^A76,IF(A76='Données projet'!$A$62,'Données projet'!$B$62,AI75+AH76-AQ75)))</f>
        <v>239.59999999999994</v>
      </c>
      <c r="AJ76" s="14">
        <f>AI76*VLOOKUP('Données projet'!$B$10,Paramètres!$A$1:$I$89,3,0)*VLOOKUP('Données projet'!$B$10,Paramètres!$A$1:$I$89,5,0)</f>
        <v>242.95439999999994</v>
      </c>
      <c r="AK76" s="14">
        <f t="shared" si="89"/>
        <v>59.074730698078945</v>
      </c>
      <c r="AL76" s="22">
        <f t="shared" si="58"/>
        <v>526.034069299154</v>
      </c>
      <c r="AM76" s="62">
        <f t="shared" si="59"/>
        <v>819.36740263248726</v>
      </c>
      <c r="AN76" s="62">
        <f ca="1">AVERAGE(OFFSET($AM$3,0,0,'Données projet'!$E$10+1,1))-AVERAGE(OFFSET($H$3,0,0,'Données projet'!$E$10+1,1))</f>
        <v>366.41072413829329</v>
      </c>
      <c r="AO76" s="62">
        <f t="shared" si="90"/>
        <v>234.41212418619125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0</v>
      </c>
      <c r="AV76" s="23">
        <f>EXP(-LN(2)/25)*AV75+(1-EXP(-LN(2)/25))/(LN(2)/25)*Calculateur!AQ76*Calculateur!AS76*VLOOKUP('Données projet'!$B$10,Paramètres!$A$1:$I$89,3,0)*0.475*44/12</f>
        <v>0</v>
      </c>
      <c r="AW76" s="23">
        <f>EXP(-LN(2)/2)*AW75+(1-EXP(-LN(2)/2))/(LN(2)/2)*AQ76*AT76*VLOOKUP('Données projet'!$B$10,Paramètres!$A$1:$I$89,3,0)*0.475*44/12</f>
        <v>0</v>
      </c>
      <c r="AX76" s="23">
        <f t="shared" si="60"/>
        <v>0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5.6843418860808015E-14</v>
      </c>
      <c r="BE76" s="14">
        <f>BD76*VLOOKUP('Données projet'!$B$11,Paramètres!$A$1:$I$89,3,0)*VLOOKUP('Données projet'!$B$11,Paramètres!$A$1:$I$89,5,0)</f>
        <v>2.6602720026858149E-14</v>
      </c>
      <c r="BF76" s="14">
        <f t="shared" si="91"/>
        <v>4.6624771586320878E-13</v>
      </c>
      <c r="BG76" s="22">
        <f t="shared" si="61"/>
        <v>8.583811758418665E-13</v>
      </c>
      <c r="BH76" s="62">
        <f t="shared" si="62"/>
        <v>293.33333333333417</v>
      </c>
      <c r="BI76" s="62">
        <f ca="1">AVERAGE(OFFSET($BH$3,0,0,'Données projet'!$E$11+1,1))-AVERAGE(OFFSET($H$3,0,0,'Données projet'!$E$11+1,1))</f>
        <v>152.72674713084456</v>
      </c>
      <c r="BJ76" s="62">
        <f t="shared" si="92"/>
        <v>203.90215120562164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6.5582035368700984</v>
      </c>
      <c r="BQ76" s="23">
        <f>EXP(-LN(2)/25)*BQ75+(1-EXP(-LN(2)/25))/(LN(2)/25)*Calculateur!BL76*Calculateur!BN76*VLOOKUP('Données projet'!$B$11,Paramètres!$A$1:$I$89,3,0)*0.475*44/12</f>
        <v>0</v>
      </c>
      <c r="BR76" s="23">
        <f>EXP(-LN(2)/2)*BR75+(1-EXP(-LN(2)/2))/(LN(2)/2)*BL76*BO76*VLOOKUP('Données projet'!$B$11,Paramètres!$A$1:$I$89,3,0)*0.475*44/12</f>
        <v>5.2309090718734245E-6</v>
      </c>
      <c r="BS76" s="24">
        <f t="shared" si="63"/>
        <v>6.5582087677791705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3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20.66145119999997</v>
      </c>
      <c r="D77" s="12">
        <f t="shared" si="86"/>
        <v>6.6931131505572852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66.303624748648957</v>
      </c>
      <c r="H77" s="70">
        <f t="shared" si="56"/>
        <v>304.30919957722057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6.2</v>
      </c>
      <c r="N77" s="14">
        <f>IF('Données projet'!$A$36&gt;35,N76+M77-V76,IF(A77&lt;'Données projet'!$A$36,$K$205^A77,IF(A77='Données projet'!$A$36,'Données projet'!$B$36,N76+M77-V76)))</f>
        <v>245.79999999999993</v>
      </c>
      <c r="O77" s="14">
        <f>N77*VLOOKUP('Données projet'!$B$9,Paramètres!$A$1:$I$89,3,0)*VLOOKUP('Données projet'!$B$9,Paramètres!$A$1:$I$89,5,0)</f>
        <v>222.3998399999999</v>
      </c>
      <c r="P77" s="14">
        <f t="shared" si="87"/>
        <v>54.636149281681448</v>
      </c>
      <c r="Q77" s="22">
        <f t="shared" si="54"/>
        <v>482.50434799892832</v>
      </c>
      <c r="R77" s="62">
        <f t="shared" si="55"/>
        <v>775.83768133226158</v>
      </c>
      <c r="S77" s="62">
        <f ca="1">AVERAGE(OFFSET($R$3,0,0,'Données projet'!$E$9+1,1))-AVERAGE(OFFSET($H$3,0,0,'Données projet'!$E$9+1,1))</f>
        <v>327.25473597900725</v>
      </c>
      <c r="T77" s="62">
        <f t="shared" si="88"/>
        <v>211.5313580973322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0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0</v>
      </c>
      <c r="AC77" s="24">
        <f t="shared" si="57"/>
        <v>0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6.2</v>
      </c>
      <c r="AI77" s="14">
        <f>IF('Données projet'!$A$62&gt;35,AI76+AH77-AQ76,IF(A77&lt;'Données projet'!$A$62,$AF$205^A77,IF(A77='Données projet'!$A$62,'Données projet'!$B$62,AI76+AH77-AQ76)))</f>
        <v>245.79999999999993</v>
      </c>
      <c r="AJ77" s="14">
        <f>AI77*VLOOKUP('Données projet'!$B$10,Paramètres!$A$1:$I$89,3,0)*VLOOKUP('Données projet'!$B$10,Paramètres!$A$1:$I$89,5,0)</f>
        <v>249.24119999999994</v>
      </c>
      <c r="AK77" s="14">
        <f t="shared" si="89"/>
        <v>60.42342651744692</v>
      </c>
      <c r="AL77" s="22">
        <f t="shared" si="58"/>
        <v>539.33255785121992</v>
      </c>
      <c r="AM77" s="62">
        <f t="shared" si="59"/>
        <v>832.66589118455317</v>
      </c>
      <c r="AN77" s="62">
        <f ca="1">AVERAGE(OFFSET($AM$3,0,0,'Données projet'!$E$10+1,1))-AVERAGE(OFFSET($H$3,0,0,'Données projet'!$E$10+1,1))</f>
        <v>366.41072413829329</v>
      </c>
      <c r="AO77" s="62">
        <f t="shared" si="90"/>
        <v>234.41212418619125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0</v>
      </c>
      <c r="AV77" s="23">
        <f>EXP(-LN(2)/25)*AV76+(1-EXP(-LN(2)/25))/(LN(2)/25)*Calculateur!AQ77*Calculateur!AS77*VLOOKUP('Données projet'!$B$10,Paramètres!$A$1:$I$89,3,0)*0.475*44/12</f>
        <v>0</v>
      </c>
      <c r="AW77" s="23">
        <f>EXP(-LN(2)/2)*AW76+(1-EXP(-LN(2)/2))/(LN(2)/2)*AQ77*AT77*VLOOKUP('Données projet'!$B$10,Paramètres!$A$1:$I$89,3,0)*0.475*44/12</f>
        <v>0</v>
      </c>
      <c r="AX77" s="23">
        <f t="shared" si="60"/>
        <v>0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5.6843418860808015E-14</v>
      </c>
      <c r="BE77" s="14">
        <f>BD77*VLOOKUP('Données projet'!$B$11,Paramètres!$A$1:$I$89,3,0)*VLOOKUP('Données projet'!$B$11,Paramètres!$A$1:$I$89,5,0)</f>
        <v>2.6602720026858149E-14</v>
      </c>
      <c r="BF77" s="14">
        <f t="shared" si="91"/>
        <v>4.6624771586320878E-13</v>
      </c>
      <c r="BG77" s="22">
        <f t="shared" si="61"/>
        <v>8.583811758418665E-13</v>
      </c>
      <c r="BH77" s="62">
        <f t="shared" si="62"/>
        <v>293.33333333333417</v>
      </c>
      <c r="BI77" s="62">
        <f ca="1">AVERAGE(OFFSET($BH$3,0,0,'Données projet'!$E$11+1,1))-AVERAGE(OFFSET($H$3,0,0,'Données projet'!$E$11+1,1))</f>
        <v>152.72674713084456</v>
      </c>
      <c r="BJ77" s="62">
        <f t="shared" si="92"/>
        <v>203.90215120562164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6.4296011656212553</v>
      </c>
      <c r="BQ77" s="23">
        <f>EXP(-LN(2)/25)*BQ76+(1-EXP(-LN(2)/25))/(LN(2)/25)*Calculateur!BL77*Calculateur!BN77*VLOOKUP('Données projet'!$B$11,Paramètres!$A$1:$I$89,3,0)*0.475*44/12</f>
        <v>0</v>
      </c>
      <c r="BR77" s="23">
        <f>EXP(-LN(2)/2)*BR76+(1-EXP(-LN(2)/2))/(LN(2)/2)*BL77*BO77*VLOOKUP('Données projet'!$B$11,Paramètres!$A$1:$I$89,3,0)*0.475*44/12</f>
        <v>3.6988112764919282E-6</v>
      </c>
      <c r="BS77" s="24">
        <f t="shared" si="63"/>
        <v>6.4296048644325321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3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20.940659999999969</v>
      </c>
      <c r="D78" s="12">
        <f t="shared" si="86"/>
        <v>6.7729699978030169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67.17394948239405</v>
      </c>
      <c r="H78" s="70">
        <f t="shared" si="56"/>
        <v>304.93457224617356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>
        <f>VLOOKUP(A78,'Données projet'!$A$35:$I$55,2,0)</f>
        <v>252</v>
      </c>
      <c r="L78" s="13">
        <f>VLOOKUP(A78,'Données projet'!$A$35:$I$55,9,0)</f>
        <v>6.2</v>
      </c>
      <c r="M78" s="13">
        <f t="array" ref="M78">INDEX(L:L,MIN(IF(ISNUMBER(L78:L274),ROW(L78:L274),"")))</f>
        <v>6.2</v>
      </c>
      <c r="N78" s="14">
        <f>IF('Données projet'!$A$36&gt;35,N77+M78-V77,IF(A78&lt;'Données projet'!$A$36,$K$205^A78,IF(A78='Données projet'!$A$36,'Données projet'!$B$36,N77+M78-V77)))</f>
        <v>251.99999999999991</v>
      </c>
      <c r="O78" s="14">
        <f>N78*VLOOKUP('Données projet'!$B$9,Paramètres!$A$1:$I$89,3,0)*VLOOKUP('Données projet'!$B$9,Paramètres!$A$1:$I$89,5,0)</f>
        <v>228.00959999999992</v>
      </c>
      <c r="P78" s="14">
        <f t="shared" si="87"/>
        <v>55.852093054619829</v>
      </c>
      <c r="Q78" s="22">
        <f t="shared" si="54"/>
        <v>494.3924487367961</v>
      </c>
      <c r="R78" s="62">
        <f t="shared" si="55"/>
        <v>787.72578207012941</v>
      </c>
      <c r="S78" s="62">
        <f ca="1">AVERAGE(OFFSET($R$3,0,0,'Données projet'!$E$9+1,1))-AVERAGE(OFFSET($H$3,0,0,'Données projet'!$E$9+1,1))</f>
        <v>327.25473597900725</v>
      </c>
      <c r="T78" s="62">
        <f t="shared" si="88"/>
        <v>211.5313580973322</v>
      </c>
      <c r="U78" s="16">
        <f>IF(ISNA(VLOOKUP(A78,'Données projet'!$A$35:$I$55,3,0)),0,VLOOKUP(A78,'Données projet'!$A$35:$I$55,3,0))</f>
        <v>12</v>
      </c>
      <c r="V78" s="16">
        <f>IF(ISNA(VLOOKUP(A78,'Données projet'!$A$35:$I$55,4,0)),0,VLOOKUP(A78,'Données projet'!$A$35:$I$55,4,0))</f>
        <v>21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0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0</v>
      </c>
      <c r="AC78" s="24">
        <f t="shared" si="57"/>
        <v>0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>
        <f>VLOOKUP(A78,'Données projet'!$A$61:$I$81,2,0)</f>
        <v>252</v>
      </c>
      <c r="AG78" s="13">
        <f>VLOOKUP(A78,'Données projet'!$A$61:$I$81,9,0)</f>
        <v>6.2</v>
      </c>
      <c r="AH78" s="13">
        <f t="array" ref="AH78">INDEX(AG:AG,MIN(IF(ISNUMBER(AG78:AG274),ROW(AG78:AG274),"")))</f>
        <v>6.2</v>
      </c>
      <c r="AI78" s="14">
        <f>IF('Données projet'!$A$62&gt;35,AI77+AH78-AQ77,IF(A78&lt;'Données projet'!$A$62,$AF$205^A78,IF(A78='Données projet'!$A$62,'Données projet'!$B$62,AI77+AH78-AQ77)))</f>
        <v>251.99999999999991</v>
      </c>
      <c r="AJ78" s="14">
        <f>AI78*VLOOKUP('Données projet'!$B$10,Paramètres!$A$1:$I$89,3,0)*VLOOKUP('Données projet'!$B$10,Paramètres!$A$1:$I$89,5,0)</f>
        <v>255.52799999999993</v>
      </c>
      <c r="AK78" s="14">
        <f t="shared" si="89"/>
        <v>61.768167868721477</v>
      </c>
      <c r="AL78" s="22">
        <f t="shared" si="58"/>
        <v>552.62415903802309</v>
      </c>
      <c r="AM78" s="62">
        <f t="shared" si="59"/>
        <v>845.95749237135647</v>
      </c>
      <c r="AN78" s="62">
        <f ca="1">AVERAGE(OFFSET($AM$3,0,0,'Données projet'!$E$10+1,1))-AVERAGE(OFFSET($H$3,0,0,'Données projet'!$E$10+1,1))</f>
        <v>366.41072413829329</v>
      </c>
      <c r="AO78" s="62">
        <f t="shared" si="90"/>
        <v>234.41212418619125</v>
      </c>
      <c r="AP78" s="16">
        <f>IF(ISNA(VLOOKUP(A78,'Données projet'!$A$61:$I$81,3,0)),0,VLOOKUP(A78,'Données projet'!$A$61:$I$81,3,0))</f>
        <v>12</v>
      </c>
      <c r="AQ78" s="16">
        <f>IF(ISNA(VLOOKUP(A78,'Données projet'!$A$61:$I$81,4,0)),0,VLOOKUP(A78,'Données projet'!$A$61:$I$81,4,0))</f>
        <v>21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0</v>
      </c>
      <c r="AV78" s="23">
        <f>EXP(-LN(2)/25)*AV77+(1-EXP(-LN(2)/25))/(LN(2)/25)*Calculateur!AQ78*Calculateur!AS78*VLOOKUP('Données projet'!$B$10,Paramètres!$A$1:$I$89,3,0)*0.475*44/12</f>
        <v>0</v>
      </c>
      <c r="AW78" s="23">
        <f>EXP(-LN(2)/2)*AW77+(1-EXP(-LN(2)/2))/(LN(2)/2)*AQ78*AT78*VLOOKUP('Données projet'!$B$10,Paramètres!$A$1:$I$89,3,0)*0.475*44/12</f>
        <v>0</v>
      </c>
      <c r="AX78" s="23">
        <f t="shared" si="60"/>
        <v>0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5.6843418860808015E-14</v>
      </c>
      <c r="BE78" s="14">
        <f>BD78*VLOOKUP('Données projet'!$B$11,Paramètres!$A$1:$I$89,3,0)*VLOOKUP('Données projet'!$B$11,Paramètres!$A$1:$I$89,5,0)</f>
        <v>2.6602720026858149E-14</v>
      </c>
      <c r="BF78" s="14">
        <f t="shared" si="91"/>
        <v>4.6624771586320878E-13</v>
      </c>
      <c r="BG78" s="22">
        <f t="shared" si="61"/>
        <v>8.583811758418665E-13</v>
      </c>
      <c r="BH78" s="62">
        <f t="shared" si="62"/>
        <v>293.33333333333417</v>
      </c>
      <c r="BI78" s="62">
        <f ca="1">AVERAGE(OFFSET($BH$3,0,0,'Données projet'!$E$11+1,1))-AVERAGE(OFFSET($H$3,0,0,'Données projet'!$E$11+1,1))</f>
        <v>152.72674713084456</v>
      </c>
      <c r="BJ78" s="62">
        <f t="shared" si="92"/>
        <v>203.90215120562164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6.3035206084329012</v>
      </c>
      <c r="BQ78" s="23">
        <f>EXP(-LN(2)/25)*BQ77+(1-EXP(-LN(2)/25))/(LN(2)/25)*Calculateur!BL78*Calculateur!BN78*VLOOKUP('Données projet'!$B$11,Paramètres!$A$1:$I$89,3,0)*0.475*44/12</f>
        <v>0</v>
      </c>
      <c r="BR78" s="23">
        <f>EXP(-LN(2)/2)*BR77+(1-EXP(-LN(2)/2))/(LN(2)/2)*BL78*BO78*VLOOKUP('Données projet'!$B$11,Paramètres!$A$1:$I$89,3,0)*0.475*44/12</f>
        <v>2.6154545359367127E-6</v>
      </c>
      <c r="BS78" s="24">
        <f t="shared" si="63"/>
        <v>6.3035232238874368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3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21.219868799999968</v>
      </c>
      <c r="D79" s="12">
        <f t="shared" si="86"/>
        <v>6.8527029994676196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68.04397403183232</v>
      </c>
      <c r="H79" s="70">
        <f t="shared" si="56"/>
        <v>305.55972921740607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6</v>
      </c>
      <c r="N79" s="14">
        <f>IF('Données projet'!$A$36&gt;35,N78+M79-V78,IF(A79&lt;'Données projet'!$A$36,$K$205^A79,IF(A79='Données projet'!$A$36,'Données projet'!$B$36,N78+M79-V78)))</f>
        <v>236.99999999999989</v>
      </c>
      <c r="O79" s="14">
        <f>N79*VLOOKUP('Données projet'!$B$9,Paramètres!$A$1:$I$89,3,0)*VLOOKUP('Données projet'!$B$9,Paramètres!$A$1:$I$89,5,0)</f>
        <v>214.43759999999989</v>
      </c>
      <c r="P79" s="14">
        <f t="shared" si="87"/>
        <v>52.904129603372375</v>
      </c>
      <c r="Q79" s="22">
        <f t="shared" si="54"/>
        <v>465.62017905920658</v>
      </c>
      <c r="R79" s="62">
        <f t="shared" si="55"/>
        <v>758.95351239253989</v>
      </c>
      <c r="S79" s="62">
        <f ca="1">AVERAGE(OFFSET($R$3,0,0,'Données projet'!$E$9+1,1))-AVERAGE(OFFSET($H$3,0,0,'Données projet'!$E$9+1,1))</f>
        <v>327.25473597900725</v>
      </c>
      <c r="T79" s="62">
        <f t="shared" si="88"/>
        <v>211.5313580973322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0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0</v>
      </c>
      <c r="AC79" s="24">
        <f t="shared" si="57"/>
        <v>0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6</v>
      </c>
      <c r="AI79" s="14">
        <f>IF('Données projet'!$A$62&gt;35,AI78+AH79-AQ78,IF(A79&lt;'Données projet'!$A$62,$AF$205^A79,IF(A79='Données projet'!$A$62,'Données projet'!$B$62,AI78+AH79-AQ78)))</f>
        <v>236.99999999999989</v>
      </c>
      <c r="AJ79" s="14">
        <f>AI79*VLOOKUP('Données projet'!$B$10,Paramètres!$A$1:$I$89,3,0)*VLOOKUP('Données projet'!$B$10,Paramètres!$A$1:$I$89,5,0)</f>
        <v>240.3179999999999</v>
      </c>
      <c r="AK79" s="14">
        <f t="shared" si="89"/>
        <v>58.507944457766484</v>
      </c>
      <c r="AL79" s="22">
        <f t="shared" si="58"/>
        <v>520.45518659727634</v>
      </c>
      <c r="AM79" s="62">
        <f t="shared" si="59"/>
        <v>813.78851993060971</v>
      </c>
      <c r="AN79" s="62">
        <f ca="1">AVERAGE(OFFSET($AM$3,0,0,'Données projet'!$E$10+1,1))-AVERAGE(OFFSET($H$3,0,0,'Données projet'!$E$10+1,1))</f>
        <v>366.41072413829329</v>
      </c>
      <c r="AO79" s="62">
        <f t="shared" si="90"/>
        <v>234.41212418619125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0</v>
      </c>
      <c r="AV79" s="23">
        <f>EXP(-LN(2)/25)*AV78+(1-EXP(-LN(2)/25))/(LN(2)/25)*Calculateur!AQ79*Calculateur!AS79*VLOOKUP('Données projet'!$B$10,Paramètres!$A$1:$I$89,3,0)*0.475*44/12</f>
        <v>0</v>
      </c>
      <c r="AW79" s="23">
        <f>EXP(-LN(2)/2)*AW78+(1-EXP(-LN(2)/2))/(LN(2)/2)*AQ79*AT79*VLOOKUP('Données projet'!$B$10,Paramètres!$A$1:$I$89,3,0)*0.475*44/12</f>
        <v>0</v>
      </c>
      <c r="AX79" s="23">
        <f t="shared" si="60"/>
        <v>0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5.6843418860808015E-14</v>
      </c>
      <c r="BE79" s="14">
        <f>BD79*VLOOKUP('Données projet'!$B$11,Paramètres!$A$1:$I$89,3,0)*VLOOKUP('Données projet'!$B$11,Paramètres!$A$1:$I$89,5,0)</f>
        <v>2.6602720026858149E-14</v>
      </c>
      <c r="BF79" s="14">
        <f t="shared" si="91"/>
        <v>4.6624771586320878E-13</v>
      </c>
      <c r="BG79" s="22">
        <f t="shared" si="61"/>
        <v>8.583811758418665E-13</v>
      </c>
      <c r="BH79" s="62">
        <f t="shared" si="62"/>
        <v>293.33333333333417</v>
      </c>
      <c r="BI79" s="62">
        <f ca="1">AVERAGE(OFFSET($BH$3,0,0,'Données projet'!$E$11+1,1))-AVERAGE(OFFSET($H$3,0,0,'Données projet'!$E$11+1,1))</f>
        <v>152.72674713084456</v>
      </c>
      <c r="BJ79" s="62">
        <f t="shared" si="92"/>
        <v>203.90215120562164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6.1799124140694639</v>
      </c>
      <c r="BQ79" s="23">
        <f>EXP(-LN(2)/25)*BQ78+(1-EXP(-LN(2)/25))/(LN(2)/25)*Calculateur!BL79*Calculateur!BN79*VLOOKUP('Données projet'!$B$11,Paramètres!$A$1:$I$89,3,0)*0.475*44/12</f>
        <v>0</v>
      </c>
      <c r="BR79" s="23">
        <f>EXP(-LN(2)/2)*BR78+(1-EXP(-LN(2)/2))/(LN(2)/2)*BL79*BO79*VLOOKUP('Données projet'!$B$11,Paramètres!$A$1:$I$89,3,0)*0.475*44/12</f>
        <v>1.8494056382459643E-6</v>
      </c>
      <c r="BS79" s="24">
        <f t="shared" si="63"/>
        <v>6.1799142634751023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3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21.499077599999968</v>
      </c>
      <c r="D80" s="12">
        <f t="shared" si="86"/>
        <v>6.9323139734906087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68.913702803394003</v>
      </c>
      <c r="H80" s="70">
        <f t="shared" si="56"/>
        <v>306.18467365716276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6</v>
      </c>
      <c r="N80" s="14">
        <f>IF('Données projet'!$A$36&gt;35,N79+M80-V79,IF(A80&lt;'Données projet'!$A$36,$K$205^A80,IF(A80='Données projet'!$A$36,'Données projet'!$B$36,N79+M80-V79)))</f>
        <v>242.99999999999989</v>
      </c>
      <c r="O80" s="14">
        <f>N80*VLOOKUP('Données projet'!$B$9,Paramètres!$A$1:$I$89,3,0)*VLOOKUP('Données projet'!$B$9,Paramètres!$A$1:$I$89,5,0)</f>
        <v>219.86639999999989</v>
      </c>
      <c r="P80" s="14">
        <f t="shared" si="87"/>
        <v>54.085847394182416</v>
      </c>
      <c r="Q80" s="22">
        <f t="shared" si="54"/>
        <v>477.13349754486745</v>
      </c>
      <c r="R80" s="62">
        <f t="shared" si="55"/>
        <v>770.46683087820077</v>
      </c>
      <c r="S80" s="62">
        <f ca="1">AVERAGE(OFFSET($R$3,0,0,'Données projet'!$E$9+1,1))-AVERAGE(OFFSET($H$3,0,0,'Données projet'!$E$9+1,1))</f>
        <v>327.25473597900725</v>
      </c>
      <c r="T80" s="62">
        <f t="shared" si="88"/>
        <v>211.5313580973322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0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0</v>
      </c>
      <c r="AC80" s="24">
        <f t="shared" si="57"/>
        <v>0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6</v>
      </c>
      <c r="AI80" s="14">
        <f>IF('Données projet'!$A$62&gt;35,AI79+AH80-AQ79,IF(A80&lt;'Données projet'!$A$62,$AF$205^A80,IF(A80='Données projet'!$A$62,'Données projet'!$B$62,AI79+AH80-AQ79)))</f>
        <v>242.99999999999989</v>
      </c>
      <c r="AJ80" s="14">
        <f>AI80*VLOOKUP('Données projet'!$B$10,Paramètres!$A$1:$I$89,3,0)*VLOOKUP('Données projet'!$B$10,Paramètres!$A$1:$I$89,5,0)</f>
        <v>246.4019999999999</v>
      </c>
      <c r="AK80" s="14">
        <f t="shared" si="89"/>
        <v>59.814834475385474</v>
      </c>
      <c r="AL80" s="22">
        <f t="shared" si="58"/>
        <v>533.32765337796286</v>
      </c>
      <c r="AM80" s="62">
        <f t="shared" si="59"/>
        <v>826.66098671129612</v>
      </c>
      <c r="AN80" s="62">
        <f ca="1">AVERAGE(OFFSET($AM$3,0,0,'Données projet'!$E$10+1,1))-AVERAGE(OFFSET($H$3,0,0,'Données projet'!$E$10+1,1))</f>
        <v>366.41072413829329</v>
      </c>
      <c r="AO80" s="62">
        <f t="shared" si="90"/>
        <v>234.41212418619125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0</v>
      </c>
      <c r="AV80" s="23">
        <f>EXP(-LN(2)/25)*AV79+(1-EXP(-LN(2)/25))/(LN(2)/25)*Calculateur!AQ80*Calculateur!AS80*VLOOKUP('Données projet'!$B$10,Paramètres!$A$1:$I$89,3,0)*0.475*44/12</f>
        <v>0</v>
      </c>
      <c r="AW80" s="23">
        <f>EXP(-LN(2)/2)*AW79+(1-EXP(-LN(2)/2))/(LN(2)/2)*AQ80*AT80*VLOOKUP('Données projet'!$B$10,Paramètres!$A$1:$I$89,3,0)*0.475*44/12</f>
        <v>0</v>
      </c>
      <c r="AX80" s="23">
        <f t="shared" si="60"/>
        <v>0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5.6843418860808015E-14</v>
      </c>
      <c r="BE80" s="14">
        <f>BD80*VLOOKUP('Données projet'!$B$11,Paramètres!$A$1:$I$89,3,0)*VLOOKUP('Données projet'!$B$11,Paramètres!$A$1:$I$89,5,0)</f>
        <v>2.6602720026858149E-14</v>
      </c>
      <c r="BF80" s="14">
        <f t="shared" si="91"/>
        <v>4.6624771586320878E-13</v>
      </c>
      <c r="BG80" s="22">
        <f t="shared" si="61"/>
        <v>8.583811758418665E-13</v>
      </c>
      <c r="BH80" s="62">
        <f t="shared" si="62"/>
        <v>293.33333333333417</v>
      </c>
      <c r="BI80" s="62">
        <f ca="1">AVERAGE(OFFSET($BH$3,0,0,'Données projet'!$E$11+1,1))-AVERAGE(OFFSET($H$3,0,0,'Données projet'!$E$11+1,1))</f>
        <v>152.72674713084456</v>
      </c>
      <c r="BJ80" s="62">
        <f t="shared" si="92"/>
        <v>203.90215120562164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6.0587281010039398</v>
      </c>
      <c r="BQ80" s="23">
        <f>EXP(-LN(2)/25)*BQ79+(1-EXP(-LN(2)/25))/(LN(2)/25)*Calculateur!BL80*Calculateur!BN80*VLOOKUP('Données projet'!$B$11,Paramètres!$A$1:$I$89,3,0)*0.475*44/12</f>
        <v>0</v>
      </c>
      <c r="BR80" s="23">
        <f>EXP(-LN(2)/2)*BR79+(1-EXP(-LN(2)/2))/(LN(2)/2)*BL80*BO80*VLOOKUP('Données projet'!$B$11,Paramètres!$A$1:$I$89,3,0)*0.475*44/12</f>
        <v>1.3077272679683566E-6</v>
      </c>
      <c r="BS80" s="24">
        <f t="shared" si="63"/>
        <v>6.0587294087312076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3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21.778286399999967</v>
      </c>
      <c r="D81" s="12">
        <f t="shared" si="86"/>
        <v>7.0118046878776816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69.783140082476777</v>
      </c>
      <c r="H81" s="70">
        <f t="shared" si="56"/>
        <v>306.80940864472024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6</v>
      </c>
      <c r="N81" s="14">
        <f>IF('Données projet'!$A$36&gt;35,N80+M81-V80,IF(A81&lt;'Données projet'!$A$36,$K$205^A81,IF(A81='Données projet'!$A$36,'Données projet'!$B$36,N80+M81-V80)))</f>
        <v>248.99999999999989</v>
      </c>
      <c r="O81" s="14">
        <f>N81*VLOOKUP('Données projet'!$B$9,Paramètres!$A$1:$I$89,3,0)*VLOOKUP('Données projet'!$B$9,Paramètres!$A$1:$I$89,5,0)</f>
        <v>225.29519999999991</v>
      </c>
      <c r="P81" s="14">
        <f t="shared" si="87"/>
        <v>55.264173352293078</v>
      </c>
      <c r="Q81" s="22">
        <f t="shared" si="54"/>
        <v>488.64090858857691</v>
      </c>
      <c r="R81" s="62">
        <f t="shared" si="55"/>
        <v>781.97424192191022</v>
      </c>
      <c r="S81" s="62">
        <f ca="1">AVERAGE(OFFSET($R$3,0,0,'Données projet'!$E$9+1,1))-AVERAGE(OFFSET($H$3,0,0,'Données projet'!$E$9+1,1))</f>
        <v>327.25473597900725</v>
      </c>
      <c r="T81" s="62">
        <f t="shared" si="88"/>
        <v>211.5313580973322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0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0</v>
      </c>
      <c r="AC81" s="24">
        <f t="shared" si="57"/>
        <v>0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6</v>
      </c>
      <c r="AI81" s="14">
        <f>IF('Données projet'!$A$62&gt;35,AI80+AH81-AQ80,IF(A81&lt;'Données projet'!$A$62,$AF$205^A81,IF(A81='Données projet'!$A$62,'Données projet'!$B$62,AI80+AH81-AQ80)))</f>
        <v>248.99999999999989</v>
      </c>
      <c r="AJ81" s="14">
        <f>AI81*VLOOKUP('Données projet'!$B$10,Paramètres!$A$1:$I$89,3,0)*VLOOKUP('Données projet'!$B$10,Paramètres!$A$1:$I$89,5,0)</f>
        <v>252.4859999999999</v>
      </c>
      <c r="AK81" s="14">
        <f t="shared" si="89"/>
        <v>61.117973383957384</v>
      </c>
      <c r="AL81" s="22">
        <f t="shared" si="58"/>
        <v>546.193586977059</v>
      </c>
      <c r="AM81" s="62">
        <f t="shared" si="59"/>
        <v>839.52692031039237</v>
      </c>
      <c r="AN81" s="62">
        <f ca="1">AVERAGE(OFFSET($AM$3,0,0,'Données projet'!$E$10+1,1))-AVERAGE(OFFSET($H$3,0,0,'Données projet'!$E$10+1,1))</f>
        <v>366.41072413829329</v>
      </c>
      <c r="AO81" s="62">
        <f t="shared" si="90"/>
        <v>234.41212418619125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0</v>
      </c>
      <c r="AV81" s="23">
        <f>EXP(-LN(2)/25)*AV80+(1-EXP(-LN(2)/25))/(LN(2)/25)*Calculateur!AQ81*Calculateur!AS81*VLOOKUP('Données projet'!$B$10,Paramètres!$A$1:$I$89,3,0)*0.475*44/12</f>
        <v>0</v>
      </c>
      <c r="AW81" s="23">
        <f>EXP(-LN(2)/2)*AW80+(1-EXP(-LN(2)/2))/(LN(2)/2)*AQ81*AT81*VLOOKUP('Données projet'!$B$10,Paramètres!$A$1:$I$89,3,0)*0.475*44/12</f>
        <v>0</v>
      </c>
      <c r="AX81" s="23">
        <f t="shared" si="60"/>
        <v>0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5.6843418860808015E-14</v>
      </c>
      <c r="BE81" s="14">
        <f>BD81*VLOOKUP('Données projet'!$B$11,Paramètres!$A$1:$I$89,3,0)*VLOOKUP('Données projet'!$B$11,Paramètres!$A$1:$I$89,5,0)</f>
        <v>2.6602720026858149E-14</v>
      </c>
      <c r="BF81" s="14">
        <f t="shared" si="91"/>
        <v>4.6624771586320878E-13</v>
      </c>
      <c r="BG81" s="22">
        <f t="shared" si="61"/>
        <v>8.583811758418665E-13</v>
      </c>
      <c r="BH81" s="62">
        <f t="shared" si="62"/>
        <v>293.33333333333417</v>
      </c>
      <c r="BI81" s="62">
        <f ca="1">AVERAGE(OFFSET($BH$3,0,0,'Données projet'!$E$11+1,1))-AVERAGE(OFFSET($H$3,0,0,'Données projet'!$E$11+1,1))</f>
        <v>152.72674713084456</v>
      </c>
      <c r="BJ81" s="62">
        <f t="shared" si="92"/>
        <v>203.90215120562164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5.9399201384024982</v>
      </c>
      <c r="BQ81" s="23">
        <f>EXP(-LN(2)/25)*BQ80+(1-EXP(-LN(2)/25))/(LN(2)/25)*Calculateur!BL81*Calculateur!BN81*VLOOKUP('Données projet'!$B$11,Paramètres!$A$1:$I$89,3,0)*0.475*44/12</f>
        <v>0</v>
      </c>
      <c r="BR81" s="23">
        <f>EXP(-LN(2)/2)*BR80+(1-EXP(-LN(2)/2))/(LN(2)/2)*BL81*BO81*VLOOKUP('Données projet'!$B$11,Paramètres!$A$1:$I$89,3,0)*0.475*44/12</f>
        <v>9.2470281912298238E-7</v>
      </c>
      <c r="BS81" s="24">
        <f t="shared" si="63"/>
        <v>5.9399210631053174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3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22.057495199999966</v>
      </c>
      <c r="D82" s="12">
        <f t="shared" si="86"/>
        <v>7.0911768626945344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70.65229003827848</v>
      </c>
      <c r="H82" s="70">
        <f t="shared" si="56"/>
        <v>307.43393717585963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6</v>
      </c>
      <c r="N82" s="14">
        <f>IF('Données projet'!$A$36&gt;35,N81+M82-V81,IF(A82&lt;'Données projet'!$A$36,$K$205^A82,IF(A82='Données projet'!$A$36,'Données projet'!$B$36,N81+M82-V81)))</f>
        <v>254.99999999999989</v>
      </c>
      <c r="O82" s="14">
        <f>N82*VLOOKUP('Données projet'!$B$9,Paramètres!$A$1:$I$89,3,0)*VLOOKUP('Données projet'!$B$9,Paramètres!$A$1:$I$89,5,0)</f>
        <v>230.72399999999988</v>
      </c>
      <c r="P82" s="14">
        <f t="shared" si="87"/>
        <v>56.439198612082045</v>
      </c>
      <c r="Q82" s="22">
        <f t="shared" si="54"/>
        <v>500.14257091604264</v>
      </c>
      <c r="R82" s="62">
        <f t="shared" si="55"/>
        <v>793.47590424937596</v>
      </c>
      <c r="S82" s="62">
        <f ca="1">AVERAGE(OFFSET($R$3,0,0,'Données projet'!$E$9+1,1))-AVERAGE(OFFSET($H$3,0,0,'Données projet'!$E$9+1,1))</f>
        <v>327.25473597900725</v>
      </c>
      <c r="T82" s="62">
        <f t="shared" si="88"/>
        <v>211.5313580973322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0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0</v>
      </c>
      <c r="AC82" s="24">
        <f t="shared" si="57"/>
        <v>0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6</v>
      </c>
      <c r="AI82" s="14">
        <f>IF('Données projet'!$A$62&gt;35,AI81+AH82-AQ81,IF(A82&lt;'Données projet'!$A$62,$AF$205^A82,IF(A82='Données projet'!$A$62,'Données projet'!$B$62,AI81+AH82-AQ81)))</f>
        <v>254.99999999999989</v>
      </c>
      <c r="AJ82" s="14">
        <f>AI82*VLOOKUP('Données projet'!$B$10,Paramètres!$A$1:$I$89,3,0)*VLOOKUP('Données projet'!$B$10,Paramètres!$A$1:$I$89,5,0)</f>
        <v>258.56999999999994</v>
      </c>
      <c r="AK82" s="14">
        <f t="shared" si="89"/>
        <v>62.417461971173843</v>
      </c>
      <c r="AL82" s="22">
        <f t="shared" si="58"/>
        <v>559.05316293312762</v>
      </c>
      <c r="AM82" s="62">
        <f t="shared" si="59"/>
        <v>852.38649626646088</v>
      </c>
      <c r="AN82" s="62">
        <f ca="1">AVERAGE(OFFSET($AM$3,0,0,'Données projet'!$E$10+1,1))-AVERAGE(OFFSET($H$3,0,0,'Données projet'!$E$10+1,1))</f>
        <v>366.41072413829329</v>
      </c>
      <c r="AO82" s="62">
        <f t="shared" si="90"/>
        <v>234.41212418619125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0</v>
      </c>
      <c r="AV82" s="23">
        <f>EXP(-LN(2)/25)*AV81+(1-EXP(-LN(2)/25))/(LN(2)/25)*Calculateur!AQ82*Calculateur!AS82*VLOOKUP('Données projet'!$B$10,Paramètres!$A$1:$I$89,3,0)*0.475*44/12</f>
        <v>0</v>
      </c>
      <c r="AW82" s="23">
        <f>EXP(-LN(2)/2)*AW81+(1-EXP(-LN(2)/2))/(LN(2)/2)*AQ82*AT82*VLOOKUP('Données projet'!$B$10,Paramètres!$A$1:$I$89,3,0)*0.475*44/12</f>
        <v>0</v>
      </c>
      <c r="AX82" s="23">
        <f t="shared" si="60"/>
        <v>0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5.6843418860808015E-14</v>
      </c>
      <c r="BE82" s="14">
        <f>BD82*VLOOKUP('Données projet'!$B$11,Paramètres!$A$1:$I$89,3,0)*VLOOKUP('Données projet'!$B$11,Paramètres!$A$1:$I$89,5,0)</f>
        <v>2.6602720026858149E-14</v>
      </c>
      <c r="BF82" s="14">
        <f t="shared" si="91"/>
        <v>4.6624771586320878E-13</v>
      </c>
      <c r="BG82" s="22">
        <f t="shared" si="61"/>
        <v>8.583811758418665E-13</v>
      </c>
      <c r="BH82" s="62">
        <f t="shared" si="62"/>
        <v>293.33333333333417</v>
      </c>
      <c r="BI82" s="62">
        <f ca="1">AVERAGE(OFFSET($BH$3,0,0,'Données projet'!$E$11+1,1))-AVERAGE(OFFSET($H$3,0,0,'Données projet'!$E$11+1,1))</f>
        <v>152.72674713084456</v>
      </c>
      <c r="BJ82" s="62">
        <f t="shared" si="92"/>
        <v>203.90215120562164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5.8234419274819684</v>
      </c>
      <c r="BQ82" s="23">
        <f>EXP(-LN(2)/25)*BQ81+(1-EXP(-LN(2)/25))/(LN(2)/25)*Calculateur!BL82*Calculateur!BN82*VLOOKUP('Données projet'!$B$11,Paramètres!$A$1:$I$89,3,0)*0.475*44/12</f>
        <v>0</v>
      </c>
      <c r="BR82" s="23">
        <f>EXP(-LN(2)/2)*BR81+(1-EXP(-LN(2)/2))/(LN(2)/2)*BL82*BO82*VLOOKUP('Données projet'!$B$11,Paramètres!$A$1:$I$89,3,0)*0.475*44/12</f>
        <v>6.5386363398417838E-7</v>
      </c>
      <c r="BS82" s="24">
        <f t="shared" si="63"/>
        <v>5.8234425813456028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3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22.336703999999965</v>
      </c>
      <c r="D83" s="12">
        <f t="shared" si="86"/>
        <v>7.1704321719567741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71.52115672837796</v>
      </c>
      <c r="H83" s="70">
        <f t="shared" si="56"/>
        <v>308.05826216615799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>
        <f>VLOOKUP(A83,'Données projet'!$A$35:$I$55,2,0)</f>
        <v>261</v>
      </c>
      <c r="L83" s="13">
        <f>VLOOKUP(A83,'Données projet'!$A$35:$I$55,9,0)</f>
        <v>6</v>
      </c>
      <c r="M83" s="13">
        <f t="array" ref="M83">INDEX(L:L,MIN(IF(ISNUMBER(L83:L279),ROW(L83:L279),"")))</f>
        <v>6</v>
      </c>
      <c r="N83" s="14">
        <f>IF('Données projet'!$A$36&gt;35,N82+M83-V82,IF(A83&lt;'Données projet'!$A$36,$K$205^A83,IF(A83='Données projet'!$A$36,'Données projet'!$B$36,N82+M83-V82)))</f>
        <v>260.99999999999989</v>
      </c>
      <c r="O83" s="14">
        <f>N83*VLOOKUP('Données projet'!$B$9,Paramètres!$A$1:$I$89,3,0)*VLOOKUP('Données projet'!$B$9,Paramètres!$A$1:$I$89,5,0)</f>
        <v>236.15279999999987</v>
      </c>
      <c r="P83" s="14">
        <f t="shared" si="87"/>
        <v>57.61100977459931</v>
      </c>
      <c r="Q83" s="22">
        <f t="shared" si="54"/>
        <v>511.63863535742689</v>
      </c>
      <c r="R83" s="62">
        <f t="shared" si="55"/>
        <v>804.97196869076015</v>
      </c>
      <c r="S83" s="62">
        <f ca="1">AVERAGE(OFFSET($R$3,0,0,'Données projet'!$E$9+1,1))-AVERAGE(OFFSET($H$3,0,0,'Données projet'!$E$9+1,1))</f>
        <v>327.25473597900725</v>
      </c>
      <c r="T83" s="62">
        <f t="shared" si="88"/>
        <v>211.5313580973322</v>
      </c>
      <c r="U83" s="16">
        <f>IF(ISNA(VLOOKUP(A83,'Données projet'!$A$35:$I$55,3,0)),0,VLOOKUP(A83,'Données projet'!$A$35:$I$55,3,0))</f>
        <v>13</v>
      </c>
      <c r="V83" s="16">
        <f>IF(ISNA(VLOOKUP(A83,'Données projet'!$A$35:$I$55,4,0)),0,VLOOKUP(A83,'Données projet'!$A$35:$I$55,4,0))</f>
        <v>21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0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0</v>
      </c>
      <c r="AC83" s="24">
        <f t="shared" si="57"/>
        <v>0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>
        <f>VLOOKUP(A83,'Données projet'!$A$61:$I$81,2,0)</f>
        <v>261</v>
      </c>
      <c r="AG83" s="13">
        <f>VLOOKUP(A83,'Données projet'!$A$61:$I$81,9,0)</f>
        <v>6</v>
      </c>
      <c r="AH83" s="13">
        <f t="array" ref="AH83">INDEX(AG:AG,MIN(IF(ISNUMBER(AG83:AG279),ROW(AG83:AG279),"")))</f>
        <v>6</v>
      </c>
      <c r="AI83" s="14">
        <f>IF('Données projet'!$A$62&gt;35,AI82+AH83-AQ82,IF(A83&lt;'Données projet'!$A$62,$AF$205^A83,IF(A83='Données projet'!$A$62,'Données projet'!$B$62,AI82+AH83-AQ82)))</f>
        <v>260.99999999999989</v>
      </c>
      <c r="AJ83" s="14">
        <f>AI83*VLOOKUP('Données projet'!$B$10,Paramètres!$A$1:$I$89,3,0)*VLOOKUP('Données projet'!$B$10,Paramètres!$A$1:$I$89,5,0)</f>
        <v>264.65399999999988</v>
      </c>
      <c r="AK83" s="14">
        <f t="shared" si="89"/>
        <v>63.71339601121106</v>
      </c>
      <c r="AL83" s="22">
        <f t="shared" si="58"/>
        <v>571.90654805285897</v>
      </c>
      <c r="AM83" s="62">
        <f t="shared" si="59"/>
        <v>865.23988138619234</v>
      </c>
      <c r="AN83" s="62">
        <f ca="1">AVERAGE(OFFSET($AM$3,0,0,'Données projet'!$E$10+1,1))-AVERAGE(OFFSET($H$3,0,0,'Données projet'!$E$10+1,1))</f>
        <v>366.41072413829329</v>
      </c>
      <c r="AO83" s="62">
        <f t="shared" si="90"/>
        <v>234.41212418619125</v>
      </c>
      <c r="AP83" s="16">
        <f>IF(ISNA(VLOOKUP(A83,'Données projet'!$A$61:$I$81,3,0)),0,VLOOKUP(A83,'Données projet'!$A$61:$I$81,3,0))</f>
        <v>13</v>
      </c>
      <c r="AQ83" s="16">
        <f>IF(ISNA(VLOOKUP(A83,'Données projet'!$A$61:$I$81,4,0)),0,VLOOKUP(A83,'Données projet'!$A$61:$I$81,4,0))</f>
        <v>21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0</v>
      </c>
      <c r="AV83" s="23">
        <f>EXP(-LN(2)/25)*AV82+(1-EXP(-LN(2)/25))/(LN(2)/25)*Calculateur!AQ83*Calculateur!AS83*VLOOKUP('Données projet'!$B$10,Paramètres!$A$1:$I$89,3,0)*0.475*44/12</f>
        <v>0</v>
      </c>
      <c r="AW83" s="23">
        <f>EXP(-LN(2)/2)*AW82+(1-EXP(-LN(2)/2))/(LN(2)/2)*AQ83*AT83*VLOOKUP('Données projet'!$B$10,Paramètres!$A$1:$I$89,3,0)*0.475*44/12</f>
        <v>0</v>
      </c>
      <c r="AX83" s="23">
        <f t="shared" si="60"/>
        <v>0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5.6843418860808015E-14</v>
      </c>
      <c r="BE83" s="14">
        <f>BD83*VLOOKUP('Données projet'!$B$11,Paramètres!$A$1:$I$89,3,0)*VLOOKUP('Données projet'!$B$11,Paramètres!$A$1:$I$89,5,0)</f>
        <v>2.6602720026858149E-14</v>
      </c>
      <c r="BF83" s="14">
        <f t="shared" si="91"/>
        <v>4.6624771586320878E-13</v>
      </c>
      <c r="BG83" s="22">
        <f t="shared" si="61"/>
        <v>8.583811758418665E-13</v>
      </c>
      <c r="BH83" s="62">
        <f t="shared" si="62"/>
        <v>293.33333333333417</v>
      </c>
      <c r="BI83" s="62">
        <f ca="1">AVERAGE(OFFSET($BH$3,0,0,'Données projet'!$E$11+1,1))-AVERAGE(OFFSET($H$3,0,0,'Données projet'!$E$11+1,1))</f>
        <v>152.72674713084456</v>
      </c>
      <c r="BJ83" s="62">
        <f t="shared" si="92"/>
        <v>203.90215120562164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5.7092477832328967</v>
      </c>
      <c r="BQ83" s="23">
        <f>EXP(-LN(2)/25)*BQ82+(1-EXP(-LN(2)/25))/(LN(2)/25)*Calculateur!BL83*Calculateur!BN83*VLOOKUP('Données projet'!$B$11,Paramètres!$A$1:$I$89,3,0)*0.475*44/12</f>
        <v>0</v>
      </c>
      <c r="BR83" s="23">
        <f>EXP(-LN(2)/2)*BR82+(1-EXP(-LN(2)/2))/(LN(2)/2)*BL83*BO83*VLOOKUP('Données projet'!$B$11,Paramètres!$A$1:$I$89,3,0)*0.475*44/12</f>
        <v>4.6235140956149124E-7</v>
      </c>
      <c r="BS83" s="24">
        <f t="shared" si="63"/>
        <v>5.7092482455843063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3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22.615912799999965</v>
      </c>
      <c r="D84" s="12">
        <f t="shared" si="86"/>
        <v>7.2495722454227032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72.389744103080616</v>
      </c>
      <c r="H84" s="70">
        <f t="shared" si="56"/>
        <v>308.68238645411117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5.8</v>
      </c>
      <c r="N84" s="14">
        <f>IF('Données projet'!$A$36&gt;35,N83+M84-V83,IF(A84&lt;'Données projet'!$A$36,$K$205^A84,IF(A84='Données projet'!$A$36,'Données projet'!$B$36,N83+M84-V83)))</f>
        <v>245.7999999999999</v>
      </c>
      <c r="O84" s="14">
        <f>N84*VLOOKUP('Données projet'!$B$9,Paramètres!$A$1:$I$89,3,0)*VLOOKUP('Données projet'!$B$9,Paramètres!$A$1:$I$89,5,0)</f>
        <v>222.3998399999999</v>
      </c>
      <c r="P84" s="14">
        <f t="shared" si="87"/>
        <v>54.636149281681448</v>
      </c>
      <c r="Q84" s="22">
        <f t="shared" si="54"/>
        <v>482.50434799892832</v>
      </c>
      <c r="R84" s="62">
        <f t="shared" si="55"/>
        <v>775.83768133226158</v>
      </c>
      <c r="S84" s="62">
        <f ca="1">AVERAGE(OFFSET($R$3,0,0,'Données projet'!$E$9+1,1))-AVERAGE(OFFSET($H$3,0,0,'Données projet'!$E$9+1,1))</f>
        <v>327.25473597900725</v>
      </c>
      <c r="T84" s="62">
        <f t="shared" si="88"/>
        <v>211.5313580973322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0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0</v>
      </c>
      <c r="AC84" s="24">
        <f t="shared" si="57"/>
        <v>0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5.8</v>
      </c>
      <c r="AI84" s="14">
        <f>IF('Données projet'!$A$62&gt;35,AI83+AH84-AQ83,IF(A84&lt;'Données projet'!$A$62,$AF$205^A84,IF(A84='Données projet'!$A$62,'Données projet'!$B$62,AI83+AH84-AQ83)))</f>
        <v>245.7999999999999</v>
      </c>
      <c r="AJ84" s="14">
        <f>AI84*VLOOKUP('Données projet'!$B$10,Paramètres!$A$1:$I$89,3,0)*VLOOKUP('Données projet'!$B$10,Paramètres!$A$1:$I$89,5,0)</f>
        <v>249.24119999999988</v>
      </c>
      <c r="AK84" s="14">
        <f t="shared" si="89"/>
        <v>60.42342651744687</v>
      </c>
      <c r="AL84" s="22">
        <f t="shared" si="58"/>
        <v>539.3325578512198</v>
      </c>
      <c r="AM84" s="62">
        <f t="shared" si="59"/>
        <v>832.66589118455317</v>
      </c>
      <c r="AN84" s="62">
        <f ca="1">AVERAGE(OFFSET($AM$3,0,0,'Données projet'!$E$10+1,1))-AVERAGE(OFFSET($H$3,0,0,'Données projet'!$E$10+1,1))</f>
        <v>366.41072413829329</v>
      </c>
      <c r="AO84" s="62">
        <f t="shared" si="90"/>
        <v>234.41212418619125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0</v>
      </c>
      <c r="AV84" s="23">
        <f>EXP(-LN(2)/25)*AV83+(1-EXP(-LN(2)/25))/(LN(2)/25)*Calculateur!AQ84*Calculateur!AS84*VLOOKUP('Données projet'!$B$10,Paramètres!$A$1:$I$89,3,0)*0.475*44/12</f>
        <v>0</v>
      </c>
      <c r="AW84" s="23">
        <f>EXP(-LN(2)/2)*AW83+(1-EXP(-LN(2)/2))/(LN(2)/2)*AQ84*AT84*VLOOKUP('Données projet'!$B$10,Paramètres!$A$1:$I$89,3,0)*0.475*44/12</f>
        <v>0</v>
      </c>
      <c r="AX84" s="23">
        <f t="shared" si="60"/>
        <v>0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5.6843418860808015E-14</v>
      </c>
      <c r="BE84" s="14">
        <f>BD84*VLOOKUP('Données projet'!$B$11,Paramètres!$A$1:$I$89,3,0)*VLOOKUP('Données projet'!$B$11,Paramètres!$A$1:$I$89,5,0)</f>
        <v>2.6602720026858149E-14</v>
      </c>
      <c r="BF84" s="14">
        <f t="shared" si="91"/>
        <v>4.6624771586320878E-13</v>
      </c>
      <c r="BG84" s="22">
        <f t="shared" si="61"/>
        <v>8.583811758418665E-13</v>
      </c>
      <c r="BH84" s="62">
        <f t="shared" si="62"/>
        <v>293.33333333333417</v>
      </c>
      <c r="BI84" s="62">
        <f ca="1">AVERAGE(OFFSET($BH$3,0,0,'Données projet'!$E$11+1,1))-AVERAGE(OFFSET($H$3,0,0,'Données projet'!$E$11+1,1))</f>
        <v>152.72674713084456</v>
      </c>
      <c r="BJ84" s="62">
        <f t="shared" si="92"/>
        <v>203.90215120562164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5.597292916500999</v>
      </c>
      <c r="BQ84" s="23">
        <f>EXP(-LN(2)/25)*BQ83+(1-EXP(-LN(2)/25))/(LN(2)/25)*Calculateur!BL84*Calculateur!BN84*VLOOKUP('Données projet'!$B$11,Paramètres!$A$1:$I$89,3,0)*0.475*44/12</f>
        <v>0</v>
      </c>
      <c r="BR84" s="23">
        <f>EXP(-LN(2)/2)*BR83+(1-EXP(-LN(2)/2))/(LN(2)/2)*BL84*BO84*VLOOKUP('Données projet'!$B$11,Paramètres!$A$1:$I$89,3,0)*0.475*44/12</f>
        <v>3.2693181699208925E-7</v>
      </c>
      <c r="BS84" s="24">
        <f t="shared" si="63"/>
        <v>5.5972932434328158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3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22.895121599999964</v>
      </c>
      <c r="D85" s="12">
        <f t="shared" si="86"/>
        <v>7.3285986702950199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73.258056009543068</v>
      </c>
      <c r="H85" s="70">
        <f t="shared" si="56"/>
        <v>309.3063128040971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5.8</v>
      </c>
      <c r="N85" s="14">
        <f>IF('Données projet'!$A$36&gt;35,N84+M85-V84,IF(A85&lt;'Données projet'!$A$36,$K$205^A85,IF(A85='Données projet'!$A$36,'Données projet'!$B$36,N84+M85-V84)))</f>
        <v>251.59999999999991</v>
      </c>
      <c r="O85" s="14">
        <f>N85*VLOOKUP('Données projet'!$B$9,Paramètres!$A$1:$I$89,3,0)*VLOOKUP('Données projet'!$B$9,Paramètres!$A$1:$I$89,5,0)</f>
        <v>227.64767999999992</v>
      </c>
      <c r="P85" s="14">
        <f t="shared" si="87"/>
        <v>55.773751036838313</v>
      </c>
      <c r="Q85" s="22">
        <f t="shared" si="54"/>
        <v>493.62565905582659</v>
      </c>
      <c r="R85" s="62">
        <f t="shared" si="55"/>
        <v>786.9589923891599</v>
      </c>
      <c r="S85" s="62">
        <f ca="1">AVERAGE(OFFSET($R$3,0,0,'Données projet'!$E$9+1,1))-AVERAGE(OFFSET($H$3,0,0,'Données projet'!$E$9+1,1))</f>
        <v>327.25473597900725</v>
      </c>
      <c r="T85" s="62">
        <f t="shared" si="88"/>
        <v>211.5313580973322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0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0</v>
      </c>
      <c r="AC85" s="24">
        <f t="shared" si="57"/>
        <v>0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5.8</v>
      </c>
      <c r="AI85" s="14">
        <f>IF('Données projet'!$A$62&gt;35,AI84+AH85-AQ84,IF(A85&lt;'Données projet'!$A$62,$AF$205^A85,IF(A85='Données projet'!$A$62,'Données projet'!$B$62,AI84+AH85-AQ84)))</f>
        <v>251.59999999999991</v>
      </c>
      <c r="AJ85" s="14">
        <f>AI85*VLOOKUP('Données projet'!$B$10,Paramètres!$A$1:$I$89,3,0)*VLOOKUP('Données projet'!$B$10,Paramètres!$A$1:$I$89,5,0)</f>
        <v>255.12239999999991</v>
      </c>
      <c r="AK85" s="14">
        <f t="shared" si="89"/>
        <v>61.681527554261443</v>
      </c>
      <c r="AL85" s="22">
        <f t="shared" si="58"/>
        <v>551.7668404903385</v>
      </c>
      <c r="AM85" s="62">
        <f t="shared" si="59"/>
        <v>845.10017382367187</v>
      </c>
      <c r="AN85" s="62">
        <f ca="1">AVERAGE(OFFSET($AM$3,0,0,'Données projet'!$E$10+1,1))-AVERAGE(OFFSET($H$3,0,0,'Données projet'!$E$10+1,1))</f>
        <v>366.41072413829329</v>
      </c>
      <c r="AO85" s="62">
        <f t="shared" si="90"/>
        <v>234.41212418619125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0</v>
      </c>
      <c r="AV85" s="23">
        <f>EXP(-LN(2)/25)*AV84+(1-EXP(-LN(2)/25))/(LN(2)/25)*Calculateur!AQ85*Calculateur!AS85*VLOOKUP('Données projet'!$B$10,Paramètres!$A$1:$I$89,3,0)*0.475*44/12</f>
        <v>0</v>
      </c>
      <c r="AW85" s="23">
        <f>EXP(-LN(2)/2)*AW84+(1-EXP(-LN(2)/2))/(LN(2)/2)*AQ85*AT85*VLOOKUP('Données projet'!$B$10,Paramètres!$A$1:$I$89,3,0)*0.475*44/12</f>
        <v>0</v>
      </c>
      <c r="AX85" s="23">
        <f t="shared" si="60"/>
        <v>0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5.6843418860808015E-14</v>
      </c>
      <c r="BE85" s="14">
        <f>BD85*VLOOKUP('Données projet'!$B$11,Paramètres!$A$1:$I$89,3,0)*VLOOKUP('Données projet'!$B$11,Paramètres!$A$1:$I$89,5,0)</f>
        <v>2.6602720026858149E-14</v>
      </c>
      <c r="BF85" s="14">
        <f t="shared" si="91"/>
        <v>4.6624771586320878E-13</v>
      </c>
      <c r="BG85" s="22">
        <f t="shared" si="61"/>
        <v>8.583811758418665E-13</v>
      </c>
      <c r="BH85" s="62">
        <f t="shared" si="62"/>
        <v>293.33333333333417</v>
      </c>
      <c r="BI85" s="62">
        <f ca="1">AVERAGE(OFFSET($BH$3,0,0,'Données projet'!$E$11+1,1))-AVERAGE(OFFSET($H$3,0,0,'Données projet'!$E$11+1,1))</f>
        <v>152.72674713084456</v>
      </c>
      <c r="BJ85" s="62">
        <f t="shared" si="92"/>
        <v>203.90215120562164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5.4875334164199883</v>
      </c>
      <c r="BQ85" s="23">
        <f>EXP(-LN(2)/25)*BQ84+(1-EXP(-LN(2)/25))/(LN(2)/25)*Calculateur!BL85*Calculateur!BN85*VLOOKUP('Données projet'!$B$11,Paramètres!$A$1:$I$89,3,0)*0.475*44/12</f>
        <v>0</v>
      </c>
      <c r="BR85" s="23">
        <f>EXP(-LN(2)/2)*BR84+(1-EXP(-LN(2)/2))/(LN(2)/2)*BL85*BO85*VLOOKUP('Données projet'!$B$11,Paramètres!$A$1:$I$89,3,0)*0.475*44/12</f>
        <v>2.3117570478074567E-7</v>
      </c>
      <c r="BS85" s="24">
        <f t="shared" si="63"/>
        <v>5.4875336475956926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3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23.174330399999963</v>
      </c>
      <c r="D86" s="12">
        <f t="shared" si="86"/>
        <v>7.4075129928371348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74.126096195690764</v>
      </c>
      <c r="H86" s="70">
        <f t="shared" si="56"/>
        <v>309.93004390919128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5.8</v>
      </c>
      <c r="N86" s="14">
        <f>IF('Données projet'!$A$36&gt;35,N85+M86-V85,IF(A86&lt;'Données projet'!$A$36,$K$205^A86,IF(A86='Données projet'!$A$36,'Données projet'!$B$36,N85+M86-V85)))</f>
        <v>257.39999999999992</v>
      </c>
      <c r="O86" s="14">
        <f>N86*VLOOKUP('Données projet'!$B$9,Paramètres!$A$1:$I$89,3,0)*VLOOKUP('Données projet'!$B$9,Paramètres!$A$1:$I$89,5,0)</f>
        <v>232.89551999999992</v>
      </c>
      <c r="P86" s="14">
        <f t="shared" si="87"/>
        <v>56.908304063818662</v>
      </c>
      <c r="Q86" s="22">
        <f t="shared" si="54"/>
        <v>504.74166024448397</v>
      </c>
      <c r="R86" s="62">
        <f t="shared" si="55"/>
        <v>798.07499357781728</v>
      </c>
      <c r="S86" s="62">
        <f ca="1">AVERAGE(OFFSET($R$3,0,0,'Données projet'!$E$9+1,1))-AVERAGE(OFFSET($H$3,0,0,'Données projet'!$E$9+1,1))</f>
        <v>327.25473597900725</v>
      </c>
      <c r="T86" s="62">
        <f t="shared" si="88"/>
        <v>211.5313580973322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0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0</v>
      </c>
      <c r="AC86" s="24">
        <f t="shared" si="57"/>
        <v>0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5.8</v>
      </c>
      <c r="AI86" s="14">
        <f>IF('Données projet'!$A$62&gt;35,AI85+AH86-AQ85,IF(A86&lt;'Données projet'!$A$62,$AF$205^A86,IF(A86='Données projet'!$A$62,'Données projet'!$B$62,AI85+AH86-AQ85)))</f>
        <v>257.39999999999992</v>
      </c>
      <c r="AJ86" s="14">
        <f>AI86*VLOOKUP('Données projet'!$B$10,Paramètres!$A$1:$I$89,3,0)*VLOOKUP('Données projet'!$B$10,Paramètres!$A$1:$I$89,5,0)</f>
        <v>261.00359999999995</v>
      </c>
      <c r="AK86" s="14">
        <f t="shared" si="89"/>
        <v>62.936256929541173</v>
      </c>
      <c r="AL86" s="22">
        <f t="shared" si="58"/>
        <v>564.19525081895074</v>
      </c>
      <c r="AM86" s="62">
        <f t="shared" si="59"/>
        <v>857.52858415228411</v>
      </c>
      <c r="AN86" s="62">
        <f ca="1">AVERAGE(OFFSET($AM$3,0,0,'Données projet'!$E$10+1,1))-AVERAGE(OFFSET($H$3,0,0,'Données projet'!$E$10+1,1))</f>
        <v>366.41072413829329</v>
      </c>
      <c r="AO86" s="62">
        <f t="shared" si="90"/>
        <v>234.41212418619125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0</v>
      </c>
      <c r="AV86" s="23">
        <f>EXP(-LN(2)/25)*AV85+(1-EXP(-LN(2)/25))/(LN(2)/25)*Calculateur!AQ86*Calculateur!AS86*VLOOKUP('Données projet'!$B$10,Paramètres!$A$1:$I$89,3,0)*0.475*44/12</f>
        <v>0</v>
      </c>
      <c r="AW86" s="23">
        <f>EXP(-LN(2)/2)*AW85+(1-EXP(-LN(2)/2))/(LN(2)/2)*AQ86*AT86*VLOOKUP('Données projet'!$B$10,Paramètres!$A$1:$I$89,3,0)*0.475*44/12</f>
        <v>0</v>
      </c>
      <c r="AX86" s="23">
        <f t="shared" si="60"/>
        <v>0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5.6843418860808015E-14</v>
      </c>
      <c r="BE86" s="14">
        <f>BD86*VLOOKUP('Données projet'!$B$11,Paramètres!$A$1:$I$89,3,0)*VLOOKUP('Données projet'!$B$11,Paramètres!$A$1:$I$89,5,0)</f>
        <v>2.6602720026858149E-14</v>
      </c>
      <c r="BF86" s="14">
        <f t="shared" si="91"/>
        <v>4.6624771586320878E-13</v>
      </c>
      <c r="BG86" s="22">
        <f t="shared" si="61"/>
        <v>8.583811758418665E-13</v>
      </c>
      <c r="BH86" s="62">
        <f t="shared" si="62"/>
        <v>293.33333333333417</v>
      </c>
      <c r="BI86" s="62">
        <f ca="1">AVERAGE(OFFSET($BH$3,0,0,'Données projet'!$E$11+1,1))-AVERAGE(OFFSET($H$3,0,0,'Données projet'!$E$11+1,1))</f>
        <v>152.72674713084456</v>
      </c>
      <c r="BJ86" s="62">
        <f t="shared" si="92"/>
        <v>203.90215120562164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5.3799262331888809</v>
      </c>
      <c r="BQ86" s="23">
        <f>EXP(-LN(2)/25)*BQ85+(1-EXP(-LN(2)/25))/(LN(2)/25)*Calculateur!BL86*Calculateur!BN86*VLOOKUP('Données projet'!$B$11,Paramètres!$A$1:$I$89,3,0)*0.475*44/12</f>
        <v>0</v>
      </c>
      <c r="BR86" s="23">
        <f>EXP(-LN(2)/2)*BR85+(1-EXP(-LN(2)/2))/(LN(2)/2)*BL86*BO86*VLOOKUP('Données projet'!$B$11,Paramètres!$A$1:$I$89,3,0)*0.475*44/12</f>
        <v>1.6346590849604465E-7</v>
      </c>
      <c r="BS86" s="24">
        <f t="shared" si="63"/>
        <v>5.3799263966547892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3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23.453539199999963</v>
      </c>
      <c r="D87" s="12">
        <f t="shared" si="86"/>
        <v>7.4863167199094311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74.993868313941789</v>
      </c>
      <c r="H87" s="70">
        <f t="shared" si="56"/>
        <v>310.55358239384219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5.8</v>
      </c>
      <c r="N87" s="14">
        <f>IF('Données projet'!$A$36&gt;35,N86+M87-V86,IF(A87&lt;'Données projet'!$A$36,$K$205^A87,IF(A87='Données projet'!$A$36,'Données projet'!$B$36,N86+M87-V86)))</f>
        <v>263.19999999999993</v>
      </c>
      <c r="O87" s="14">
        <f>N87*VLOOKUP('Données projet'!$B$9,Paramètres!$A$1:$I$89,3,0)*VLOOKUP('Données projet'!$B$9,Paramètres!$A$1:$I$89,5,0)</f>
        <v>238.14335999999992</v>
      </c>
      <c r="P87" s="14">
        <f t="shared" si="87"/>
        <v>58.039884968630489</v>
      </c>
      <c r="Q87" s="22">
        <f t="shared" si="54"/>
        <v>515.85248498703129</v>
      </c>
      <c r="R87" s="62">
        <f t="shared" si="55"/>
        <v>809.18581832036466</v>
      </c>
      <c r="S87" s="62">
        <f ca="1">AVERAGE(OFFSET($R$3,0,0,'Données projet'!$E$9+1,1))-AVERAGE(OFFSET($H$3,0,0,'Données projet'!$E$9+1,1))</f>
        <v>327.25473597900725</v>
      </c>
      <c r="T87" s="62">
        <f t="shared" si="88"/>
        <v>211.5313580973322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0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0</v>
      </c>
      <c r="AC87" s="24">
        <f t="shared" si="57"/>
        <v>0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5.8</v>
      </c>
      <c r="AI87" s="14">
        <f>IF('Données projet'!$A$62&gt;35,AI86+AH87-AQ86,IF(A87&lt;'Données projet'!$A$62,$AF$205^A87,IF(A87='Données projet'!$A$62,'Données projet'!$B$62,AI86+AH87-AQ86)))</f>
        <v>263.19999999999993</v>
      </c>
      <c r="AJ87" s="14">
        <f>AI87*VLOOKUP('Données projet'!$B$10,Paramètres!$A$1:$I$89,3,0)*VLOOKUP('Données projet'!$B$10,Paramètres!$A$1:$I$89,5,0)</f>
        <v>266.88479999999993</v>
      </c>
      <c r="AK87" s="14">
        <f t="shared" si="89"/>
        <v>64.18769936370569</v>
      </c>
      <c r="AL87" s="22">
        <f t="shared" si="58"/>
        <v>576.61793639178723</v>
      </c>
      <c r="AM87" s="62">
        <f t="shared" si="59"/>
        <v>869.95126972512048</v>
      </c>
      <c r="AN87" s="62">
        <f ca="1">AVERAGE(OFFSET($AM$3,0,0,'Données projet'!$E$10+1,1))-AVERAGE(OFFSET($H$3,0,0,'Données projet'!$E$10+1,1))</f>
        <v>366.41072413829329</v>
      </c>
      <c r="AO87" s="62">
        <f t="shared" si="90"/>
        <v>234.41212418619125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0</v>
      </c>
      <c r="AV87" s="23">
        <f>EXP(-LN(2)/25)*AV86+(1-EXP(-LN(2)/25))/(LN(2)/25)*Calculateur!AQ87*Calculateur!AS87*VLOOKUP('Données projet'!$B$10,Paramètres!$A$1:$I$89,3,0)*0.475*44/12</f>
        <v>0</v>
      </c>
      <c r="AW87" s="23">
        <f>EXP(-LN(2)/2)*AW86+(1-EXP(-LN(2)/2))/(LN(2)/2)*AQ87*AT87*VLOOKUP('Données projet'!$B$10,Paramètres!$A$1:$I$89,3,0)*0.475*44/12</f>
        <v>0</v>
      </c>
      <c r="AX87" s="23">
        <f t="shared" si="60"/>
        <v>0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5.6843418860808015E-14</v>
      </c>
      <c r="BE87" s="14">
        <f>BD87*VLOOKUP('Données projet'!$B$11,Paramètres!$A$1:$I$89,3,0)*VLOOKUP('Données projet'!$B$11,Paramètres!$A$1:$I$89,5,0)</f>
        <v>2.6602720026858149E-14</v>
      </c>
      <c r="BF87" s="14">
        <f t="shared" si="91"/>
        <v>4.6624771586320878E-13</v>
      </c>
      <c r="BG87" s="22">
        <f t="shared" si="61"/>
        <v>8.583811758418665E-13</v>
      </c>
      <c r="BH87" s="62">
        <f t="shared" si="62"/>
        <v>293.33333333333417</v>
      </c>
      <c r="BI87" s="62">
        <f ca="1">AVERAGE(OFFSET($BH$3,0,0,'Données projet'!$E$11+1,1))-AVERAGE(OFFSET($H$3,0,0,'Données projet'!$E$11+1,1))</f>
        <v>152.72674713084456</v>
      </c>
      <c r="BJ87" s="62">
        <f t="shared" si="92"/>
        <v>203.90215120562164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5.2744291611870349</v>
      </c>
      <c r="BQ87" s="23">
        <f>EXP(-LN(2)/25)*BQ86+(1-EXP(-LN(2)/25))/(LN(2)/25)*Calculateur!BL87*Calculateur!BN87*VLOOKUP('Données projet'!$B$11,Paramètres!$A$1:$I$89,3,0)*0.475*44/12</f>
        <v>0</v>
      </c>
      <c r="BR87" s="23">
        <f>EXP(-LN(2)/2)*BR86+(1-EXP(-LN(2)/2))/(LN(2)/2)*BL87*BO87*VLOOKUP('Données projet'!$B$11,Paramètres!$A$1:$I$89,3,0)*0.475*44/12</f>
        <v>1.1558785239037285E-7</v>
      </c>
      <c r="BS87" s="24">
        <f t="shared" si="63"/>
        <v>5.274429276774887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3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23.732747999999962</v>
      </c>
      <c r="D88" s="12">
        <f t="shared" si="86"/>
        <v>7.5650113204301856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75.861375924747861</v>
      </c>
      <c r="H88" s="70">
        <f t="shared" si="56"/>
        <v>311.17693081641585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>
        <f>VLOOKUP(A88,'Données projet'!$A$35:$I$55,2,0)</f>
        <v>269</v>
      </c>
      <c r="L88" s="13">
        <f>VLOOKUP(A88,'Données projet'!$A$35:$I$55,9,0)</f>
        <v>5.8</v>
      </c>
      <c r="M88" s="13">
        <f t="array" ref="M88">INDEX(L:L,MIN(IF(ISNUMBER(L88:L284),ROW(L88:L284),"")))</f>
        <v>5.8</v>
      </c>
      <c r="N88" s="14">
        <f>IF('Données projet'!$A$36&gt;35,N87+M88-V87,IF(A88&lt;'Données projet'!$A$36,$K$205^A88,IF(A88='Données projet'!$A$36,'Données projet'!$B$36,N87+M88-V87)))</f>
        <v>268.99999999999994</v>
      </c>
      <c r="O88" s="14">
        <f>N88*VLOOKUP('Données projet'!$B$9,Paramètres!$A$1:$I$89,3,0)*VLOOKUP('Données projet'!$B$9,Paramètres!$A$1:$I$89,5,0)</f>
        <v>243.39119999999994</v>
      </c>
      <c r="P88" s="14">
        <f t="shared" si="87"/>
        <v>59.168566788241527</v>
      </c>
      <c r="Q88" s="22">
        <f t="shared" si="54"/>
        <v>526.95826048952051</v>
      </c>
      <c r="R88" s="62">
        <f t="shared" si="55"/>
        <v>820.29159382285388</v>
      </c>
      <c r="S88" s="62">
        <f ca="1">AVERAGE(OFFSET($R$3,0,0,'Données projet'!$E$9+1,1))-AVERAGE(OFFSET($H$3,0,0,'Données projet'!$E$9+1,1))</f>
        <v>327.25473597900725</v>
      </c>
      <c r="T88" s="62">
        <f t="shared" si="88"/>
        <v>211.5313580973322</v>
      </c>
      <c r="U88" s="16">
        <f>IF(ISNA(VLOOKUP(A88,'Données projet'!$A$35:$I$55,3,0)),0,VLOOKUP(A88,'Données projet'!$A$35:$I$55,3,0))</f>
        <v>14</v>
      </c>
      <c r="V88" s="16">
        <f>IF(ISNA(VLOOKUP(A88,'Données projet'!$A$35:$I$55,4,0)),0,VLOOKUP(A88,'Données projet'!$A$35:$I$55,4,0))</f>
        <v>21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0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0</v>
      </c>
      <c r="AC88" s="24">
        <f t="shared" si="57"/>
        <v>0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>
        <f>VLOOKUP(A88,'Données projet'!$A$61:$I$81,2,0)</f>
        <v>269</v>
      </c>
      <c r="AG88" s="13">
        <f>VLOOKUP(A88,'Données projet'!$A$61:$I$81,9,0)</f>
        <v>5.8</v>
      </c>
      <c r="AH88" s="13">
        <f t="array" ref="AH88">INDEX(AG:AG,MIN(IF(ISNUMBER(AG88:AG284),ROW(AG88:AG284),"")))</f>
        <v>5.8</v>
      </c>
      <c r="AI88" s="14">
        <f>IF('Données projet'!$A$62&gt;35,AI87+AH88-AQ87,IF(A88&lt;'Données projet'!$A$62,$AF$205^A88,IF(A88='Données projet'!$A$62,'Données projet'!$B$62,AI87+AH88-AQ87)))</f>
        <v>268.99999999999994</v>
      </c>
      <c r="AJ88" s="14">
        <f>AI88*VLOOKUP('Données projet'!$B$10,Paramètres!$A$1:$I$89,3,0)*VLOOKUP('Données projet'!$B$10,Paramètres!$A$1:$I$89,5,0)</f>
        <v>272.76599999999996</v>
      </c>
      <c r="AK88" s="14">
        <f t="shared" si="89"/>
        <v>65.43593563008757</v>
      </c>
      <c r="AL88" s="22">
        <f t="shared" si="58"/>
        <v>589.03503788906914</v>
      </c>
      <c r="AM88" s="62">
        <f t="shared" si="59"/>
        <v>882.3683712224024</v>
      </c>
      <c r="AN88" s="62">
        <f ca="1">AVERAGE(OFFSET($AM$3,0,0,'Données projet'!$E$10+1,1))-AVERAGE(OFFSET($H$3,0,0,'Données projet'!$E$10+1,1))</f>
        <v>366.41072413829329</v>
      </c>
      <c r="AO88" s="62">
        <f t="shared" si="90"/>
        <v>234.41212418619125</v>
      </c>
      <c r="AP88" s="16">
        <f>IF(ISNA(VLOOKUP(A88,'Données projet'!$A$61:$I$81,3,0)),0,VLOOKUP(A88,'Données projet'!$A$61:$I$81,3,0))</f>
        <v>14</v>
      </c>
      <c r="AQ88" s="16">
        <f>IF(ISNA(VLOOKUP(A88,'Données projet'!$A$61:$I$81,4,0)),0,VLOOKUP(A88,'Données projet'!$A$61:$I$81,4,0))</f>
        <v>21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0</v>
      </c>
      <c r="AV88" s="23">
        <f>EXP(-LN(2)/25)*AV87+(1-EXP(-LN(2)/25))/(LN(2)/25)*Calculateur!AQ88*Calculateur!AS88*VLOOKUP('Données projet'!$B$10,Paramètres!$A$1:$I$89,3,0)*0.475*44/12</f>
        <v>0</v>
      </c>
      <c r="AW88" s="23">
        <f>EXP(-LN(2)/2)*AW87+(1-EXP(-LN(2)/2))/(LN(2)/2)*AQ88*AT88*VLOOKUP('Données projet'!$B$10,Paramètres!$A$1:$I$89,3,0)*0.475*44/12</f>
        <v>0</v>
      </c>
      <c r="AX88" s="23">
        <f t="shared" si="60"/>
        <v>0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5.6843418860808015E-14</v>
      </c>
      <c r="BE88" s="14">
        <f>BD88*VLOOKUP('Données projet'!$B$11,Paramètres!$A$1:$I$89,3,0)*VLOOKUP('Données projet'!$B$11,Paramètres!$A$1:$I$89,5,0)</f>
        <v>2.6602720026858149E-14</v>
      </c>
      <c r="BF88" s="14">
        <f t="shared" si="91"/>
        <v>4.6624771586320878E-13</v>
      </c>
      <c r="BG88" s="22">
        <f t="shared" si="61"/>
        <v>8.583811758418665E-13</v>
      </c>
      <c r="BH88" s="62">
        <f t="shared" si="62"/>
        <v>293.33333333333417</v>
      </c>
      <c r="BI88" s="62">
        <f ca="1">AVERAGE(OFFSET($BH$3,0,0,'Données projet'!$E$11+1,1))-AVERAGE(OFFSET($H$3,0,0,'Données projet'!$E$11+1,1))</f>
        <v>152.72674713084456</v>
      </c>
      <c r="BJ88" s="62">
        <f t="shared" si="92"/>
        <v>203.90215120562164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5.171000822420285</v>
      </c>
      <c r="BQ88" s="23">
        <f>EXP(-LN(2)/25)*BQ87+(1-EXP(-LN(2)/25))/(LN(2)/25)*Calculateur!BL88*Calculateur!BN88*VLOOKUP('Données projet'!$B$11,Paramètres!$A$1:$I$89,3,0)*0.475*44/12</f>
        <v>0</v>
      </c>
      <c r="BR88" s="23">
        <f>EXP(-LN(2)/2)*BR87+(1-EXP(-LN(2)/2))/(LN(2)/2)*BL88*BO88*VLOOKUP('Données projet'!$B$11,Paramètres!$A$1:$I$89,3,0)*0.475*44/12</f>
        <v>8.1732954248022338E-8</v>
      </c>
      <c r="BS88" s="24">
        <f t="shared" si="63"/>
        <v>5.1710009041532397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3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24.011956799999961</v>
      </c>
      <c r="D89" s="12">
        <f t="shared" si="86"/>
        <v>7.6435982267658718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76.728622499964345</v>
      </c>
      <c r="H89" s="70">
        <f t="shared" si="56"/>
        <v>311.80009167161717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5.4</v>
      </c>
      <c r="N89" s="14">
        <f>IF('Données projet'!$A$36&gt;35,N88+M89-V88,IF(A89&lt;'Données projet'!$A$36,$K$205^A89,IF(A89='Données projet'!$A$36,'Données projet'!$B$36,N88+M89-V88)))</f>
        <v>253.39999999999992</v>
      </c>
      <c r="O89" s="14">
        <f>N89*VLOOKUP('Données projet'!$B$9,Paramètres!$A$1:$I$89,3,0)*VLOOKUP('Données projet'!$B$9,Paramètres!$A$1:$I$89,5,0)</f>
        <v>229.27631999999994</v>
      </c>
      <c r="P89" s="14">
        <f t="shared" si="87"/>
        <v>56.126176307517476</v>
      </c>
      <c r="Q89" s="22">
        <f t="shared" si="54"/>
        <v>497.07601440225949</v>
      </c>
      <c r="R89" s="62">
        <f t="shared" si="55"/>
        <v>790.40934773559275</v>
      </c>
      <c r="S89" s="62">
        <f ca="1">AVERAGE(OFFSET($R$3,0,0,'Données projet'!$E$9+1,1))-AVERAGE(OFFSET($H$3,0,0,'Données projet'!$E$9+1,1))</f>
        <v>327.25473597900725</v>
      </c>
      <c r="T89" s="62">
        <f t="shared" si="88"/>
        <v>211.5313580973322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0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0</v>
      </c>
      <c r="AC89" s="24">
        <f t="shared" si="57"/>
        <v>0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5.4</v>
      </c>
      <c r="AI89" s="14">
        <f>IF('Données projet'!$A$62&gt;35,AI88+AH89-AQ88,IF(A89&lt;'Données projet'!$A$62,$AF$205^A89,IF(A89='Données projet'!$A$62,'Données projet'!$B$62,AI88+AH89-AQ88)))</f>
        <v>253.39999999999992</v>
      </c>
      <c r="AJ89" s="14">
        <f>AI89*VLOOKUP('Données projet'!$B$10,Paramètres!$A$1:$I$89,3,0)*VLOOKUP('Données projet'!$B$10,Paramètres!$A$1:$I$89,5,0)</f>
        <v>256.94759999999991</v>
      </c>
      <c r="AK89" s="14">
        <f t="shared" si="89"/>
        <v>62.071283104858246</v>
      </c>
      <c r="AL89" s="22">
        <f t="shared" si="58"/>
        <v>555.62455474096134</v>
      </c>
      <c r="AM89" s="62">
        <f t="shared" si="59"/>
        <v>848.95788807429471</v>
      </c>
      <c r="AN89" s="62">
        <f ca="1">AVERAGE(OFFSET($AM$3,0,0,'Données projet'!$E$10+1,1))-AVERAGE(OFFSET($H$3,0,0,'Données projet'!$E$10+1,1))</f>
        <v>366.41072413829329</v>
      </c>
      <c r="AO89" s="62">
        <f t="shared" si="90"/>
        <v>234.41212418619125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0</v>
      </c>
      <c r="AV89" s="23">
        <f>EXP(-LN(2)/25)*AV88+(1-EXP(-LN(2)/25))/(LN(2)/25)*Calculateur!AQ89*Calculateur!AS89*VLOOKUP('Données projet'!$B$10,Paramètres!$A$1:$I$89,3,0)*0.475*44/12</f>
        <v>0</v>
      </c>
      <c r="AW89" s="23">
        <f>EXP(-LN(2)/2)*AW88+(1-EXP(-LN(2)/2))/(LN(2)/2)*AQ89*AT89*VLOOKUP('Données projet'!$B$10,Paramètres!$A$1:$I$89,3,0)*0.475*44/12</f>
        <v>0</v>
      </c>
      <c r="AX89" s="23">
        <f t="shared" si="60"/>
        <v>0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5.6843418860808015E-14</v>
      </c>
      <c r="BE89" s="14">
        <f>BD89*VLOOKUP('Données projet'!$B$11,Paramètres!$A$1:$I$89,3,0)*VLOOKUP('Données projet'!$B$11,Paramètres!$A$1:$I$89,5,0)</f>
        <v>2.6602720026858149E-14</v>
      </c>
      <c r="BF89" s="14">
        <f t="shared" si="91"/>
        <v>4.6624771586320878E-13</v>
      </c>
      <c r="BG89" s="22">
        <f t="shared" si="61"/>
        <v>8.583811758418665E-13</v>
      </c>
      <c r="BH89" s="62">
        <f t="shared" si="62"/>
        <v>293.33333333333417</v>
      </c>
      <c r="BI89" s="62">
        <f ca="1">AVERAGE(OFFSET($BH$3,0,0,'Données projet'!$E$11+1,1))-AVERAGE(OFFSET($H$3,0,0,'Données projet'!$E$11+1,1))</f>
        <v>152.72674713084456</v>
      </c>
      <c r="BJ89" s="62">
        <f t="shared" si="92"/>
        <v>203.90215120562164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5.0696006502916937</v>
      </c>
      <c r="BQ89" s="23">
        <f>EXP(-LN(2)/25)*BQ88+(1-EXP(-LN(2)/25))/(LN(2)/25)*Calculateur!BL89*Calculateur!BN89*VLOOKUP('Données projet'!$B$11,Paramètres!$A$1:$I$89,3,0)*0.475*44/12</f>
        <v>0</v>
      </c>
      <c r="BR89" s="23">
        <f>EXP(-LN(2)/2)*BR88+(1-EXP(-LN(2)/2))/(LN(2)/2)*BL89*BO89*VLOOKUP('Données projet'!$B$11,Paramètres!$A$1:$I$89,3,0)*0.475*44/12</f>
        <v>5.7793926195186438E-8</v>
      </c>
      <c r="BS89" s="24">
        <f t="shared" si="63"/>
        <v>5.0696007080856198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3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24.29116559999996</v>
      </c>
      <c r="D90" s="12">
        <f t="shared" si="86"/>
        <v>7.7220788360549042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77.595611426058596</v>
      </c>
      <c r="H90" s="70">
        <f t="shared" si="56"/>
        <v>312.42306739279559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5.4</v>
      </c>
      <c r="N90" s="14">
        <f>IF('Données projet'!$A$36&gt;35,N89+M90-V89,IF(A90&lt;'Données projet'!$A$36,$K$205^A90,IF(A90='Données projet'!$A$36,'Données projet'!$B$36,N89+M90-V89)))</f>
        <v>258.7999999999999</v>
      </c>
      <c r="O90" s="14">
        <f>N90*VLOOKUP('Données projet'!$B$9,Paramètres!$A$1:$I$89,3,0)*VLOOKUP('Données projet'!$B$9,Paramètres!$A$1:$I$89,5,0)</f>
        <v>234.16223999999988</v>
      </c>
      <c r="P90" s="14">
        <f t="shared" si="87"/>
        <v>57.181713578143047</v>
      </c>
      <c r="Q90" s="22">
        <f t="shared" si="54"/>
        <v>507.42405248193222</v>
      </c>
      <c r="R90" s="62">
        <f t="shared" si="55"/>
        <v>800.75738581526548</v>
      </c>
      <c r="S90" s="62">
        <f ca="1">AVERAGE(OFFSET($R$3,0,0,'Données projet'!$E$9+1,1))-AVERAGE(OFFSET($H$3,0,0,'Données projet'!$E$9+1,1))</f>
        <v>327.25473597900725</v>
      </c>
      <c r="T90" s="62">
        <f t="shared" si="88"/>
        <v>211.5313580973322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0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0</v>
      </c>
      <c r="AC90" s="24">
        <f t="shared" si="57"/>
        <v>0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5.4</v>
      </c>
      <c r="AI90" s="14">
        <f>IF('Données projet'!$A$62&gt;35,AI89+AH90-AQ89,IF(A90&lt;'Données projet'!$A$62,$AF$205^A90,IF(A90='Données projet'!$A$62,'Données projet'!$B$62,AI89+AH90-AQ89)))</f>
        <v>258.7999999999999</v>
      </c>
      <c r="AJ90" s="14">
        <f>AI90*VLOOKUP('Données projet'!$B$10,Paramètres!$A$1:$I$89,3,0)*VLOOKUP('Données projet'!$B$10,Paramètres!$A$1:$I$89,5,0)</f>
        <v>262.42319999999989</v>
      </c>
      <c r="AK90" s="14">
        <f t="shared" si="89"/>
        <v>63.238627062047733</v>
      </c>
      <c r="AL90" s="22">
        <f t="shared" si="58"/>
        <v>567.19434879973289</v>
      </c>
      <c r="AM90" s="62">
        <f t="shared" si="59"/>
        <v>860.52768213306626</v>
      </c>
      <c r="AN90" s="62">
        <f ca="1">AVERAGE(OFFSET($AM$3,0,0,'Données projet'!$E$10+1,1))-AVERAGE(OFFSET($H$3,0,0,'Données projet'!$E$10+1,1))</f>
        <v>366.41072413829329</v>
      </c>
      <c r="AO90" s="62">
        <f t="shared" si="90"/>
        <v>234.41212418619125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0</v>
      </c>
      <c r="AV90" s="23">
        <f>EXP(-LN(2)/25)*AV89+(1-EXP(-LN(2)/25))/(LN(2)/25)*Calculateur!AQ90*Calculateur!AS90*VLOOKUP('Données projet'!$B$10,Paramètres!$A$1:$I$89,3,0)*0.475*44/12</f>
        <v>0</v>
      </c>
      <c r="AW90" s="23">
        <f>EXP(-LN(2)/2)*AW89+(1-EXP(-LN(2)/2))/(LN(2)/2)*AQ90*AT90*VLOOKUP('Données projet'!$B$10,Paramètres!$A$1:$I$89,3,0)*0.475*44/12</f>
        <v>0</v>
      </c>
      <c r="AX90" s="23">
        <f t="shared" si="60"/>
        <v>0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5.6843418860808015E-14</v>
      </c>
      <c r="BE90" s="14">
        <f>BD90*VLOOKUP('Données projet'!$B$11,Paramètres!$A$1:$I$89,3,0)*VLOOKUP('Données projet'!$B$11,Paramètres!$A$1:$I$89,5,0)</f>
        <v>2.6602720026858149E-14</v>
      </c>
      <c r="BF90" s="14">
        <f t="shared" si="91"/>
        <v>4.6624771586320878E-13</v>
      </c>
      <c r="BG90" s="22">
        <f t="shared" si="61"/>
        <v>8.583811758418665E-13</v>
      </c>
      <c r="BH90" s="62">
        <f t="shared" si="62"/>
        <v>293.33333333333417</v>
      </c>
      <c r="BI90" s="62">
        <f ca="1">AVERAGE(OFFSET($BH$3,0,0,'Données projet'!$E$11+1,1))-AVERAGE(OFFSET($H$3,0,0,'Données projet'!$E$11+1,1))</f>
        <v>152.72674713084456</v>
      </c>
      <c r="BJ90" s="62">
        <f t="shared" si="92"/>
        <v>203.90215120562164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4.970188873690546</v>
      </c>
      <c r="BQ90" s="23">
        <f>EXP(-LN(2)/25)*BQ89+(1-EXP(-LN(2)/25))/(LN(2)/25)*Calculateur!BL90*Calculateur!BN90*VLOOKUP('Données projet'!$B$11,Paramètres!$A$1:$I$89,3,0)*0.475*44/12</f>
        <v>0</v>
      </c>
      <c r="BR90" s="23">
        <f>EXP(-LN(2)/2)*BR89+(1-EXP(-LN(2)/2))/(LN(2)/2)*BL90*BO90*VLOOKUP('Données projet'!$B$11,Paramètres!$A$1:$I$89,3,0)*0.475*44/12</f>
        <v>4.0866477124011175E-8</v>
      </c>
      <c r="BS90" s="24">
        <f t="shared" si="63"/>
        <v>4.9701889145570233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3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24.57037439999996</v>
      </c>
      <c r="D91" s="12">
        <f t="shared" si="86"/>
        <v>7.8004545114687955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78.462346007167071</v>
      </c>
      <c r="H91" s="70">
        <f t="shared" si="56"/>
        <v>313.04586035414144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5.4</v>
      </c>
      <c r="N91" s="14">
        <f>IF('Données projet'!$A$36&gt;35,N90+M91-V90,IF(A91&lt;'Données projet'!$A$36,$K$205^A91,IF(A91='Données projet'!$A$36,'Données projet'!$B$36,N90+M91-V90)))</f>
        <v>264.19999999999987</v>
      </c>
      <c r="O91" s="14">
        <f>N91*VLOOKUP('Données projet'!$B$9,Paramètres!$A$1:$I$89,3,0)*VLOOKUP('Données projet'!$B$9,Paramètres!$A$1:$I$89,5,0)</f>
        <v>239.04815999999985</v>
      </c>
      <c r="P91" s="14">
        <f t="shared" si="87"/>
        <v>58.234690128947292</v>
      </c>
      <c r="Q91" s="22">
        <f t="shared" si="54"/>
        <v>517.76763064124964</v>
      </c>
      <c r="R91" s="62">
        <f t="shared" si="55"/>
        <v>811.10096397458301</v>
      </c>
      <c r="S91" s="62">
        <f ca="1">AVERAGE(OFFSET($R$3,0,0,'Données projet'!$E$9+1,1))-AVERAGE(OFFSET($H$3,0,0,'Données projet'!$E$9+1,1))</f>
        <v>327.25473597900725</v>
      </c>
      <c r="T91" s="62">
        <f t="shared" si="88"/>
        <v>211.5313580973322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0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0</v>
      </c>
      <c r="AC91" s="24">
        <f t="shared" si="57"/>
        <v>0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5.4</v>
      </c>
      <c r="AI91" s="14">
        <f>IF('Données projet'!$A$62&gt;35,AI90+AH91-AQ90,IF(A91&lt;'Données projet'!$A$62,$AF$205^A91,IF(A91='Données projet'!$A$62,'Données projet'!$B$62,AI90+AH91-AQ90)))</f>
        <v>264.19999999999987</v>
      </c>
      <c r="AJ91" s="14">
        <f>AI91*VLOOKUP('Données projet'!$B$10,Paramètres!$A$1:$I$89,3,0)*VLOOKUP('Données projet'!$B$10,Paramètres!$A$1:$I$89,5,0)</f>
        <v>267.89879999999988</v>
      </c>
      <c r="AK91" s="14">
        <f t="shared" si="89"/>
        <v>64.403139057834508</v>
      </c>
      <c r="AL91" s="22">
        <f t="shared" si="58"/>
        <v>578.75921052572812</v>
      </c>
      <c r="AM91" s="62">
        <f t="shared" si="59"/>
        <v>872.09254385906138</v>
      </c>
      <c r="AN91" s="62">
        <f ca="1">AVERAGE(OFFSET($AM$3,0,0,'Données projet'!$E$10+1,1))-AVERAGE(OFFSET($H$3,0,0,'Données projet'!$E$10+1,1))</f>
        <v>366.41072413829329</v>
      </c>
      <c r="AO91" s="62">
        <f t="shared" si="90"/>
        <v>234.41212418619125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0</v>
      </c>
      <c r="AV91" s="23">
        <f>EXP(-LN(2)/25)*AV90+(1-EXP(-LN(2)/25))/(LN(2)/25)*Calculateur!AQ91*Calculateur!AS91*VLOOKUP('Données projet'!$B$10,Paramètres!$A$1:$I$89,3,0)*0.475*44/12</f>
        <v>0</v>
      </c>
      <c r="AW91" s="23">
        <f>EXP(-LN(2)/2)*AW90+(1-EXP(-LN(2)/2))/(LN(2)/2)*AQ91*AT91*VLOOKUP('Données projet'!$B$10,Paramètres!$A$1:$I$89,3,0)*0.475*44/12</f>
        <v>0</v>
      </c>
      <c r="AX91" s="23">
        <f t="shared" si="60"/>
        <v>0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5.6843418860808015E-14</v>
      </c>
      <c r="BE91" s="14">
        <f>BD91*VLOOKUP('Données projet'!$B$11,Paramètres!$A$1:$I$89,3,0)*VLOOKUP('Données projet'!$B$11,Paramètres!$A$1:$I$89,5,0)</f>
        <v>2.6602720026858149E-14</v>
      </c>
      <c r="BF91" s="14">
        <f t="shared" si="91"/>
        <v>4.6624771586320878E-13</v>
      </c>
      <c r="BG91" s="22">
        <f t="shared" si="61"/>
        <v>8.583811758418665E-13</v>
      </c>
      <c r="BH91" s="62">
        <f t="shared" si="62"/>
        <v>293.33333333333417</v>
      </c>
      <c r="BI91" s="62">
        <f ca="1">AVERAGE(OFFSET($BH$3,0,0,'Données projet'!$E$11+1,1))-AVERAGE(OFFSET($H$3,0,0,'Données projet'!$E$11+1,1))</f>
        <v>152.72674713084456</v>
      </c>
      <c r="BJ91" s="62">
        <f t="shared" si="92"/>
        <v>203.90215120562164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4.8727265013933501</v>
      </c>
      <c r="BQ91" s="23">
        <f>EXP(-LN(2)/25)*BQ90+(1-EXP(-LN(2)/25))/(LN(2)/25)*Calculateur!BL91*Calculateur!BN91*VLOOKUP('Données projet'!$B$11,Paramètres!$A$1:$I$89,3,0)*0.475*44/12</f>
        <v>0</v>
      </c>
      <c r="BR91" s="23">
        <f>EXP(-LN(2)/2)*BR90+(1-EXP(-LN(2)/2))/(LN(2)/2)*BL91*BO91*VLOOKUP('Données projet'!$B$11,Paramètres!$A$1:$I$89,3,0)*0.475*44/12</f>
        <v>2.8896963097593222E-8</v>
      </c>
      <c r="BS91" s="24">
        <f t="shared" si="63"/>
        <v>4.8727265302903131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3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24.849583199999959</v>
      </c>
      <c r="D92" s="12">
        <f t="shared" si="86"/>
        <v>7.8787265834143696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79.328829468009204</v>
      </c>
      <c r="H92" s="70">
        <f t="shared" si="56"/>
        <v>313.66847287277994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5.4</v>
      </c>
      <c r="N92" s="14">
        <f>IF('Données projet'!$A$36&gt;35,N91+M92-V91,IF(A92&lt;'Données projet'!$A$36,$K$205^A92,IF(A92='Données projet'!$A$36,'Données projet'!$B$36,N91+M92-V91)))</f>
        <v>269.59999999999985</v>
      </c>
      <c r="O92" s="14">
        <f>N92*VLOOKUP('Données projet'!$B$9,Paramètres!$A$1:$I$89,3,0)*VLOOKUP('Données projet'!$B$9,Paramètres!$A$1:$I$89,5,0)</f>
        <v>243.93407999999988</v>
      </c>
      <c r="P92" s="14">
        <f t="shared" si="87"/>
        <v>59.285164329617594</v>
      </c>
      <c r="Q92" s="22">
        <f t="shared" si="54"/>
        <v>528.10685054075043</v>
      </c>
      <c r="R92" s="62">
        <f t="shared" si="55"/>
        <v>821.44018387408369</v>
      </c>
      <c r="S92" s="62">
        <f ca="1">AVERAGE(OFFSET($R$3,0,0,'Données projet'!$E$9+1,1))-AVERAGE(OFFSET($H$3,0,0,'Données projet'!$E$9+1,1))</f>
        <v>327.25473597900725</v>
      </c>
      <c r="T92" s="62">
        <f t="shared" si="88"/>
        <v>211.5313580973322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0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0</v>
      </c>
      <c r="AC92" s="24">
        <f t="shared" si="57"/>
        <v>0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5.4</v>
      </c>
      <c r="AI92" s="14">
        <f>IF('Données projet'!$A$62&gt;35,AI91+AH92-AQ91,IF(A92&lt;'Données projet'!$A$62,$AF$205^A92,IF(A92='Données projet'!$A$62,'Données projet'!$B$62,AI91+AH92-AQ91)))</f>
        <v>269.59999999999985</v>
      </c>
      <c r="AJ92" s="14">
        <f>AI92*VLOOKUP('Données projet'!$B$10,Paramètres!$A$1:$I$89,3,0)*VLOOKUP('Données projet'!$B$10,Paramètres!$A$1:$I$89,5,0)</f>
        <v>273.37439999999987</v>
      </c>
      <c r="AK92" s="14">
        <f t="shared" si="89"/>
        <v>65.564883644654373</v>
      </c>
      <c r="AL92" s="22">
        <f t="shared" si="58"/>
        <v>590.3192523477727</v>
      </c>
      <c r="AM92" s="62">
        <f t="shared" si="59"/>
        <v>883.65258568110607</v>
      </c>
      <c r="AN92" s="62">
        <f ca="1">AVERAGE(OFFSET($AM$3,0,0,'Données projet'!$E$10+1,1))-AVERAGE(OFFSET($H$3,0,0,'Données projet'!$E$10+1,1))</f>
        <v>366.41072413829329</v>
      </c>
      <c r="AO92" s="62">
        <f t="shared" si="90"/>
        <v>234.41212418619125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0</v>
      </c>
      <c r="AV92" s="23">
        <f>EXP(-LN(2)/25)*AV91+(1-EXP(-LN(2)/25))/(LN(2)/25)*Calculateur!AQ92*Calculateur!AS92*VLOOKUP('Données projet'!$B$10,Paramètres!$A$1:$I$89,3,0)*0.475*44/12</f>
        <v>0</v>
      </c>
      <c r="AW92" s="23">
        <f>EXP(-LN(2)/2)*AW91+(1-EXP(-LN(2)/2))/(LN(2)/2)*AQ92*AT92*VLOOKUP('Données projet'!$B$10,Paramètres!$A$1:$I$89,3,0)*0.475*44/12</f>
        <v>0</v>
      </c>
      <c r="AX92" s="23">
        <f t="shared" si="60"/>
        <v>0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5.6843418860808015E-14</v>
      </c>
      <c r="BE92" s="14">
        <f>BD92*VLOOKUP('Données projet'!$B$11,Paramètres!$A$1:$I$89,3,0)*VLOOKUP('Données projet'!$B$11,Paramètres!$A$1:$I$89,5,0)</f>
        <v>2.6602720026858149E-14</v>
      </c>
      <c r="BF92" s="14">
        <f t="shared" si="91"/>
        <v>4.6624771586320878E-13</v>
      </c>
      <c r="BG92" s="22">
        <f t="shared" si="61"/>
        <v>8.583811758418665E-13</v>
      </c>
      <c r="BH92" s="62">
        <f t="shared" si="62"/>
        <v>293.33333333333417</v>
      </c>
      <c r="BI92" s="62">
        <f ca="1">AVERAGE(OFFSET($BH$3,0,0,'Données projet'!$E$11+1,1))-AVERAGE(OFFSET($H$3,0,0,'Données projet'!$E$11+1,1))</f>
        <v>152.72674713084456</v>
      </c>
      <c r="BJ92" s="62">
        <f t="shared" si="92"/>
        <v>203.90215120562164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4.777175306770725</v>
      </c>
      <c r="BQ92" s="23">
        <f>EXP(-LN(2)/25)*BQ91+(1-EXP(-LN(2)/25))/(LN(2)/25)*Calculateur!BL92*Calculateur!BN92*VLOOKUP('Données projet'!$B$11,Paramètres!$A$1:$I$89,3,0)*0.475*44/12</f>
        <v>0</v>
      </c>
      <c r="BR92" s="23">
        <f>EXP(-LN(2)/2)*BR91+(1-EXP(-LN(2)/2))/(LN(2)/2)*BL92*BO92*VLOOKUP('Données projet'!$B$11,Paramètres!$A$1:$I$89,3,0)*0.475*44/12</f>
        <v>2.0433238562005591E-8</v>
      </c>
      <c r="BS92" s="24">
        <f t="shared" si="63"/>
        <v>4.7771753272039632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3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25.128791999999958</v>
      </c>
      <c r="D93" s="12">
        <f t="shared" si="86"/>
        <v>7.9568963506803705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80.19506495666657</v>
      </c>
      <c r="H93" s="70">
        <f t="shared" si="56"/>
        <v>314.29090721076824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>
        <f>VLOOKUP(A93,'Données projet'!$A$35:$I$55,2,0)</f>
        <v>275</v>
      </c>
      <c r="L93" s="13">
        <f>VLOOKUP(A93,'Données projet'!$A$35:$I$55,9,0)</f>
        <v>5.4</v>
      </c>
      <c r="M93" s="13">
        <f t="array" ref="M93">INDEX(L:L,MIN(IF(ISNUMBER(L93:L289),ROW(L93:L289),"")))</f>
        <v>5.4</v>
      </c>
      <c r="N93" s="14">
        <f>IF('Données projet'!$A$36&gt;35,N92+M93-V92,IF(A93&lt;'Données projet'!$A$36,$K$205^A93,IF(A93='Données projet'!$A$36,'Données projet'!$B$36,N92+M93-V92)))</f>
        <v>274.99999999999983</v>
      </c>
      <c r="O93" s="14">
        <f>N93*VLOOKUP('Données projet'!$B$9,Paramètres!$A$1:$I$89,3,0)*VLOOKUP('Données projet'!$B$9,Paramètres!$A$1:$I$89,5,0)</f>
        <v>248.81999999999982</v>
      </c>
      <c r="P93" s="14">
        <f t="shared" si="87"/>
        <v>60.333192077890018</v>
      </c>
      <c r="Q93" s="22">
        <f t="shared" si="54"/>
        <v>538.44180953565808</v>
      </c>
      <c r="R93" s="62">
        <f t="shared" si="55"/>
        <v>831.77514286899145</v>
      </c>
      <c r="S93" s="62">
        <f ca="1">AVERAGE(OFFSET($R$3,0,0,'Données projet'!$E$9+1,1))-AVERAGE(OFFSET($H$3,0,0,'Données projet'!$E$9+1,1))</f>
        <v>327.25473597900725</v>
      </c>
      <c r="T93" s="62">
        <f t="shared" si="88"/>
        <v>211.5313580973322</v>
      </c>
      <c r="U93" s="16">
        <f>IF(ISNA(VLOOKUP(A93,'Données projet'!$A$35:$I$55,3,0)),0,VLOOKUP(A93,'Données projet'!$A$35:$I$55,3,0))</f>
        <v>15</v>
      </c>
      <c r="V93" s="16">
        <f>IF(ISNA(VLOOKUP(A93,'Données projet'!$A$35:$I$55,4,0)),0,VLOOKUP(A93,'Données projet'!$A$35:$I$55,4,0))</f>
        <v>21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0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0</v>
      </c>
      <c r="AC93" s="24">
        <f t="shared" si="57"/>
        <v>0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>
        <f>VLOOKUP(A93,'Données projet'!$A$61:$I$81,2,0)</f>
        <v>275</v>
      </c>
      <c r="AG93" s="13">
        <f>VLOOKUP(A93,'Données projet'!$A$61:$I$81,9,0)</f>
        <v>5.4</v>
      </c>
      <c r="AH93" s="13">
        <f t="array" ref="AH93">INDEX(AG:AG,MIN(IF(ISNUMBER(AG93:AG289),ROW(AG93:AG289),"")))</f>
        <v>5.4</v>
      </c>
      <c r="AI93" s="14">
        <f>IF('Données projet'!$A$62&gt;35,AI92+AH93-AQ92,IF(A93&lt;'Données projet'!$A$62,$AF$205^A93,IF(A93='Données projet'!$A$62,'Données projet'!$B$62,AI92+AH93-AQ92)))</f>
        <v>274.99999999999983</v>
      </c>
      <c r="AJ93" s="14">
        <f>AI93*VLOOKUP('Données projet'!$B$10,Paramètres!$A$1:$I$89,3,0)*VLOOKUP('Données projet'!$B$10,Paramètres!$A$1:$I$89,5,0)</f>
        <v>278.84999999999985</v>
      </c>
      <c r="AK93" s="14">
        <f t="shared" si="89"/>
        <v>66.723922641152967</v>
      </c>
      <c r="AL93" s="22">
        <f t="shared" si="58"/>
        <v>601.87458193334112</v>
      </c>
      <c r="AM93" s="62">
        <f t="shared" si="59"/>
        <v>895.20791526667449</v>
      </c>
      <c r="AN93" s="62">
        <f ca="1">AVERAGE(OFFSET($AM$3,0,0,'Données projet'!$E$10+1,1))-AVERAGE(OFFSET($H$3,0,0,'Données projet'!$E$10+1,1))</f>
        <v>366.41072413829329</v>
      </c>
      <c r="AO93" s="62">
        <f t="shared" si="90"/>
        <v>234.41212418619125</v>
      </c>
      <c r="AP93" s="16">
        <f>IF(ISNA(VLOOKUP(A93,'Données projet'!$A$61:$I$81,3,0)),0,VLOOKUP(A93,'Données projet'!$A$61:$I$81,3,0))</f>
        <v>15</v>
      </c>
      <c r="AQ93" s="16">
        <f>IF(ISNA(VLOOKUP(A93,'Données projet'!$A$61:$I$81,4,0)),0,VLOOKUP(A93,'Données projet'!$A$61:$I$81,4,0))</f>
        <v>21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0</v>
      </c>
      <c r="AV93" s="23">
        <f>EXP(-LN(2)/25)*AV92+(1-EXP(-LN(2)/25))/(LN(2)/25)*Calculateur!AQ93*Calculateur!AS93*VLOOKUP('Données projet'!$B$10,Paramètres!$A$1:$I$89,3,0)*0.475*44/12</f>
        <v>0</v>
      </c>
      <c r="AW93" s="23">
        <f>EXP(-LN(2)/2)*AW92+(1-EXP(-LN(2)/2))/(LN(2)/2)*AQ93*AT93*VLOOKUP('Données projet'!$B$10,Paramètres!$A$1:$I$89,3,0)*0.475*44/12</f>
        <v>0</v>
      </c>
      <c r="AX93" s="23">
        <f t="shared" si="60"/>
        <v>0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5.6843418860808015E-14</v>
      </c>
      <c r="BE93" s="14">
        <f>BD93*VLOOKUP('Données projet'!$B$11,Paramètres!$A$1:$I$89,3,0)*VLOOKUP('Données projet'!$B$11,Paramètres!$A$1:$I$89,5,0)</f>
        <v>2.6602720026858149E-14</v>
      </c>
      <c r="BF93" s="14">
        <f t="shared" si="91"/>
        <v>4.6624771586320878E-13</v>
      </c>
      <c r="BG93" s="22">
        <f t="shared" si="61"/>
        <v>8.583811758418665E-13</v>
      </c>
      <c r="BH93" s="62">
        <f t="shared" si="62"/>
        <v>293.33333333333417</v>
      </c>
      <c r="BI93" s="62">
        <f ca="1">AVERAGE(OFFSET($BH$3,0,0,'Données projet'!$E$11+1,1))-AVERAGE(OFFSET($H$3,0,0,'Données projet'!$E$11+1,1))</f>
        <v>152.72674713084456</v>
      </c>
      <c r="BJ93" s="62">
        <f t="shared" si="92"/>
        <v>203.90215120562164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4.6834978127941751</v>
      </c>
      <c r="BQ93" s="23">
        <f>EXP(-LN(2)/25)*BQ92+(1-EXP(-LN(2)/25))/(LN(2)/25)*Calculateur!BL93*Calculateur!BN93*VLOOKUP('Données projet'!$B$11,Paramètres!$A$1:$I$89,3,0)*0.475*44/12</f>
        <v>0</v>
      </c>
      <c r="BR93" s="23">
        <f>EXP(-LN(2)/2)*BR92+(1-EXP(-LN(2)/2))/(LN(2)/2)*BL93*BO93*VLOOKUP('Données projet'!$B$11,Paramètres!$A$1:$I$89,3,0)*0.475*44/12</f>
        <v>1.4448481548796613E-8</v>
      </c>
      <c r="BS93" s="24">
        <f t="shared" si="63"/>
        <v>4.6834978272426566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3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25.408000799999957</v>
      </c>
      <c r="D94" s="12">
        <f t="shared" si="86"/>
        <v>8.0349650815316735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81.061055547235284</v>
      </c>
      <c r="H94" s="70">
        <f t="shared" si="56"/>
        <v>314.91316557700094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5</v>
      </c>
      <c r="N94" s="14">
        <f>IF('Données projet'!$A$36&gt;35,N93+M94-V93,IF(A94&lt;'Données projet'!$A$36,$K$205^A94,IF(A94='Données projet'!$A$36,'Données projet'!$B$36,N93+M94-V93)))</f>
        <v>258.99999999999983</v>
      </c>
      <c r="O94" s="14">
        <f>N94*VLOOKUP('Données projet'!$B$9,Paramètres!$A$1:$I$89,3,0)*VLOOKUP('Données projet'!$B$9,Paramètres!$A$1:$I$89,5,0)</f>
        <v>234.34319999999983</v>
      </c>
      <c r="P94" s="14">
        <f t="shared" si="87"/>
        <v>57.220758006491614</v>
      </c>
      <c r="Q94" s="22">
        <f t="shared" si="54"/>
        <v>507.80722686130588</v>
      </c>
      <c r="R94" s="62">
        <f t="shared" si="55"/>
        <v>801.14056019463919</v>
      </c>
      <c r="S94" s="62">
        <f ca="1">AVERAGE(OFFSET($R$3,0,0,'Données projet'!$E$9+1,1))-AVERAGE(OFFSET($H$3,0,0,'Données projet'!$E$9+1,1))</f>
        <v>327.25473597900725</v>
      </c>
      <c r="T94" s="62">
        <f t="shared" si="88"/>
        <v>211.5313580973322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0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0</v>
      </c>
      <c r="AC94" s="24">
        <f t="shared" si="57"/>
        <v>0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5</v>
      </c>
      <c r="AI94" s="14">
        <f>IF('Données projet'!$A$62&gt;35,AI93+AH94-AQ93,IF(A94&lt;'Données projet'!$A$62,$AF$205^A94,IF(A94='Données projet'!$A$62,'Données projet'!$B$62,AI93+AH94-AQ93)))</f>
        <v>258.99999999999983</v>
      </c>
      <c r="AJ94" s="14">
        <f>AI94*VLOOKUP('Données projet'!$B$10,Paramètres!$A$1:$I$89,3,0)*VLOOKUP('Données projet'!$B$10,Paramètres!$A$1:$I$89,5,0)</f>
        <v>262.62599999999986</v>
      </c>
      <c r="AK94" s="14">
        <f t="shared" si="89"/>
        <v>63.281807230823397</v>
      </c>
      <c r="AL94" s="22">
        <f t="shared" si="58"/>
        <v>567.62276426035044</v>
      </c>
      <c r="AM94" s="62">
        <f t="shared" si="59"/>
        <v>860.95609759368381</v>
      </c>
      <c r="AN94" s="62">
        <f ca="1">AVERAGE(OFFSET($AM$3,0,0,'Données projet'!$E$10+1,1))-AVERAGE(OFFSET($H$3,0,0,'Données projet'!$E$10+1,1))</f>
        <v>366.41072413829329</v>
      </c>
      <c r="AO94" s="62">
        <f t="shared" si="90"/>
        <v>234.41212418619125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0</v>
      </c>
      <c r="AV94" s="23">
        <f>EXP(-LN(2)/25)*AV93+(1-EXP(-LN(2)/25))/(LN(2)/25)*Calculateur!AQ94*Calculateur!AS94*VLOOKUP('Données projet'!$B$10,Paramètres!$A$1:$I$89,3,0)*0.475*44/12</f>
        <v>0</v>
      </c>
      <c r="AW94" s="23">
        <f>EXP(-LN(2)/2)*AW93+(1-EXP(-LN(2)/2))/(LN(2)/2)*AQ94*AT94*VLOOKUP('Données projet'!$B$10,Paramètres!$A$1:$I$89,3,0)*0.475*44/12</f>
        <v>0</v>
      </c>
      <c r="AX94" s="23">
        <f t="shared" si="60"/>
        <v>0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5.6843418860808015E-14</v>
      </c>
      <c r="BE94" s="14">
        <f>BD94*VLOOKUP('Données projet'!$B$11,Paramètres!$A$1:$I$89,3,0)*VLOOKUP('Données projet'!$B$11,Paramètres!$A$1:$I$89,5,0)</f>
        <v>2.6602720026858149E-14</v>
      </c>
      <c r="BF94" s="14">
        <f t="shared" si="91"/>
        <v>4.6624771586320878E-13</v>
      </c>
      <c r="BG94" s="22">
        <f t="shared" si="61"/>
        <v>8.583811758418665E-13</v>
      </c>
      <c r="BH94" s="62">
        <f t="shared" si="62"/>
        <v>293.33333333333417</v>
      </c>
      <c r="BI94" s="62">
        <f ca="1">AVERAGE(OFFSET($BH$3,0,0,'Données projet'!$E$11+1,1))-AVERAGE(OFFSET($H$3,0,0,'Données projet'!$E$11+1,1))</f>
        <v>152.72674713084456</v>
      </c>
      <c r="BJ94" s="62">
        <f t="shared" si="92"/>
        <v>203.90215120562164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4.5916572773368758</v>
      </c>
      <c r="BQ94" s="23">
        <f>EXP(-LN(2)/25)*BQ93+(1-EXP(-LN(2)/25))/(LN(2)/25)*Calculateur!BL94*Calculateur!BN94*VLOOKUP('Données projet'!$B$11,Paramètres!$A$1:$I$89,3,0)*0.475*44/12</f>
        <v>0</v>
      </c>
      <c r="BR94" s="23">
        <f>EXP(-LN(2)/2)*BR93+(1-EXP(-LN(2)/2))/(LN(2)/2)*BL94*BO94*VLOOKUP('Données projet'!$B$11,Paramètres!$A$1:$I$89,3,0)*0.475*44/12</f>
        <v>1.0216619281002797E-8</v>
      </c>
      <c r="BS94" s="24">
        <f t="shared" si="63"/>
        <v>4.5916572875534953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3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25.687209599999957</v>
      </c>
      <c r="D95" s="12">
        <f t="shared" si="86"/>
        <v>8.1129340147540301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81.926804242358074</v>
      </c>
      <c r="H95" s="70">
        <f t="shared" si="56"/>
        <v>315.53525012902986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5</v>
      </c>
      <c r="N95" s="14">
        <f>IF('Données projet'!$A$36&gt;35,N94+M95-V94,IF(A95&lt;'Données projet'!$A$36,$K$205^A95,IF(A95='Données projet'!$A$36,'Données projet'!$B$36,N94+M95-V94)))</f>
        <v>263.99999999999983</v>
      </c>
      <c r="O95" s="14">
        <f>N95*VLOOKUP('Données projet'!$B$9,Paramètres!$A$1:$I$89,3,0)*VLOOKUP('Données projet'!$B$9,Paramètres!$A$1:$I$89,5,0)</f>
        <v>238.86719999999983</v>
      </c>
      <c r="P95" s="14">
        <f t="shared" si="87"/>
        <v>58.195735973104156</v>
      </c>
      <c r="Q95" s="22">
        <f t="shared" si="54"/>
        <v>517.38461348648946</v>
      </c>
      <c r="R95" s="62">
        <f t="shared" si="55"/>
        <v>810.71794681982283</v>
      </c>
      <c r="S95" s="62">
        <f ca="1">AVERAGE(OFFSET($R$3,0,0,'Données projet'!$E$9+1,1))-AVERAGE(OFFSET($H$3,0,0,'Données projet'!$E$9+1,1))</f>
        <v>327.25473597900725</v>
      </c>
      <c r="T95" s="62">
        <f t="shared" si="88"/>
        <v>211.5313580973322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0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0</v>
      </c>
      <c r="AC95" s="24">
        <f t="shared" si="57"/>
        <v>0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5</v>
      </c>
      <c r="AI95" s="14">
        <f>IF('Données projet'!$A$62&gt;35,AI94+AH95-AQ94,IF(A95&lt;'Données projet'!$A$62,$AF$205^A95,IF(A95='Données projet'!$A$62,'Données projet'!$B$62,AI94+AH95-AQ94)))</f>
        <v>263.99999999999983</v>
      </c>
      <c r="AJ95" s="14">
        <f>AI95*VLOOKUP('Données projet'!$B$10,Paramètres!$A$1:$I$89,3,0)*VLOOKUP('Données projet'!$B$10,Paramètres!$A$1:$I$89,5,0)</f>
        <v>267.69599999999986</v>
      </c>
      <c r="AK95" s="14">
        <f t="shared" si="89"/>
        <v>64.360058723585439</v>
      </c>
      <c r="AL95" s="22">
        <f t="shared" si="58"/>
        <v>578.33096894357766</v>
      </c>
      <c r="AM95" s="62">
        <f t="shared" si="59"/>
        <v>871.66430227691103</v>
      </c>
      <c r="AN95" s="62">
        <f ca="1">AVERAGE(OFFSET($AM$3,0,0,'Données projet'!$E$10+1,1))-AVERAGE(OFFSET($H$3,0,0,'Données projet'!$E$10+1,1))</f>
        <v>366.41072413829329</v>
      </c>
      <c r="AO95" s="62">
        <f t="shared" si="90"/>
        <v>234.41212418619125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0</v>
      </c>
      <c r="AV95" s="23">
        <f>EXP(-LN(2)/25)*AV94+(1-EXP(-LN(2)/25))/(LN(2)/25)*Calculateur!AQ95*Calculateur!AS95*VLOOKUP('Données projet'!$B$10,Paramètres!$A$1:$I$89,3,0)*0.475*44/12</f>
        <v>0</v>
      </c>
      <c r="AW95" s="23">
        <f>EXP(-LN(2)/2)*AW94+(1-EXP(-LN(2)/2))/(LN(2)/2)*AQ95*AT95*VLOOKUP('Données projet'!$B$10,Paramètres!$A$1:$I$89,3,0)*0.475*44/12</f>
        <v>0</v>
      </c>
      <c r="AX95" s="23">
        <f t="shared" si="60"/>
        <v>0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5.6843418860808015E-14</v>
      </c>
      <c r="BE95" s="14">
        <f>BD95*VLOOKUP('Données projet'!$B$11,Paramètres!$A$1:$I$89,3,0)*VLOOKUP('Données projet'!$B$11,Paramètres!$A$1:$I$89,5,0)</f>
        <v>2.6602720026858149E-14</v>
      </c>
      <c r="BF95" s="14">
        <f t="shared" si="91"/>
        <v>4.6624771586320878E-13</v>
      </c>
      <c r="BG95" s="22">
        <f t="shared" si="61"/>
        <v>8.583811758418665E-13</v>
      </c>
      <c r="BH95" s="62">
        <f t="shared" si="62"/>
        <v>293.33333333333417</v>
      </c>
      <c r="BI95" s="62">
        <f ca="1">AVERAGE(OFFSET($BH$3,0,0,'Données projet'!$E$11+1,1))-AVERAGE(OFFSET($H$3,0,0,'Données projet'!$E$11+1,1))</f>
        <v>152.72674713084456</v>
      </c>
      <c r="BJ95" s="62">
        <f t="shared" si="92"/>
        <v>203.90215120562164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4.5016176787626989</v>
      </c>
      <c r="BQ95" s="23">
        <f>EXP(-LN(2)/25)*BQ94+(1-EXP(-LN(2)/25))/(LN(2)/25)*Calculateur!BL95*Calculateur!BN95*VLOOKUP('Données projet'!$B$11,Paramètres!$A$1:$I$89,3,0)*0.475*44/12</f>
        <v>0</v>
      </c>
      <c r="BR95" s="23">
        <f>EXP(-LN(2)/2)*BR94+(1-EXP(-LN(2)/2))/(LN(2)/2)*BL95*BO95*VLOOKUP('Données projet'!$B$11,Paramètres!$A$1:$I$89,3,0)*0.475*44/12</f>
        <v>7.2242407743983081E-9</v>
      </c>
      <c r="BS95" s="24">
        <f t="shared" si="63"/>
        <v>4.5016176859869397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3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25.966418399999956</v>
      </c>
      <c r="D96" s="12">
        <f t="shared" si="86"/>
        <v>8.1908043606520948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82.792313975643637</v>
      </c>
      <c r="H96" s="70">
        <f t="shared" si="56"/>
        <v>316.1571629748023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5</v>
      </c>
      <c r="N96" s="14">
        <f>IF('Données projet'!$A$36&gt;35,N95+M96-V95,IF(A96&lt;'Données projet'!$A$36,$K$205^A96,IF(A96='Données projet'!$A$36,'Données projet'!$B$36,N95+M96-V95)))</f>
        <v>268.99999999999983</v>
      </c>
      <c r="O96" s="14">
        <f>N96*VLOOKUP('Données projet'!$B$9,Paramètres!$A$1:$I$89,3,0)*VLOOKUP('Données projet'!$B$9,Paramètres!$A$1:$I$89,5,0)</f>
        <v>243.39119999999986</v>
      </c>
      <c r="P96" s="14">
        <f t="shared" si="87"/>
        <v>59.168566788241527</v>
      </c>
      <c r="Q96" s="22">
        <f t="shared" si="54"/>
        <v>526.95826048952051</v>
      </c>
      <c r="R96" s="62">
        <f t="shared" si="55"/>
        <v>820.29159382285388</v>
      </c>
      <c r="S96" s="62">
        <f ca="1">AVERAGE(OFFSET($R$3,0,0,'Données projet'!$E$9+1,1))-AVERAGE(OFFSET($H$3,0,0,'Données projet'!$E$9+1,1))</f>
        <v>327.25473597900725</v>
      </c>
      <c r="T96" s="62">
        <f t="shared" si="88"/>
        <v>211.5313580973322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0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0</v>
      </c>
      <c r="AC96" s="24">
        <f t="shared" si="57"/>
        <v>0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5</v>
      </c>
      <c r="AI96" s="14">
        <f>IF('Données projet'!$A$62&gt;35,AI95+AH96-AQ95,IF(A96&lt;'Données projet'!$A$62,$AF$205^A96,IF(A96='Données projet'!$A$62,'Données projet'!$B$62,AI95+AH96-AQ95)))</f>
        <v>268.99999999999983</v>
      </c>
      <c r="AJ96" s="14">
        <f>AI96*VLOOKUP('Données projet'!$B$10,Paramètres!$A$1:$I$89,3,0)*VLOOKUP('Données projet'!$B$10,Paramètres!$A$1:$I$89,5,0)</f>
        <v>272.76599999999985</v>
      </c>
      <c r="AK96" s="14">
        <f t="shared" si="89"/>
        <v>65.43593563008757</v>
      </c>
      <c r="AL96" s="22">
        <f t="shared" si="58"/>
        <v>589.03503788906892</v>
      </c>
      <c r="AM96" s="62">
        <f t="shared" si="59"/>
        <v>882.36837122240217</v>
      </c>
      <c r="AN96" s="62">
        <f ca="1">AVERAGE(OFFSET($AM$3,0,0,'Données projet'!$E$10+1,1))-AVERAGE(OFFSET($H$3,0,0,'Données projet'!$E$10+1,1))</f>
        <v>366.41072413829329</v>
      </c>
      <c r="AO96" s="62">
        <f t="shared" si="90"/>
        <v>234.41212418619125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0</v>
      </c>
      <c r="AV96" s="23">
        <f>EXP(-LN(2)/25)*AV95+(1-EXP(-LN(2)/25))/(LN(2)/25)*Calculateur!AQ96*Calculateur!AS96*VLOOKUP('Données projet'!$B$10,Paramètres!$A$1:$I$89,3,0)*0.475*44/12</f>
        <v>0</v>
      </c>
      <c r="AW96" s="23">
        <f>EXP(-LN(2)/2)*AW95+(1-EXP(-LN(2)/2))/(LN(2)/2)*AQ96*AT96*VLOOKUP('Données projet'!$B$10,Paramètres!$A$1:$I$89,3,0)*0.475*44/12</f>
        <v>0</v>
      </c>
      <c r="AX96" s="23">
        <f t="shared" si="60"/>
        <v>0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5.6843418860808015E-14</v>
      </c>
      <c r="BE96" s="14">
        <f>BD96*VLOOKUP('Données projet'!$B$11,Paramètres!$A$1:$I$89,3,0)*VLOOKUP('Données projet'!$B$11,Paramètres!$A$1:$I$89,5,0)</f>
        <v>2.6602720026858149E-14</v>
      </c>
      <c r="BF96" s="14">
        <f t="shared" si="91"/>
        <v>4.6624771586320878E-13</v>
      </c>
      <c r="BG96" s="22">
        <f t="shared" si="61"/>
        <v>8.583811758418665E-13</v>
      </c>
      <c r="BH96" s="62">
        <f t="shared" si="62"/>
        <v>293.33333333333417</v>
      </c>
      <c r="BI96" s="62">
        <f ca="1">AVERAGE(OFFSET($BH$3,0,0,'Données projet'!$E$11+1,1))-AVERAGE(OFFSET($H$3,0,0,'Données projet'!$E$11+1,1))</f>
        <v>152.72674713084456</v>
      </c>
      <c r="BJ96" s="62">
        <f t="shared" si="92"/>
        <v>203.90215120562164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4.4133437017978299</v>
      </c>
      <c r="BQ96" s="23">
        <f>EXP(-LN(2)/25)*BQ95+(1-EXP(-LN(2)/25))/(LN(2)/25)*Calculateur!BL96*Calculateur!BN96*VLOOKUP('Données projet'!$B$11,Paramètres!$A$1:$I$89,3,0)*0.475*44/12</f>
        <v>0</v>
      </c>
      <c r="BR96" s="23">
        <f>EXP(-LN(2)/2)*BR95+(1-EXP(-LN(2)/2))/(LN(2)/2)*BL96*BO96*VLOOKUP('Données projet'!$B$11,Paramètres!$A$1:$I$89,3,0)*0.475*44/12</f>
        <v>5.1083096405013994E-9</v>
      </c>
      <c r="BS96" s="24">
        <f t="shared" si="63"/>
        <v>4.4133437069061392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3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26.245627199999955</v>
      </c>
      <c r="D97" s="12">
        <f t="shared" si="86"/>
        <v>8.268577302003278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83.657587613978379</v>
      </c>
      <c r="H97" s="70">
        <f t="shared" si="56"/>
        <v>316.77890617432229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5</v>
      </c>
      <c r="N97" s="14">
        <f>IF('Données projet'!$A$36&gt;35,N96+M97-V96,IF(A97&lt;'Données projet'!$A$36,$K$205^A97,IF(A97='Données projet'!$A$36,'Données projet'!$B$36,N96+M97-V96)))</f>
        <v>273.99999999999983</v>
      </c>
      <c r="O97" s="14">
        <f>N97*VLOOKUP('Données projet'!$B$9,Paramètres!$A$1:$I$89,3,0)*VLOOKUP('Données projet'!$B$9,Paramètres!$A$1:$I$89,5,0)</f>
        <v>247.91519999999986</v>
      </c>
      <c r="P97" s="14">
        <f t="shared" si="87"/>
        <v>60.139294964297406</v>
      </c>
      <c r="Q97" s="22">
        <f t="shared" si="54"/>
        <v>536.52824539615096</v>
      </c>
      <c r="R97" s="62">
        <f t="shared" si="55"/>
        <v>829.86157872948434</v>
      </c>
      <c r="S97" s="62">
        <f ca="1">AVERAGE(OFFSET($R$3,0,0,'Données projet'!$E$9+1,1))-AVERAGE(OFFSET($H$3,0,0,'Données projet'!$E$9+1,1))</f>
        <v>327.25473597900725</v>
      </c>
      <c r="T97" s="62">
        <f t="shared" si="88"/>
        <v>211.5313580973322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0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0</v>
      </c>
      <c r="AC97" s="24">
        <f t="shared" si="57"/>
        <v>0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5</v>
      </c>
      <c r="AI97" s="14">
        <f>IF('Données projet'!$A$62&gt;35,AI96+AH97-AQ96,IF(A97&lt;'Données projet'!$A$62,$AF$205^A97,IF(A97='Données projet'!$A$62,'Données projet'!$B$62,AI96+AH97-AQ96)))</f>
        <v>273.99999999999983</v>
      </c>
      <c r="AJ97" s="14">
        <f>AI97*VLOOKUP('Données projet'!$B$10,Paramètres!$A$1:$I$89,3,0)*VLOOKUP('Données projet'!$B$10,Paramètres!$A$1:$I$89,5,0)</f>
        <v>277.83599999999984</v>
      </c>
      <c r="AK97" s="14">
        <f t="shared" si="89"/>
        <v>66.509487177652261</v>
      </c>
      <c r="AL97" s="22">
        <f t="shared" si="58"/>
        <v>599.73505683441078</v>
      </c>
      <c r="AM97" s="62">
        <f t="shared" si="59"/>
        <v>893.06839016774416</v>
      </c>
      <c r="AN97" s="62">
        <f ca="1">AVERAGE(OFFSET($AM$3,0,0,'Données projet'!$E$10+1,1))-AVERAGE(OFFSET($H$3,0,0,'Données projet'!$E$10+1,1))</f>
        <v>366.41072413829329</v>
      </c>
      <c r="AO97" s="62">
        <f t="shared" si="90"/>
        <v>234.41212418619125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0</v>
      </c>
      <c r="AV97" s="23">
        <f>EXP(-LN(2)/25)*AV96+(1-EXP(-LN(2)/25))/(LN(2)/25)*Calculateur!AQ97*Calculateur!AS97*VLOOKUP('Données projet'!$B$10,Paramètres!$A$1:$I$89,3,0)*0.475*44/12</f>
        <v>0</v>
      </c>
      <c r="AW97" s="23">
        <f>EXP(-LN(2)/2)*AW96+(1-EXP(-LN(2)/2))/(LN(2)/2)*AQ97*AT97*VLOOKUP('Données projet'!$B$10,Paramètres!$A$1:$I$89,3,0)*0.475*44/12</f>
        <v>0</v>
      </c>
      <c r="AX97" s="23">
        <f t="shared" si="60"/>
        <v>0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5.6843418860808015E-14</v>
      </c>
      <c r="BE97" s="14">
        <f>BD97*VLOOKUP('Données projet'!$B$11,Paramètres!$A$1:$I$89,3,0)*VLOOKUP('Données projet'!$B$11,Paramètres!$A$1:$I$89,5,0)</f>
        <v>2.6602720026858149E-14</v>
      </c>
      <c r="BF97" s="14">
        <f t="shared" si="91"/>
        <v>4.6624771586320878E-13</v>
      </c>
      <c r="BG97" s="22">
        <f t="shared" si="61"/>
        <v>8.583811758418665E-13</v>
      </c>
      <c r="BH97" s="62">
        <f t="shared" si="62"/>
        <v>293.33333333333417</v>
      </c>
      <c r="BI97" s="62">
        <f ca="1">AVERAGE(OFFSET($BH$3,0,0,'Données projet'!$E$11+1,1))-AVERAGE(OFFSET($H$3,0,0,'Données projet'!$E$11+1,1))</f>
        <v>152.72674713084456</v>
      </c>
      <c r="BJ97" s="62">
        <f t="shared" si="92"/>
        <v>203.90215120562164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4.3268007236794324</v>
      </c>
      <c r="BQ97" s="23">
        <f>EXP(-LN(2)/25)*BQ96+(1-EXP(-LN(2)/25))/(LN(2)/25)*Calculateur!BL97*Calculateur!BN97*VLOOKUP('Données projet'!$B$11,Paramètres!$A$1:$I$89,3,0)*0.475*44/12</f>
        <v>0</v>
      </c>
      <c r="BR97" s="23">
        <f>EXP(-LN(2)/2)*BR96+(1-EXP(-LN(2)/2))/(LN(2)/2)*BL97*BO97*VLOOKUP('Données projet'!$B$11,Paramètres!$A$1:$I$89,3,0)*0.475*44/12</f>
        <v>3.6121203871991545E-9</v>
      </c>
      <c r="BS97" s="24">
        <f t="shared" si="63"/>
        <v>4.3268007272915527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3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26.524835999999954</v>
      </c>
      <c r="D98" s="12">
        <f t="shared" si="86"/>
        <v>8.3462539949698726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84.522627959737392</v>
      </c>
      <c r="H98" s="70">
        <f t="shared" si="56"/>
        <v>317.40048174123916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>
        <f>VLOOKUP(A98,'Données projet'!$A$35:$I$55,2,0)</f>
        <v>279</v>
      </c>
      <c r="L98" s="13">
        <f>VLOOKUP(A98,'Données projet'!$A$35:$I$55,9,0)</f>
        <v>5</v>
      </c>
      <c r="M98" s="13">
        <f t="array" ref="M98">INDEX(L:L,MIN(IF(ISNUMBER(L98:L294),ROW(L98:L294),"")))</f>
        <v>5</v>
      </c>
      <c r="N98" s="14">
        <f>IF('Données projet'!$A$36&gt;35,N97+M98-V97,IF(A98&lt;'Données projet'!$A$36,$K$205^A98,IF(A98='Données projet'!$A$36,'Données projet'!$B$36,N97+M98-V97)))</f>
        <v>278.99999999999983</v>
      </c>
      <c r="O98" s="14">
        <f>N98*VLOOKUP('Données projet'!$B$9,Paramètres!$A$1:$I$89,3,0)*VLOOKUP('Données projet'!$B$9,Paramètres!$A$1:$I$89,5,0)</f>
        <v>252.43919999999983</v>
      </c>
      <c r="P98" s="14">
        <f t="shared" si="87"/>
        <v>61.107963296116218</v>
      </c>
      <c r="Q98" s="22">
        <f t="shared" si="54"/>
        <v>546.09464274073537</v>
      </c>
      <c r="R98" s="62">
        <f t="shared" si="55"/>
        <v>839.42797607406874</v>
      </c>
      <c r="S98" s="62">
        <f ca="1">AVERAGE(OFFSET($R$3,0,0,'Données projet'!$E$9+1,1))-AVERAGE(OFFSET($H$3,0,0,'Données projet'!$E$9+1,1))</f>
        <v>327.25473597900725</v>
      </c>
      <c r="T98" s="62">
        <f t="shared" si="88"/>
        <v>211.5313580973322</v>
      </c>
      <c r="U98" s="16">
        <f>IF(ISNA(VLOOKUP(A98,'Données projet'!$A$35:$I$55,3,0)),0,VLOOKUP(A98,'Données projet'!$A$35:$I$55,3,0))</f>
        <v>16</v>
      </c>
      <c r="V98" s="16">
        <f>IF(ISNA(VLOOKUP(A98,'Données projet'!$A$35:$I$55,4,0)),0,VLOOKUP(A98,'Données projet'!$A$35:$I$55,4,0))</f>
        <v>21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0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0</v>
      </c>
      <c r="AC98" s="24">
        <f t="shared" si="57"/>
        <v>0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>
        <f>VLOOKUP(A98,'Données projet'!$A$61:$I$81,2,0)</f>
        <v>279</v>
      </c>
      <c r="AG98" s="13">
        <f>VLOOKUP(A98,'Données projet'!$A$61:$I$81,9,0)</f>
        <v>5</v>
      </c>
      <c r="AH98" s="13">
        <f t="array" ref="AH98">INDEX(AG:AG,MIN(IF(ISNUMBER(AG98:AG294),ROW(AG98:AG294),"")))</f>
        <v>5</v>
      </c>
      <c r="AI98" s="14">
        <f>IF('Données projet'!$A$62&gt;35,AI97+AH98-AQ97,IF(A98&lt;'Données projet'!$A$62,$AF$205^A98,IF(A98='Données projet'!$A$62,'Données projet'!$B$62,AI97+AH98-AQ97)))</f>
        <v>278.99999999999983</v>
      </c>
      <c r="AJ98" s="14">
        <f>AI98*VLOOKUP('Données projet'!$B$10,Paramètres!$A$1:$I$89,3,0)*VLOOKUP('Données projet'!$B$10,Paramètres!$A$1:$I$89,5,0)</f>
        <v>282.90599999999989</v>
      </c>
      <c r="AK98" s="14">
        <f t="shared" si="89"/>
        <v>67.580760694123455</v>
      </c>
      <c r="AL98" s="22">
        <f t="shared" si="58"/>
        <v>610.43110820893151</v>
      </c>
      <c r="AM98" s="62">
        <f t="shared" si="59"/>
        <v>903.76444154226488</v>
      </c>
      <c r="AN98" s="62">
        <f ca="1">AVERAGE(OFFSET($AM$3,0,0,'Données projet'!$E$10+1,1))-AVERAGE(OFFSET($H$3,0,0,'Données projet'!$E$10+1,1))</f>
        <v>366.41072413829329</v>
      </c>
      <c r="AO98" s="62">
        <f t="shared" si="90"/>
        <v>234.41212418619125</v>
      </c>
      <c r="AP98" s="16">
        <f>IF(ISNA(VLOOKUP(A98,'Données projet'!$A$61:$I$81,3,0)),0,VLOOKUP(A98,'Données projet'!$A$61:$I$81,3,0))</f>
        <v>16</v>
      </c>
      <c r="AQ98" s="16">
        <f>IF(ISNA(VLOOKUP(A98,'Données projet'!$A$61:$I$81,4,0)),0,VLOOKUP(A98,'Données projet'!$A$61:$I$81,4,0))</f>
        <v>21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0</v>
      </c>
      <c r="AV98" s="23">
        <f>EXP(-LN(2)/25)*AV97+(1-EXP(-LN(2)/25))/(LN(2)/25)*Calculateur!AQ98*Calculateur!AS98*VLOOKUP('Données projet'!$B$10,Paramètres!$A$1:$I$89,3,0)*0.475*44/12</f>
        <v>0</v>
      </c>
      <c r="AW98" s="23">
        <f>EXP(-LN(2)/2)*AW97+(1-EXP(-LN(2)/2))/(LN(2)/2)*AQ98*AT98*VLOOKUP('Données projet'!$B$10,Paramètres!$A$1:$I$89,3,0)*0.475*44/12</f>
        <v>0</v>
      </c>
      <c r="AX98" s="23">
        <f t="shared" si="60"/>
        <v>0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5.6843418860808015E-14</v>
      </c>
      <c r="BE98" s="14">
        <f>BD98*VLOOKUP('Données projet'!$B$11,Paramètres!$A$1:$I$89,3,0)*VLOOKUP('Données projet'!$B$11,Paramètres!$A$1:$I$89,5,0)</f>
        <v>2.6602720026858149E-14</v>
      </c>
      <c r="BF98" s="14">
        <f t="shared" si="91"/>
        <v>4.6624771586320878E-13</v>
      </c>
      <c r="BG98" s="22">
        <f t="shared" si="61"/>
        <v>8.583811758418665E-13</v>
      </c>
      <c r="BH98" s="62">
        <f t="shared" si="62"/>
        <v>293.33333333333417</v>
      </c>
      <c r="BI98" s="62">
        <f ca="1">AVERAGE(OFFSET($BH$3,0,0,'Données projet'!$E$11+1,1))-AVERAGE(OFFSET($H$3,0,0,'Données projet'!$E$11+1,1))</f>
        <v>152.72674713084456</v>
      </c>
      <c r="BJ98" s="62">
        <f t="shared" si="92"/>
        <v>203.90215120562164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4.2419548005759316</v>
      </c>
      <c r="BQ98" s="23">
        <f>EXP(-LN(2)/25)*BQ97+(1-EXP(-LN(2)/25))/(LN(2)/25)*Calculateur!BL98*Calculateur!BN98*VLOOKUP('Données projet'!$B$11,Paramètres!$A$1:$I$89,3,0)*0.475*44/12</f>
        <v>0</v>
      </c>
      <c r="BR98" s="23">
        <f>EXP(-LN(2)/2)*BR97+(1-EXP(-LN(2)/2))/(LN(2)/2)*BL98*BO98*VLOOKUP('Données projet'!$B$11,Paramètres!$A$1:$I$89,3,0)*0.475*44/12</f>
        <v>2.5541548202507001E-9</v>
      </c>
      <c r="BS98" s="24">
        <f t="shared" si="63"/>
        <v>4.2419548031300867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3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26.804044799999954</v>
      </c>
      <c r="D99" s="12">
        <f t="shared" si="86"/>
        <v>8.4238355699716703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85.387437752899643</v>
      </c>
      <c r="H99" s="70">
        <f t="shared" si="56"/>
        <v>318.02189164436726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4.8</v>
      </c>
      <c r="N99" s="14">
        <f>IF('Données projet'!$A$36&gt;35,N98+M99-V98,IF(A99&lt;'Données projet'!$A$36,$K$205^A99,IF(A99='Données projet'!$A$36,'Données projet'!$B$36,N98+M99-V98)))</f>
        <v>262.79999999999984</v>
      </c>
      <c r="O99" s="14">
        <f>N99*VLOOKUP('Données projet'!$B$9,Paramètres!$A$1:$I$89,3,0)*VLOOKUP('Données projet'!$B$9,Paramètres!$A$1:$I$89,5,0)</f>
        <v>237.78143999999983</v>
      </c>
      <c r="P99" s="14">
        <f t="shared" si="87"/>
        <v>57.9619387969109</v>
      </c>
      <c r="Q99" s="22">
        <f t="shared" ref="Q99:Q130" si="107">(O99+P99)*0.475*44/12</f>
        <v>515.08638473795281</v>
      </c>
      <c r="R99" s="62">
        <f t="shared" si="55"/>
        <v>808.41971807128607</v>
      </c>
      <c r="S99" s="62">
        <f ca="1">AVERAGE(OFFSET($R$3,0,0,'Données projet'!$E$9+1,1))-AVERAGE(OFFSET($H$3,0,0,'Données projet'!$E$9+1,1))</f>
        <v>327.25473597900725</v>
      </c>
      <c r="T99" s="62">
        <f t="shared" si="88"/>
        <v>211.5313580973322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0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0</v>
      </c>
      <c r="AC99" s="24">
        <f t="shared" si="57"/>
        <v>0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4.8</v>
      </c>
      <c r="AI99" s="14">
        <f>IF('Données projet'!$A$62&gt;35,AI98+AH99-AQ98,IF(A99&lt;'Données projet'!$A$62,$AF$205^A99,IF(A99='Données projet'!$A$62,'Données projet'!$B$62,AI98+AH99-AQ98)))</f>
        <v>262.79999999999984</v>
      </c>
      <c r="AJ99" s="14">
        <f>AI99*VLOOKUP('Données projet'!$B$10,Paramètres!$A$1:$I$89,3,0)*VLOOKUP('Données projet'!$B$10,Paramètres!$A$1:$I$89,5,0)</f>
        <v>266.47919999999988</v>
      </c>
      <c r="AK99" s="14">
        <f t="shared" si="89"/>
        <v>64.101496824889622</v>
      </c>
      <c r="AL99" s="22">
        <f t="shared" si="58"/>
        <v>575.76138030334926</v>
      </c>
      <c r="AM99" s="62">
        <f t="shared" si="59"/>
        <v>869.09471363668263</v>
      </c>
      <c r="AN99" s="62">
        <f ca="1">AVERAGE(OFFSET($AM$3,0,0,'Données projet'!$E$10+1,1))-AVERAGE(OFFSET($H$3,0,0,'Données projet'!$E$10+1,1))</f>
        <v>366.41072413829329</v>
      </c>
      <c r="AO99" s="62">
        <f t="shared" si="90"/>
        <v>234.41212418619125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0</v>
      </c>
      <c r="AV99" s="23">
        <f>EXP(-LN(2)/25)*AV98+(1-EXP(-LN(2)/25))/(LN(2)/25)*Calculateur!AQ99*Calculateur!AS99*VLOOKUP('Données projet'!$B$10,Paramètres!$A$1:$I$89,3,0)*0.475*44/12</f>
        <v>0</v>
      </c>
      <c r="AW99" s="23">
        <f>EXP(-LN(2)/2)*AW98+(1-EXP(-LN(2)/2))/(LN(2)/2)*AQ99*AT99*VLOOKUP('Données projet'!$B$10,Paramètres!$A$1:$I$89,3,0)*0.475*44/12</f>
        <v>0</v>
      </c>
      <c r="AX99" s="23">
        <f t="shared" si="60"/>
        <v>0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5.6843418860808015E-14</v>
      </c>
      <c r="BE99" s="14">
        <f>BD99*VLOOKUP('Données projet'!$B$11,Paramètres!$A$1:$I$89,3,0)*VLOOKUP('Données projet'!$B$11,Paramètres!$A$1:$I$89,5,0)</f>
        <v>2.6602720026858149E-14</v>
      </c>
      <c r="BF99" s="14">
        <f t="shared" si="91"/>
        <v>4.6624771586320878E-13</v>
      </c>
      <c r="BG99" s="22">
        <f t="shared" si="61"/>
        <v>8.583811758418665E-13</v>
      </c>
      <c r="BH99" s="62">
        <f t="shared" si="62"/>
        <v>293.33333333333417</v>
      </c>
      <c r="BI99" s="62">
        <f ca="1">AVERAGE(OFFSET($BH$3,0,0,'Données projet'!$E$11+1,1))-AVERAGE(OFFSET($H$3,0,0,'Données projet'!$E$11+1,1))</f>
        <v>152.72674713084456</v>
      </c>
      <c r="BJ99" s="62">
        <f t="shared" si="92"/>
        <v>203.90215120562164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4.1587726542735872</v>
      </c>
      <c r="BQ99" s="23">
        <f>EXP(-LN(2)/25)*BQ98+(1-EXP(-LN(2)/25))/(LN(2)/25)*Calculateur!BL99*Calculateur!BN99*VLOOKUP('Données projet'!$B$11,Paramètres!$A$1:$I$89,3,0)*0.475*44/12</f>
        <v>0</v>
      </c>
      <c r="BR99" s="23">
        <f>EXP(-LN(2)/2)*BR98+(1-EXP(-LN(2)/2))/(LN(2)/2)*BL99*BO99*VLOOKUP('Données projet'!$B$11,Paramètres!$A$1:$I$89,3,0)*0.475*44/12</f>
        <v>1.8060601935995776E-9</v>
      </c>
      <c r="BS99" s="24">
        <f t="shared" si="63"/>
        <v>4.1587726560796474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3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27.083253599999953</v>
      </c>
      <c r="D100" s="12">
        <f t="shared" si="86"/>
        <v>8.5013231325211791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86.252019673072269</v>
      </c>
      <c r="H100" s="70">
        <f t="shared" si="56"/>
        <v>318.64313780914097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4.8</v>
      </c>
      <c r="N100" s="14">
        <f>IF('Données projet'!$A$36&gt;35,N99+M100-V99,IF(A100&lt;'Données projet'!$A$36,$K$205^A100,IF(A100='Données projet'!$A$36,'Données projet'!$B$36,N99+M100-V99)))</f>
        <v>267.59999999999985</v>
      </c>
      <c r="O100" s="14">
        <f>N100*VLOOKUP('Données projet'!$B$9,Paramètres!$A$1:$I$89,3,0)*VLOOKUP('Données projet'!$B$9,Paramètres!$A$1:$I$89,5,0)</f>
        <v>242.12447999999986</v>
      </c>
      <c r="P100" s="14">
        <f t="shared" si="87"/>
        <v>58.896387987806008</v>
      </c>
      <c r="Q100" s="22">
        <f t="shared" si="107"/>
        <v>524.27801174542856</v>
      </c>
      <c r="R100" s="62">
        <f t="shared" si="55"/>
        <v>817.61134507876181</v>
      </c>
      <c r="S100" s="62">
        <f ca="1">AVERAGE(OFFSET($R$3,0,0,'Données projet'!$E$9+1,1))-AVERAGE(OFFSET($H$3,0,0,'Données projet'!$E$9+1,1))</f>
        <v>327.25473597900725</v>
      </c>
      <c r="T100" s="62">
        <f t="shared" si="88"/>
        <v>211.5313580973322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0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0</v>
      </c>
      <c r="AC100" s="24">
        <f t="shared" si="57"/>
        <v>0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4.8</v>
      </c>
      <c r="AI100" s="14">
        <f>IF('Données projet'!$A$62&gt;35,AI99+AH100-AQ99,IF(A100&lt;'Données projet'!$A$62,$AF$205^A100,IF(A100='Données projet'!$A$62,'Données projet'!$B$62,AI99+AH100-AQ99)))</f>
        <v>267.59999999999985</v>
      </c>
      <c r="AJ100" s="14">
        <f>AI100*VLOOKUP('Données projet'!$B$10,Paramètres!$A$1:$I$89,3,0)*VLOOKUP('Données projet'!$B$10,Paramètres!$A$1:$I$89,5,0)</f>
        <v>271.34639999999985</v>
      </c>
      <c r="AK100" s="14">
        <f t="shared" si="89"/>
        <v>65.134926573557308</v>
      </c>
      <c r="AL100" s="22">
        <f t="shared" si="58"/>
        <v>586.03831044894537</v>
      </c>
      <c r="AM100" s="62">
        <f t="shared" si="59"/>
        <v>879.37164378227862</v>
      </c>
      <c r="AN100" s="62">
        <f ca="1">AVERAGE(OFFSET($AM$3,0,0,'Données projet'!$E$10+1,1))-AVERAGE(OFFSET($H$3,0,0,'Données projet'!$E$10+1,1))</f>
        <v>366.41072413829329</v>
      </c>
      <c r="AO100" s="62">
        <f t="shared" si="90"/>
        <v>234.41212418619125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0</v>
      </c>
      <c r="AV100" s="23">
        <f>EXP(-LN(2)/25)*AV99+(1-EXP(-LN(2)/25))/(LN(2)/25)*Calculateur!AQ100*Calculateur!AS100*VLOOKUP('Données projet'!$B$10,Paramètres!$A$1:$I$89,3,0)*0.475*44/12</f>
        <v>0</v>
      </c>
      <c r="AW100" s="23">
        <f>EXP(-LN(2)/2)*AW99+(1-EXP(-LN(2)/2))/(LN(2)/2)*AQ100*AT100*VLOOKUP('Données projet'!$B$10,Paramètres!$A$1:$I$89,3,0)*0.475*44/12</f>
        <v>0</v>
      </c>
      <c r="AX100" s="23">
        <f t="shared" si="60"/>
        <v>0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5.6843418860808015E-14</v>
      </c>
      <c r="BE100" s="14">
        <f>BD100*VLOOKUP('Données projet'!$B$11,Paramètres!$A$1:$I$89,3,0)*VLOOKUP('Données projet'!$B$11,Paramètres!$A$1:$I$89,5,0)</f>
        <v>2.6602720026858149E-14</v>
      </c>
      <c r="BF100" s="14">
        <f t="shared" si="91"/>
        <v>4.6624771586320878E-13</v>
      </c>
      <c r="BG100" s="22">
        <f t="shared" si="61"/>
        <v>8.583811758418665E-13</v>
      </c>
      <c r="BH100" s="62">
        <f t="shared" si="62"/>
        <v>293.33333333333417</v>
      </c>
      <c r="BI100" s="62">
        <f ca="1">AVERAGE(OFFSET($BH$3,0,0,'Données projet'!$E$11+1,1))-AVERAGE(OFFSET($H$3,0,0,'Données projet'!$E$11+1,1))</f>
        <v>152.72674713084456</v>
      </c>
      <c r="BJ100" s="62">
        <f t="shared" si="92"/>
        <v>203.90215120562164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4.0772216591241328</v>
      </c>
      <c r="BQ100" s="23">
        <f>EXP(-LN(2)/25)*BQ99+(1-EXP(-LN(2)/25))/(LN(2)/25)*Calculateur!BL100*Calculateur!BN100*VLOOKUP('Données projet'!$B$11,Paramètres!$A$1:$I$89,3,0)*0.475*44/12</f>
        <v>0</v>
      </c>
      <c r="BR100" s="23">
        <f>EXP(-LN(2)/2)*BR99+(1-EXP(-LN(2)/2))/(LN(2)/2)*BL100*BO100*VLOOKUP('Données projet'!$B$11,Paramètres!$A$1:$I$89,3,0)*0.475*44/12</f>
        <v>1.2770774101253503E-9</v>
      </c>
      <c r="BS100" s="24">
        <f t="shared" si="63"/>
        <v>4.0772216604012099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3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27.362462399999952</v>
      </c>
      <c r="D101" s="12">
        <f t="shared" si="86"/>
        <v>8.5787177640234269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87.116376341429302</v>
      </c>
      <c r="H101" s="70">
        <f t="shared" si="56"/>
        <v>319.2642221190074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4.8</v>
      </c>
      <c r="N101" s="14">
        <f>IF('Données projet'!$A$36&gt;35,N100+M101-V100,IF(A101&lt;'Données projet'!$A$36,$K$205^A101,IF(A101='Données projet'!$A$36,'Données projet'!$B$36,N100+M101-V100)))</f>
        <v>272.39999999999986</v>
      </c>
      <c r="O101" s="14">
        <f>N101*VLOOKUP('Données projet'!$B$9,Paramètres!$A$1:$I$89,3,0)*VLOOKUP('Données projet'!$B$9,Paramètres!$A$1:$I$89,5,0)</f>
        <v>246.46751999999987</v>
      </c>
      <c r="P101" s="14">
        <f t="shared" si="87"/>
        <v>59.828888074216977</v>
      </c>
      <c r="Q101" s="22">
        <f t="shared" si="107"/>
        <v>533.46624406259423</v>
      </c>
      <c r="R101" s="62">
        <f t="shared" si="55"/>
        <v>826.7995773959276</v>
      </c>
      <c r="S101" s="62">
        <f ca="1">AVERAGE(OFFSET($R$3,0,0,'Données projet'!$E$9+1,1))-AVERAGE(OFFSET($H$3,0,0,'Données projet'!$E$9+1,1))</f>
        <v>327.25473597900725</v>
      </c>
      <c r="T101" s="62">
        <f t="shared" si="88"/>
        <v>211.5313580973322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0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0</v>
      </c>
      <c r="AC101" s="24">
        <f t="shared" si="57"/>
        <v>0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4.8</v>
      </c>
      <c r="AI101" s="14">
        <f>IF('Données projet'!$A$62&gt;35,AI100+AH101-AQ100,IF(A101&lt;'Données projet'!$A$62,$AF$205^A101,IF(A101='Données projet'!$A$62,'Données projet'!$B$62,AI100+AH101-AQ100)))</f>
        <v>272.39999999999986</v>
      </c>
      <c r="AJ101" s="14">
        <f>AI101*VLOOKUP('Données projet'!$B$10,Paramètres!$A$1:$I$89,3,0)*VLOOKUP('Données projet'!$B$10,Paramètres!$A$1:$I$89,5,0)</f>
        <v>276.21359999999987</v>
      </c>
      <c r="AK101" s="14">
        <f t="shared" si="89"/>
        <v>66.166200760877416</v>
      </c>
      <c r="AL101" s="22">
        <f t="shared" si="58"/>
        <v>596.31148632519455</v>
      </c>
      <c r="AM101" s="62">
        <f t="shared" si="59"/>
        <v>889.64481965852792</v>
      </c>
      <c r="AN101" s="62">
        <f ca="1">AVERAGE(OFFSET($AM$3,0,0,'Données projet'!$E$10+1,1))-AVERAGE(OFFSET($H$3,0,0,'Données projet'!$E$10+1,1))</f>
        <v>366.41072413829329</v>
      </c>
      <c r="AO101" s="62">
        <f t="shared" si="90"/>
        <v>234.41212418619125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0</v>
      </c>
      <c r="AV101" s="23">
        <f>EXP(-LN(2)/25)*AV100+(1-EXP(-LN(2)/25))/(LN(2)/25)*Calculateur!AQ101*Calculateur!AS101*VLOOKUP('Données projet'!$B$10,Paramètres!$A$1:$I$89,3,0)*0.475*44/12</f>
        <v>0</v>
      </c>
      <c r="AW101" s="23">
        <f>EXP(-LN(2)/2)*AW100+(1-EXP(-LN(2)/2))/(LN(2)/2)*AQ101*AT101*VLOOKUP('Données projet'!$B$10,Paramètres!$A$1:$I$89,3,0)*0.475*44/12</f>
        <v>0</v>
      </c>
      <c r="AX101" s="23">
        <f t="shared" si="60"/>
        <v>0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5.6843418860808015E-14</v>
      </c>
      <c r="BE101" s="14">
        <f>BD101*VLOOKUP('Données projet'!$B$11,Paramètres!$A$1:$I$89,3,0)*VLOOKUP('Données projet'!$B$11,Paramètres!$A$1:$I$89,5,0)</f>
        <v>2.6602720026858149E-14</v>
      </c>
      <c r="BF101" s="14">
        <f t="shared" si="91"/>
        <v>4.6624771586320878E-13</v>
      </c>
      <c r="BG101" s="22">
        <f t="shared" si="61"/>
        <v>8.583811758418665E-13</v>
      </c>
      <c r="BH101" s="62">
        <f t="shared" si="62"/>
        <v>293.33333333333417</v>
      </c>
      <c r="BI101" s="62">
        <f ca="1">AVERAGE(OFFSET($BH$3,0,0,'Données projet'!$E$11+1,1))-AVERAGE(OFFSET($H$3,0,0,'Données projet'!$E$11+1,1))</f>
        <v>152.72674713084456</v>
      </c>
      <c r="BJ101" s="62">
        <f t="shared" si="92"/>
        <v>203.90215120562164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3.9972698292483635</v>
      </c>
      <c r="BQ101" s="23">
        <f>EXP(-LN(2)/25)*BQ100+(1-EXP(-LN(2)/25))/(LN(2)/25)*Calculateur!BL101*Calculateur!BN101*VLOOKUP('Données projet'!$B$11,Paramètres!$A$1:$I$89,3,0)*0.475*44/12</f>
        <v>0</v>
      </c>
      <c r="BR101" s="23">
        <f>EXP(-LN(2)/2)*BR100+(1-EXP(-LN(2)/2))/(LN(2)/2)*BL101*BO101*VLOOKUP('Données projet'!$B$11,Paramètres!$A$1:$I$89,3,0)*0.475*44/12</f>
        <v>9.0303009679978893E-10</v>
      </c>
      <c r="BS101" s="24">
        <f t="shared" si="63"/>
        <v>3.9972698301513936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3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27.641671199999951</v>
      </c>
      <c r="D102" s="12">
        <f t="shared" si="86"/>
        <v>8.656020522542148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87.980510322568705</v>
      </c>
      <c r="H102" s="70">
        <f t="shared" si="56"/>
        <v>319.88514641676085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4.8</v>
      </c>
      <c r="N102" s="14">
        <f>IF('Données projet'!$A$36&gt;35,N101+M102-V101,IF(A102&lt;'Données projet'!$A$36,$K$205^A102,IF(A102='Données projet'!$A$36,'Données projet'!$B$36,N101+M102-V101)))</f>
        <v>277.19999999999987</v>
      </c>
      <c r="O102" s="14">
        <f>N102*VLOOKUP('Données projet'!$B$9,Paramètres!$A$1:$I$89,3,0)*VLOOKUP('Données projet'!$B$9,Paramètres!$A$1:$I$89,5,0)</f>
        <v>250.8105599999999</v>
      </c>
      <c r="P102" s="14">
        <f t="shared" si="87"/>
        <v>60.75947736410869</v>
      </c>
      <c r="Q102" s="22">
        <f t="shared" si="107"/>
        <v>542.65114840915578</v>
      </c>
      <c r="R102" s="62">
        <f t="shared" si="55"/>
        <v>835.98448174248915</v>
      </c>
      <c r="S102" s="62">
        <f ca="1">AVERAGE(OFFSET($R$3,0,0,'Données projet'!$E$9+1,1))-AVERAGE(OFFSET($H$3,0,0,'Données projet'!$E$9+1,1))</f>
        <v>327.25473597900725</v>
      </c>
      <c r="T102" s="62">
        <f t="shared" si="88"/>
        <v>211.5313580973322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0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0</v>
      </c>
      <c r="AC102" s="24">
        <f t="shared" si="57"/>
        <v>0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4.8</v>
      </c>
      <c r="AI102" s="14">
        <f>IF('Données projet'!$A$62&gt;35,AI101+AH102-AQ101,IF(A102&lt;'Données projet'!$A$62,$AF$205^A102,IF(A102='Données projet'!$A$62,'Données projet'!$B$62,AI101+AH102-AQ101)))</f>
        <v>277.19999999999987</v>
      </c>
      <c r="AJ102" s="14">
        <f>AI102*VLOOKUP('Données projet'!$B$10,Paramètres!$A$1:$I$89,3,0)*VLOOKUP('Données projet'!$B$10,Paramètres!$A$1:$I$89,5,0)</f>
        <v>281.0807999999999</v>
      </c>
      <c r="AK102" s="14">
        <f t="shared" si="89"/>
        <v>67.19536175254612</v>
      </c>
      <c r="AL102" s="22">
        <f t="shared" si="58"/>
        <v>606.58098171901759</v>
      </c>
      <c r="AM102" s="62">
        <f t="shared" si="59"/>
        <v>899.91431505235096</v>
      </c>
      <c r="AN102" s="62">
        <f ca="1">AVERAGE(OFFSET($AM$3,0,0,'Données projet'!$E$10+1,1))-AVERAGE(OFFSET($H$3,0,0,'Données projet'!$E$10+1,1))</f>
        <v>366.41072413829329</v>
      </c>
      <c r="AO102" s="62">
        <f t="shared" si="90"/>
        <v>234.41212418619125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0</v>
      </c>
      <c r="AV102" s="23">
        <f>EXP(-LN(2)/25)*AV101+(1-EXP(-LN(2)/25))/(LN(2)/25)*Calculateur!AQ102*Calculateur!AS102*VLOOKUP('Données projet'!$B$10,Paramètres!$A$1:$I$89,3,0)*0.475*44/12</f>
        <v>0</v>
      </c>
      <c r="AW102" s="23">
        <f>EXP(-LN(2)/2)*AW101+(1-EXP(-LN(2)/2))/(LN(2)/2)*AQ102*AT102*VLOOKUP('Données projet'!$B$10,Paramètres!$A$1:$I$89,3,0)*0.475*44/12</f>
        <v>0</v>
      </c>
      <c r="AX102" s="23">
        <f t="shared" si="60"/>
        <v>0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5.6843418860808015E-14</v>
      </c>
      <c r="BE102" s="14">
        <f>BD102*VLOOKUP('Données projet'!$B$11,Paramètres!$A$1:$I$89,3,0)*VLOOKUP('Données projet'!$B$11,Paramètres!$A$1:$I$89,5,0)</f>
        <v>2.6602720026858149E-14</v>
      </c>
      <c r="BF102" s="14">
        <f t="shared" si="91"/>
        <v>4.6624771586320878E-13</v>
      </c>
      <c r="BG102" s="22">
        <f t="shared" si="61"/>
        <v>8.583811758418665E-13</v>
      </c>
      <c r="BH102" s="62">
        <f t="shared" si="62"/>
        <v>293.33333333333417</v>
      </c>
      <c r="BI102" s="62">
        <f ca="1">AVERAGE(OFFSET($BH$3,0,0,'Données projet'!$E$11+1,1))-AVERAGE(OFFSET($H$3,0,0,'Données projet'!$E$11+1,1))</f>
        <v>152.72674713084456</v>
      </c>
      <c r="BJ102" s="62">
        <f t="shared" si="92"/>
        <v>203.90215120562164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3.9188858059906573</v>
      </c>
      <c r="BQ102" s="23">
        <f>EXP(-LN(2)/25)*BQ101+(1-EXP(-LN(2)/25))/(LN(2)/25)*Calculateur!BL102*Calculateur!BN102*VLOOKUP('Données projet'!$B$11,Paramètres!$A$1:$I$89,3,0)*0.475*44/12</f>
        <v>0</v>
      </c>
      <c r="BR102" s="23">
        <f>EXP(-LN(2)/2)*BR101+(1-EXP(-LN(2)/2))/(LN(2)/2)*BL102*BO102*VLOOKUP('Données projet'!$B$11,Paramètres!$A$1:$I$89,3,0)*0.475*44/12</f>
        <v>6.3853870506267524E-10</v>
      </c>
      <c r="BS102" s="24">
        <f t="shared" si="63"/>
        <v>3.9188858066291958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3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27.920879999999951</v>
      </c>
      <c r="D103" s="12">
        <f t="shared" si="86"/>
        <v>8.733232443534197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88.844424126292594</v>
      </c>
      <c r="H103" s="70">
        <f t="shared" si="56"/>
        <v>320.50591250582198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>
        <f>VLOOKUP(A103,'Données projet'!$A$35:$I$55,2,0)</f>
        <v>282</v>
      </c>
      <c r="L103" s="13">
        <f>VLOOKUP(A103,'Données projet'!$A$35:$I$55,9,0)</f>
        <v>4.8</v>
      </c>
      <c r="M103" s="13">
        <f t="array" ref="M103">INDEX(L:L,MIN(IF(ISNUMBER(L103:L299),ROW(L103:L299),"")))</f>
        <v>4.8</v>
      </c>
      <c r="N103" s="14">
        <f>IF('Données projet'!$A$36&gt;35,N102+M103-V102,IF(A103&lt;'Données projet'!$A$36,$K$205^A103,IF(A103='Données projet'!$A$36,'Données projet'!$B$36,N102+M103-V102)))</f>
        <v>281.99999999999989</v>
      </c>
      <c r="O103" s="14">
        <f>N103*VLOOKUP('Données projet'!$B$9,Paramètres!$A$1:$I$89,3,0)*VLOOKUP('Données projet'!$B$9,Paramètres!$A$1:$I$89,5,0)</f>
        <v>255.15359999999987</v>
      </c>
      <c r="P103" s="14">
        <f t="shared" si="87"/>
        <v>61.688192762754376</v>
      </c>
      <c r="Q103" s="22">
        <f t="shared" si="107"/>
        <v>551.83278906179692</v>
      </c>
      <c r="R103" s="62">
        <f t="shared" si="55"/>
        <v>845.16612239513029</v>
      </c>
      <c r="S103" s="62">
        <f ca="1">AVERAGE(OFFSET($R$3,0,0,'Données projet'!$E$9+1,1))-AVERAGE(OFFSET($H$3,0,0,'Données projet'!$E$9+1,1))</f>
        <v>327.25473597900725</v>
      </c>
      <c r="T103" s="62">
        <f t="shared" si="88"/>
        <v>211.5313580973322</v>
      </c>
      <c r="U103" s="16">
        <f>IF(ISNA(VLOOKUP(A103,'Données projet'!$A$35:$I$55,3,0)),0,VLOOKUP(A103,'Données projet'!$A$35:$I$55,3,0))</f>
        <v>17</v>
      </c>
      <c r="V103" s="16">
        <f>IF(ISNA(VLOOKUP(A103,'Données projet'!$A$35:$I$55,4,0)),0,VLOOKUP(A103,'Données projet'!$A$35:$I$55,4,0))</f>
        <v>21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0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0</v>
      </c>
      <c r="AC103" s="24">
        <f t="shared" si="57"/>
        <v>0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>
        <f>VLOOKUP(A103,'Données projet'!$A$61:$I$81,2,0)</f>
        <v>282</v>
      </c>
      <c r="AG103" s="13">
        <f>VLOOKUP(A103,'Données projet'!$A$61:$I$81,9,0)</f>
        <v>4.8</v>
      </c>
      <c r="AH103" s="13">
        <f t="array" ref="AH103">INDEX(AG:AG,MIN(IF(ISNUMBER(AG103:AG299),ROW(AG103:AG299),"")))</f>
        <v>4.8</v>
      </c>
      <c r="AI103" s="14">
        <f>IF('Données projet'!$A$62&gt;35,AI102+AH103-AQ102,IF(A103&lt;'Données projet'!$A$62,$AF$205^A103,IF(A103='Données projet'!$A$62,'Données projet'!$B$62,AI102+AH103-AQ102)))</f>
        <v>281.99999999999989</v>
      </c>
      <c r="AJ103" s="14">
        <f>AI103*VLOOKUP('Données projet'!$B$10,Paramètres!$A$1:$I$89,3,0)*VLOOKUP('Données projet'!$B$10,Paramètres!$A$1:$I$89,5,0)</f>
        <v>285.94799999999992</v>
      </c>
      <c r="AK103" s="14">
        <f t="shared" si="89"/>
        <v>68.222450362989363</v>
      </c>
      <c r="AL103" s="22">
        <f t="shared" si="58"/>
        <v>616.84686771553959</v>
      </c>
      <c r="AM103" s="62">
        <f t="shared" si="59"/>
        <v>910.18020104887296</v>
      </c>
      <c r="AN103" s="62">
        <f ca="1">AVERAGE(OFFSET($AM$3,0,0,'Données projet'!$E$10+1,1))-AVERAGE(OFFSET($H$3,0,0,'Données projet'!$E$10+1,1))</f>
        <v>366.41072413829329</v>
      </c>
      <c r="AO103" s="62">
        <f t="shared" si="90"/>
        <v>234.41212418619125</v>
      </c>
      <c r="AP103" s="16">
        <f>IF(ISNA(VLOOKUP(A103,'Données projet'!$A$61:$I$81,3,0)),0,VLOOKUP(A103,'Données projet'!$A$61:$I$81,3,0))</f>
        <v>17</v>
      </c>
      <c r="AQ103" s="16">
        <f>IF(ISNA(VLOOKUP(A103,'Données projet'!$A$61:$I$81,4,0)),0,VLOOKUP(A103,'Données projet'!$A$61:$I$81,4,0))</f>
        <v>21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0</v>
      </c>
      <c r="AV103" s="23">
        <f>EXP(-LN(2)/25)*AV102+(1-EXP(-LN(2)/25))/(LN(2)/25)*Calculateur!AQ103*Calculateur!AS103*VLOOKUP('Données projet'!$B$10,Paramètres!$A$1:$I$89,3,0)*0.475*44/12</f>
        <v>0</v>
      </c>
      <c r="AW103" s="23">
        <f>EXP(-LN(2)/2)*AW102+(1-EXP(-LN(2)/2))/(LN(2)/2)*AQ103*AT103*VLOOKUP('Données projet'!$B$10,Paramètres!$A$1:$I$89,3,0)*0.475*44/12</f>
        <v>0</v>
      </c>
      <c r="AX103" s="23">
        <f t="shared" si="60"/>
        <v>0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5.6843418860808015E-14</v>
      </c>
      <c r="BE103" s="14">
        <f>BD103*VLOOKUP('Données projet'!$B$11,Paramètres!$A$1:$I$89,3,0)*VLOOKUP('Données projet'!$B$11,Paramètres!$A$1:$I$89,5,0)</f>
        <v>2.6602720026858149E-14</v>
      </c>
      <c r="BF103" s="14">
        <f t="shared" si="91"/>
        <v>4.6624771586320878E-13</v>
      </c>
      <c r="BG103" s="22">
        <f t="shared" si="61"/>
        <v>8.583811758418665E-13</v>
      </c>
      <c r="BH103" s="62">
        <f t="shared" si="62"/>
        <v>293.33333333333417</v>
      </c>
      <c r="BI103" s="62">
        <f ca="1">AVERAGE(OFFSET($BH$3,0,0,'Données projet'!$E$11+1,1))-AVERAGE(OFFSET($H$3,0,0,'Données projet'!$E$11+1,1))</f>
        <v>152.72674713084456</v>
      </c>
      <c r="BJ103" s="62">
        <f t="shared" si="92"/>
        <v>203.90215120562164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3.8420388456195012</v>
      </c>
      <c r="BQ103" s="23">
        <f>EXP(-LN(2)/25)*BQ102+(1-EXP(-LN(2)/25))/(LN(2)/25)*Calculateur!BL103*Calculateur!BN103*VLOOKUP('Données projet'!$B$11,Paramètres!$A$1:$I$89,3,0)*0.475*44/12</f>
        <v>0</v>
      </c>
      <c r="BR103" s="23">
        <f>EXP(-LN(2)/2)*BR102+(1-EXP(-LN(2)/2))/(LN(2)/2)*BL103*BO103*VLOOKUP('Données projet'!$B$11,Paramètres!$A$1:$I$89,3,0)*0.475*44/12</f>
        <v>4.5151504839989451E-10</v>
      </c>
      <c r="BS103" s="24">
        <f t="shared" si="63"/>
        <v>3.8420388460710164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3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28.20008879999995</v>
      </c>
      <c r="D104" s="12">
        <f t="shared" si="86"/>
        <v>8.8103545405536678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89.708120209313833</v>
      </c>
      <c r="H104" s="70">
        <f t="shared" si="56"/>
        <v>321.12652215146426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4.5999999999999996</v>
      </c>
      <c r="N104" s="14">
        <f>IF('Données projet'!$A$36&gt;35,N103+M104-V103,IF(A104&lt;'Données projet'!$A$36,$K$205^A104,IF(A104='Données projet'!$A$36,'Données projet'!$B$36,N103+M104-V103)))</f>
        <v>265.59999999999991</v>
      </c>
      <c r="O104" s="14">
        <f>N104*VLOOKUP('Données projet'!$B$9,Paramètres!$A$1:$I$89,3,0)*VLOOKUP('Données projet'!$B$9,Paramètres!$A$1:$I$89,5,0)</f>
        <v>240.31487999999993</v>
      </c>
      <c r="P104" s="14">
        <f t="shared" si="87"/>
        <v>58.50727327751612</v>
      </c>
      <c r="Q104" s="22">
        <f t="shared" si="107"/>
        <v>520.44858362500713</v>
      </c>
      <c r="R104" s="62">
        <f t="shared" si="55"/>
        <v>813.78191695834039</v>
      </c>
      <c r="S104" s="62">
        <f ca="1">AVERAGE(OFFSET($R$3,0,0,'Données projet'!$E$9+1,1))-AVERAGE(OFFSET($H$3,0,0,'Données projet'!$E$9+1,1))</f>
        <v>327.25473597900725</v>
      </c>
      <c r="T104" s="62">
        <f t="shared" si="88"/>
        <v>211.5313580973322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0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0</v>
      </c>
      <c r="AC104" s="24">
        <f t="shared" si="57"/>
        <v>0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4.5999999999999996</v>
      </c>
      <c r="AI104" s="14">
        <f>IF('Données projet'!$A$62&gt;35,AI103+AH104-AQ103,IF(A104&lt;'Données projet'!$A$62,$AF$205^A104,IF(A104='Données projet'!$A$62,'Données projet'!$B$62,AI103+AH104-AQ103)))</f>
        <v>265.59999999999991</v>
      </c>
      <c r="AJ104" s="14">
        <f>AI104*VLOOKUP('Données projet'!$B$10,Paramètres!$A$1:$I$89,3,0)*VLOOKUP('Données projet'!$B$10,Paramètres!$A$1:$I$89,5,0)</f>
        <v>269.31839999999994</v>
      </c>
      <c r="AK104" s="14">
        <f t="shared" si="89"/>
        <v>64.70459529265311</v>
      </c>
      <c r="AL104" s="22">
        <f t="shared" si="58"/>
        <v>581.75671680137077</v>
      </c>
      <c r="AM104" s="62">
        <f t="shared" si="59"/>
        <v>875.09005013470414</v>
      </c>
      <c r="AN104" s="62">
        <f ca="1">AVERAGE(OFFSET($AM$3,0,0,'Données projet'!$E$10+1,1))-AVERAGE(OFFSET($H$3,0,0,'Données projet'!$E$10+1,1))</f>
        <v>366.41072413829329</v>
      </c>
      <c r="AO104" s="62">
        <f t="shared" si="90"/>
        <v>234.41212418619125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0</v>
      </c>
      <c r="AV104" s="23">
        <f>EXP(-LN(2)/25)*AV103+(1-EXP(-LN(2)/25))/(LN(2)/25)*Calculateur!AQ104*Calculateur!AS104*VLOOKUP('Données projet'!$B$10,Paramètres!$A$1:$I$89,3,0)*0.475*44/12</f>
        <v>0</v>
      </c>
      <c r="AW104" s="23">
        <f>EXP(-LN(2)/2)*AW103+(1-EXP(-LN(2)/2))/(LN(2)/2)*AQ104*AT104*VLOOKUP('Données projet'!$B$10,Paramètres!$A$1:$I$89,3,0)*0.475*44/12</f>
        <v>0</v>
      </c>
      <c r="AX104" s="23">
        <f t="shared" si="60"/>
        <v>0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5.6843418860808015E-14</v>
      </c>
      <c r="BE104" s="14">
        <f>BD104*VLOOKUP('Données projet'!$B$11,Paramètres!$A$1:$I$89,3,0)*VLOOKUP('Données projet'!$B$11,Paramètres!$A$1:$I$89,5,0)</f>
        <v>2.6602720026858149E-14</v>
      </c>
      <c r="BF104" s="14">
        <f t="shared" si="91"/>
        <v>4.6624771586320878E-13</v>
      </c>
      <c r="BG104" s="22">
        <f t="shared" si="61"/>
        <v>8.583811758418665E-13</v>
      </c>
      <c r="BH104" s="62">
        <f t="shared" si="62"/>
        <v>293.33333333333417</v>
      </c>
      <c r="BI104" s="62">
        <f ca="1">AVERAGE(OFFSET($BH$3,0,0,'Données projet'!$E$11+1,1))-AVERAGE(OFFSET($H$3,0,0,'Données projet'!$E$11+1,1))</f>
        <v>152.72674713084456</v>
      </c>
      <c r="BJ104" s="62">
        <f t="shared" si="92"/>
        <v>203.90215120562164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3.766698807269206</v>
      </c>
      <c r="BQ104" s="23">
        <f>EXP(-LN(2)/25)*BQ103+(1-EXP(-LN(2)/25))/(LN(2)/25)*Calculateur!BL104*Calculateur!BN104*VLOOKUP('Données projet'!$B$11,Paramètres!$A$1:$I$89,3,0)*0.475*44/12</f>
        <v>0</v>
      </c>
      <c r="BR104" s="23">
        <f>EXP(-LN(2)/2)*BR103+(1-EXP(-LN(2)/2))/(LN(2)/2)*BL104*BO104*VLOOKUP('Données projet'!$B$11,Paramètres!$A$1:$I$89,3,0)*0.475*44/12</f>
        <v>3.1926935253133767E-10</v>
      </c>
      <c r="BS104" s="24">
        <f t="shared" si="63"/>
        <v>3.7666988075884755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3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28.479297599999949</v>
      </c>
      <c r="D105" s="12">
        <f t="shared" si="86"/>
        <v>8.8873878059274016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90.571600976893379</v>
      </c>
      <c r="H105" s="70">
        <f t="shared" si="56"/>
        <v>321.74697708199017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4.5999999999999996</v>
      </c>
      <c r="N105" s="14">
        <f>IF('Données projet'!$A$36&gt;35,N104+M105-V104,IF(A105&lt;'Données projet'!$A$36,$K$205^A105,IF(A105='Données projet'!$A$36,'Données projet'!$B$36,N104+M105-V104)))</f>
        <v>270.19999999999993</v>
      </c>
      <c r="O105" s="14">
        <f>N105*VLOOKUP('Données projet'!$B$9,Paramètres!$A$1:$I$89,3,0)*VLOOKUP('Données projet'!$B$9,Paramètres!$A$1:$I$89,5,0)</f>
        <v>244.47695999999993</v>
      </c>
      <c r="P105" s="14">
        <f t="shared" si="87"/>
        <v>59.401731670234192</v>
      </c>
      <c r="Q105" s="22">
        <f t="shared" si="107"/>
        <v>529.25538799232447</v>
      </c>
      <c r="R105" s="62">
        <f t="shared" si="55"/>
        <v>822.58872132565784</v>
      </c>
      <c r="S105" s="62">
        <f ca="1">AVERAGE(OFFSET($R$3,0,0,'Données projet'!$E$9+1,1))-AVERAGE(OFFSET($H$3,0,0,'Données projet'!$E$9+1,1))</f>
        <v>327.25473597900725</v>
      </c>
      <c r="T105" s="62">
        <f t="shared" si="88"/>
        <v>211.5313580973322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0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0</v>
      </c>
      <c r="AC105" s="24">
        <f t="shared" si="57"/>
        <v>0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4.5999999999999996</v>
      </c>
      <c r="AI105" s="14">
        <f>IF('Données projet'!$A$62&gt;35,AI104+AH105-AQ104,IF(A105&lt;'Données projet'!$A$62,$AF$205^A105,IF(A105='Données projet'!$A$62,'Données projet'!$B$62,AI104+AH105-AQ104)))</f>
        <v>270.19999999999993</v>
      </c>
      <c r="AJ105" s="14">
        <f>AI105*VLOOKUP('Données projet'!$B$10,Paramètres!$A$1:$I$89,3,0)*VLOOKUP('Données projet'!$B$10,Paramètres!$A$1:$I$89,5,0)</f>
        <v>273.98279999999994</v>
      </c>
      <c r="AK105" s="14">
        <f t="shared" si="89"/>
        <v>65.693798259477774</v>
      </c>
      <c r="AL105" s="22">
        <f t="shared" si="58"/>
        <v>591.6034086352571</v>
      </c>
      <c r="AM105" s="62">
        <f t="shared" si="59"/>
        <v>884.93674196859047</v>
      </c>
      <c r="AN105" s="62">
        <f ca="1">AVERAGE(OFFSET($AM$3,0,0,'Données projet'!$E$10+1,1))-AVERAGE(OFFSET($H$3,0,0,'Données projet'!$E$10+1,1))</f>
        <v>366.41072413829329</v>
      </c>
      <c r="AO105" s="62">
        <f t="shared" si="90"/>
        <v>234.41212418619125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0</v>
      </c>
      <c r="AV105" s="23">
        <f>EXP(-LN(2)/25)*AV104+(1-EXP(-LN(2)/25))/(LN(2)/25)*Calculateur!AQ105*Calculateur!AS105*VLOOKUP('Données projet'!$B$10,Paramètres!$A$1:$I$89,3,0)*0.475*44/12</f>
        <v>0</v>
      </c>
      <c r="AW105" s="23">
        <f>EXP(-LN(2)/2)*AW104+(1-EXP(-LN(2)/2))/(LN(2)/2)*AQ105*AT105*VLOOKUP('Données projet'!$B$10,Paramètres!$A$1:$I$89,3,0)*0.475*44/12</f>
        <v>0</v>
      </c>
      <c r="AX105" s="23">
        <f t="shared" si="60"/>
        <v>0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5.6843418860808015E-14</v>
      </c>
      <c r="BE105" s="14">
        <f>BD105*VLOOKUP('Données projet'!$B$11,Paramètres!$A$1:$I$89,3,0)*VLOOKUP('Données projet'!$B$11,Paramètres!$A$1:$I$89,5,0)</f>
        <v>2.6602720026858149E-14</v>
      </c>
      <c r="BF105" s="14">
        <f t="shared" si="91"/>
        <v>4.6624771586320878E-13</v>
      </c>
      <c r="BG105" s="22">
        <f t="shared" si="61"/>
        <v>8.583811758418665E-13</v>
      </c>
      <c r="BH105" s="62">
        <f t="shared" si="62"/>
        <v>293.33333333333417</v>
      </c>
      <c r="BI105" s="62">
        <f ca="1">AVERAGE(OFFSET($BH$3,0,0,'Données projet'!$E$11+1,1))-AVERAGE(OFFSET($H$3,0,0,'Données projet'!$E$11+1,1))</f>
        <v>152.72674713084456</v>
      </c>
      <c r="BJ105" s="62">
        <f t="shared" si="92"/>
        <v>203.90215120562164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3.6928361411180739</v>
      </c>
      <c r="BQ105" s="23">
        <f>EXP(-LN(2)/25)*BQ104+(1-EXP(-LN(2)/25))/(LN(2)/25)*Calculateur!BL105*Calculateur!BN105*VLOOKUP('Données projet'!$B$11,Paramètres!$A$1:$I$89,3,0)*0.475*44/12</f>
        <v>0</v>
      </c>
      <c r="BR105" s="23">
        <f>EXP(-LN(2)/2)*BR104+(1-EXP(-LN(2)/2))/(LN(2)/2)*BL105*BO105*VLOOKUP('Données projet'!$B$11,Paramètres!$A$1:$I$89,3,0)*0.475*44/12</f>
        <v>2.2575752419994731E-10</v>
      </c>
      <c r="BS105" s="24">
        <f t="shared" si="63"/>
        <v>3.6928361413438315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3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28.758506399999948</v>
      </c>
      <c r="D106" s="12">
        <f t="shared" si="86"/>
        <v>8.9643332114031704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91.434868784411492</v>
      </c>
      <c r="H106" s="70">
        <f t="shared" si="56"/>
        <v>322.36727898986044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4.5999999999999996</v>
      </c>
      <c r="N106" s="14">
        <f>IF('Données projet'!$A$36&gt;35,N105+M106-V105,IF(A106&lt;'Données projet'!$A$36,$K$205^A106,IF(A106='Données projet'!$A$36,'Données projet'!$B$36,N105+M106-V105)))</f>
        <v>274.79999999999995</v>
      </c>
      <c r="O106" s="14">
        <f>N106*VLOOKUP('Données projet'!$B$9,Paramètres!$A$1:$I$89,3,0)*VLOOKUP('Données projet'!$B$9,Paramètres!$A$1:$I$89,5,0)</f>
        <v>248.63903999999994</v>
      </c>
      <c r="P106" s="14">
        <f t="shared" si="87"/>
        <v>60.294419230169922</v>
      </c>
      <c r="Q106" s="22">
        <f t="shared" si="107"/>
        <v>538.05910815921254</v>
      </c>
      <c r="R106" s="62">
        <f t="shared" si="55"/>
        <v>831.39244149254591</v>
      </c>
      <c r="S106" s="62">
        <f ca="1">AVERAGE(OFFSET($R$3,0,0,'Données projet'!$E$9+1,1))-AVERAGE(OFFSET($H$3,0,0,'Données projet'!$E$9+1,1))</f>
        <v>327.25473597900725</v>
      </c>
      <c r="T106" s="62">
        <f t="shared" si="88"/>
        <v>211.5313580973322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0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0</v>
      </c>
      <c r="AC106" s="24">
        <f t="shared" si="57"/>
        <v>0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4.5999999999999996</v>
      </c>
      <c r="AI106" s="14">
        <f>IF('Données projet'!$A$62&gt;35,AI105+AH106-AQ105,IF(A106&lt;'Données projet'!$A$62,$AF$205^A106,IF(A106='Données projet'!$A$62,'Données projet'!$B$62,AI105+AH106-AQ105)))</f>
        <v>274.79999999999995</v>
      </c>
      <c r="AJ106" s="14">
        <f>AI106*VLOOKUP('Données projet'!$B$10,Paramètres!$A$1:$I$89,3,0)*VLOOKUP('Données projet'!$B$10,Paramètres!$A$1:$I$89,5,0)</f>
        <v>278.6472</v>
      </c>
      <c r="AK106" s="14">
        <f t="shared" si="89"/>
        <v>66.681042819901123</v>
      </c>
      <c r="AL106" s="22">
        <f t="shared" si="58"/>
        <v>601.44668957799445</v>
      </c>
      <c r="AM106" s="62">
        <f t="shared" si="59"/>
        <v>894.78002291132771</v>
      </c>
      <c r="AN106" s="62">
        <f ca="1">AVERAGE(OFFSET($AM$3,0,0,'Données projet'!$E$10+1,1))-AVERAGE(OFFSET($H$3,0,0,'Données projet'!$E$10+1,1))</f>
        <v>366.41072413829329</v>
      </c>
      <c r="AO106" s="62">
        <f t="shared" si="90"/>
        <v>234.41212418619125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0</v>
      </c>
      <c r="AV106" s="23">
        <f>EXP(-LN(2)/25)*AV105+(1-EXP(-LN(2)/25))/(LN(2)/25)*Calculateur!AQ106*Calculateur!AS106*VLOOKUP('Données projet'!$B$10,Paramètres!$A$1:$I$89,3,0)*0.475*44/12</f>
        <v>0</v>
      </c>
      <c r="AW106" s="23">
        <f>EXP(-LN(2)/2)*AW105+(1-EXP(-LN(2)/2))/(LN(2)/2)*AQ106*AT106*VLOOKUP('Données projet'!$B$10,Paramètres!$A$1:$I$89,3,0)*0.475*44/12</f>
        <v>0</v>
      </c>
      <c r="AX106" s="23">
        <f t="shared" si="60"/>
        <v>0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5.6843418860808015E-14</v>
      </c>
      <c r="BE106" s="14">
        <f>BD106*VLOOKUP('Données projet'!$B$11,Paramètres!$A$1:$I$89,3,0)*VLOOKUP('Données projet'!$B$11,Paramètres!$A$1:$I$89,5,0)</f>
        <v>2.6602720026858149E-14</v>
      </c>
      <c r="BF106" s="14">
        <f t="shared" si="91"/>
        <v>4.6624771586320878E-13</v>
      </c>
      <c r="BG106" s="22">
        <f t="shared" si="61"/>
        <v>8.583811758418665E-13</v>
      </c>
      <c r="BH106" s="62">
        <f t="shared" si="62"/>
        <v>293.33333333333417</v>
      </c>
      <c r="BI106" s="62">
        <f ca="1">AVERAGE(OFFSET($BH$3,0,0,'Données projet'!$E$11+1,1))-AVERAGE(OFFSET($H$3,0,0,'Données projet'!$E$11+1,1))</f>
        <v>152.72674713084456</v>
      </c>
      <c r="BJ106" s="62">
        <f t="shared" si="92"/>
        <v>203.90215120562164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3.6204218767983876</v>
      </c>
      <c r="BQ106" s="23">
        <f>EXP(-LN(2)/25)*BQ105+(1-EXP(-LN(2)/25))/(LN(2)/25)*Calculateur!BL106*Calculateur!BN106*VLOOKUP('Données projet'!$B$11,Paramètres!$A$1:$I$89,3,0)*0.475*44/12</f>
        <v>0</v>
      </c>
      <c r="BR106" s="23">
        <f>EXP(-LN(2)/2)*BR105+(1-EXP(-LN(2)/2))/(LN(2)/2)*BL106*BO106*VLOOKUP('Données projet'!$B$11,Paramètres!$A$1:$I$89,3,0)*0.475*44/12</f>
        <v>1.5963467626566886E-10</v>
      </c>
      <c r="BS106" s="24">
        <f t="shared" si="63"/>
        <v>3.6204218769580221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3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29.037715199999948</v>
      </c>
      <c r="D107" s="12">
        <f t="shared" si="86"/>
        <v>9.0411917087720628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92.297925938876176</v>
      </c>
      <c r="H107" s="70">
        <f t="shared" si="56"/>
        <v>322.98742953277792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4.5999999999999996</v>
      </c>
      <c r="N107" s="14">
        <f>IF('Données projet'!$A$36&gt;35,N106+M107-V106,IF(A107&lt;'Données projet'!$A$36,$K$205^A107,IF(A107='Données projet'!$A$36,'Données projet'!$B$36,N106+M107-V106)))</f>
        <v>279.39999999999998</v>
      </c>
      <c r="O107" s="14">
        <f>N107*VLOOKUP('Données projet'!$B$9,Paramètres!$A$1:$I$89,3,0)*VLOOKUP('Données projet'!$B$9,Paramètres!$A$1:$I$89,5,0)</f>
        <v>252.80111999999994</v>
      </c>
      <c r="P107" s="14">
        <f t="shared" si="87"/>
        <v>61.185369021394209</v>
      </c>
      <c r="Q107" s="22">
        <f t="shared" si="107"/>
        <v>546.8598017122614</v>
      </c>
      <c r="R107" s="62">
        <f t="shared" si="55"/>
        <v>840.19313504559477</v>
      </c>
      <c r="S107" s="62">
        <f ca="1">AVERAGE(OFFSET($R$3,0,0,'Données projet'!$E$9+1,1))-AVERAGE(OFFSET($H$3,0,0,'Données projet'!$E$9+1,1))</f>
        <v>327.25473597900725</v>
      </c>
      <c r="T107" s="62">
        <f t="shared" si="88"/>
        <v>211.5313580973322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0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0</v>
      </c>
      <c r="AC107" s="24">
        <f t="shared" si="57"/>
        <v>0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4.5999999999999996</v>
      </c>
      <c r="AI107" s="14">
        <f>IF('Données projet'!$A$62&gt;35,AI106+AH107-AQ106,IF(A107&lt;'Données projet'!$A$62,$AF$205^A107,IF(A107='Données projet'!$A$62,'Données projet'!$B$62,AI106+AH107-AQ106)))</f>
        <v>279.39999999999998</v>
      </c>
      <c r="AJ107" s="14">
        <f>AI107*VLOOKUP('Données projet'!$B$10,Paramètres!$A$1:$I$89,3,0)*VLOOKUP('Données projet'!$B$10,Paramètres!$A$1:$I$89,5,0)</f>
        <v>283.3116</v>
      </c>
      <c r="AK107" s="14">
        <f t="shared" si="89"/>
        <v>67.666365540271272</v>
      </c>
      <c r="AL107" s="22">
        <f t="shared" si="58"/>
        <v>611.28662331597241</v>
      </c>
      <c r="AM107" s="62">
        <f t="shared" si="59"/>
        <v>904.61995664930578</v>
      </c>
      <c r="AN107" s="62">
        <f ca="1">AVERAGE(OFFSET($AM$3,0,0,'Données projet'!$E$10+1,1))-AVERAGE(OFFSET($H$3,0,0,'Données projet'!$E$10+1,1))</f>
        <v>366.41072413829329</v>
      </c>
      <c r="AO107" s="62">
        <f t="shared" si="90"/>
        <v>234.41212418619125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0</v>
      </c>
      <c r="AV107" s="23">
        <f>EXP(-LN(2)/25)*AV106+(1-EXP(-LN(2)/25))/(LN(2)/25)*Calculateur!AQ107*Calculateur!AS107*VLOOKUP('Données projet'!$B$10,Paramètres!$A$1:$I$89,3,0)*0.475*44/12</f>
        <v>0</v>
      </c>
      <c r="AW107" s="23">
        <f>EXP(-LN(2)/2)*AW106+(1-EXP(-LN(2)/2))/(LN(2)/2)*AQ107*AT107*VLOOKUP('Données projet'!$B$10,Paramètres!$A$1:$I$89,3,0)*0.475*44/12</f>
        <v>0</v>
      </c>
      <c r="AX107" s="23">
        <f t="shared" si="60"/>
        <v>0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5.6843418860808015E-14</v>
      </c>
      <c r="BE107" s="14">
        <f>BD107*VLOOKUP('Données projet'!$B$11,Paramètres!$A$1:$I$89,3,0)*VLOOKUP('Données projet'!$B$11,Paramètres!$A$1:$I$89,5,0)</f>
        <v>2.6602720026858149E-14</v>
      </c>
      <c r="BF107" s="14">
        <f t="shared" si="91"/>
        <v>4.6624771586320878E-13</v>
      </c>
      <c r="BG107" s="22">
        <f t="shared" si="61"/>
        <v>8.583811758418665E-13</v>
      </c>
      <c r="BH107" s="62">
        <f t="shared" si="62"/>
        <v>293.33333333333417</v>
      </c>
      <c r="BI107" s="62">
        <f ca="1">AVERAGE(OFFSET($BH$3,0,0,'Données projet'!$E$11+1,1))-AVERAGE(OFFSET($H$3,0,0,'Données projet'!$E$11+1,1))</f>
        <v>152.72674713084456</v>
      </c>
      <c r="BJ107" s="62">
        <f t="shared" si="92"/>
        <v>203.90215120562164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3.5494276120336705</v>
      </c>
      <c r="BQ107" s="23">
        <f>EXP(-LN(2)/25)*BQ106+(1-EXP(-LN(2)/25))/(LN(2)/25)*Calculateur!BL107*Calculateur!BN107*VLOOKUP('Données projet'!$B$11,Paramètres!$A$1:$I$89,3,0)*0.475*44/12</f>
        <v>0</v>
      </c>
      <c r="BR107" s="23">
        <f>EXP(-LN(2)/2)*BR106+(1-EXP(-LN(2)/2))/(LN(2)/2)*BL107*BO107*VLOOKUP('Données projet'!$B$11,Paramètres!$A$1:$I$89,3,0)*0.475*44/12</f>
        <v>1.1287876209997367E-10</v>
      </c>
      <c r="BS107" s="24">
        <f t="shared" si="63"/>
        <v>3.5494276121465491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3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29.316923999999947</v>
      </c>
      <c r="D108" s="12">
        <f t="shared" si="86"/>
        <v>9.1179642304661463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93.16077470037186</v>
      </c>
      <c r="H108" s="70">
        <f t="shared" si="56"/>
        <v>323.60743033472846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>
        <f>VLOOKUP(A108,'Données projet'!$A$35:$I$55,2,0)</f>
        <v>284</v>
      </c>
      <c r="L108" s="13">
        <f>VLOOKUP(A108,'Données projet'!$A$35:$I$55,9,0)</f>
        <v>4.5999999999999996</v>
      </c>
      <c r="M108" s="13">
        <f t="array" ref="M108">INDEX(L:L,MIN(IF(ISNUMBER(L108:L304),ROW(L108:L304),"")))</f>
        <v>4.5999999999999996</v>
      </c>
      <c r="N108" s="14">
        <f>IF('Données projet'!$A$36&gt;35,N107+M108-V107,IF(A108&lt;'Données projet'!$A$36,$K$205^A108,IF(A108='Données projet'!$A$36,'Données projet'!$B$36,N107+M108-V107)))</f>
        <v>284</v>
      </c>
      <c r="O108" s="14">
        <f>N108*VLOOKUP('Données projet'!$B$9,Paramètres!$A$1:$I$89,3,0)*VLOOKUP('Données projet'!$B$9,Paramètres!$A$1:$I$89,5,0)</f>
        <v>256.96320000000003</v>
      </c>
      <c r="P108" s="14">
        <f t="shared" si="87"/>
        <v>62.074612956838024</v>
      </c>
      <c r="Q108" s="22">
        <f t="shared" si="107"/>
        <v>555.65752423315951</v>
      </c>
      <c r="R108" s="62">
        <f t="shared" si="55"/>
        <v>848.99085756649288</v>
      </c>
      <c r="S108" s="62">
        <f ca="1">AVERAGE(OFFSET($R$3,0,0,'Données projet'!$E$9+1,1))-AVERAGE(OFFSET($H$3,0,0,'Données projet'!$E$9+1,1))</f>
        <v>327.25473597900725</v>
      </c>
      <c r="T108" s="62">
        <f t="shared" si="88"/>
        <v>211.5313580973322</v>
      </c>
      <c r="U108" s="16">
        <f>IF(ISNA(VLOOKUP(A108,'Données projet'!$A$35:$I$55,3,0)),0,VLOOKUP(A108,'Données projet'!$A$35:$I$55,3,0))</f>
        <v>18</v>
      </c>
      <c r="V108" s="16">
        <f>IF(ISNA(VLOOKUP(A108,'Données projet'!$A$35:$I$55,4,0)),0,VLOOKUP(A108,'Données projet'!$A$35:$I$55,4,0))</f>
        <v>20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0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0</v>
      </c>
      <c r="AC108" s="24">
        <f t="shared" si="57"/>
        <v>0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>
        <f>VLOOKUP(A108,'Données projet'!$A$61:$I$81,2,0)</f>
        <v>284</v>
      </c>
      <c r="AG108" s="13">
        <f>VLOOKUP(A108,'Données projet'!$A$61:$I$81,9,0)</f>
        <v>4.5999999999999996</v>
      </c>
      <c r="AH108" s="13">
        <f t="array" ref="AH108">INDEX(AG:AG,MIN(IF(ISNUMBER(AG108:AG304),ROW(AG108:AG304),"")))</f>
        <v>4.5999999999999996</v>
      </c>
      <c r="AI108" s="14">
        <f>IF('Données projet'!$A$62&gt;35,AI107+AH108-AQ107,IF(A108&lt;'Données projet'!$A$62,$AF$205^A108,IF(A108='Données projet'!$A$62,'Données projet'!$B$62,AI107+AH108-AQ107)))</f>
        <v>284</v>
      </c>
      <c r="AJ108" s="14">
        <f>AI108*VLOOKUP('Données projet'!$B$10,Paramètres!$A$1:$I$89,3,0)*VLOOKUP('Données projet'!$B$10,Paramètres!$A$1:$I$89,5,0)</f>
        <v>287.976</v>
      </c>
      <c r="AK108" s="14">
        <f t="shared" si="89"/>
        <v>68.649801713863141</v>
      </c>
      <c r="AL108" s="22">
        <f t="shared" si="58"/>
        <v>621.12327131831159</v>
      </c>
      <c r="AM108" s="62">
        <f t="shared" si="59"/>
        <v>914.45660465164497</v>
      </c>
      <c r="AN108" s="62">
        <f ca="1">AVERAGE(OFFSET($AM$3,0,0,'Données projet'!$E$10+1,1))-AVERAGE(OFFSET($H$3,0,0,'Données projet'!$E$10+1,1))</f>
        <v>366.41072413829329</v>
      </c>
      <c r="AO108" s="62">
        <f t="shared" si="90"/>
        <v>234.41212418619125</v>
      </c>
      <c r="AP108" s="16">
        <f>IF(ISNA(VLOOKUP(A108,'Données projet'!$A$61:$I$81,3,0)),0,VLOOKUP(A108,'Données projet'!$A$61:$I$81,3,0))</f>
        <v>18</v>
      </c>
      <c r="AQ108" s="16">
        <f>IF(ISNA(VLOOKUP(A108,'Données projet'!$A$61:$I$81,4,0)),0,VLOOKUP(A108,'Données projet'!$A$61:$I$81,4,0))</f>
        <v>20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0</v>
      </c>
      <c r="AV108" s="23">
        <f>EXP(-LN(2)/25)*AV107+(1-EXP(-LN(2)/25))/(LN(2)/25)*Calculateur!AQ108*Calculateur!AS108*VLOOKUP('Données projet'!$B$10,Paramètres!$A$1:$I$89,3,0)*0.475*44/12</f>
        <v>0</v>
      </c>
      <c r="AW108" s="23">
        <f>EXP(-LN(2)/2)*AW107+(1-EXP(-LN(2)/2))/(LN(2)/2)*AQ108*AT108*VLOOKUP('Données projet'!$B$10,Paramètres!$A$1:$I$89,3,0)*0.475*44/12</f>
        <v>0</v>
      </c>
      <c r="AX108" s="23">
        <f t="shared" si="60"/>
        <v>0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5.6843418860808015E-14</v>
      </c>
      <c r="BE108" s="14">
        <f>BD108*VLOOKUP('Données projet'!$B$11,Paramètres!$A$1:$I$89,3,0)*VLOOKUP('Données projet'!$B$11,Paramètres!$A$1:$I$89,5,0)</f>
        <v>2.6602720026858149E-14</v>
      </c>
      <c r="BF108" s="14">
        <f t="shared" si="91"/>
        <v>4.6624771586320878E-13</v>
      </c>
      <c r="BG108" s="22">
        <f t="shared" si="61"/>
        <v>8.583811758418665E-13</v>
      </c>
      <c r="BH108" s="62">
        <f t="shared" si="62"/>
        <v>293.33333333333417</v>
      </c>
      <c r="BI108" s="62">
        <f ca="1">AVERAGE(OFFSET($BH$3,0,0,'Données projet'!$E$11+1,1))-AVERAGE(OFFSET($H$3,0,0,'Données projet'!$E$11+1,1))</f>
        <v>152.72674713084456</v>
      </c>
      <c r="BJ108" s="62">
        <f t="shared" si="92"/>
        <v>203.90215120562164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3.4798255014987638</v>
      </c>
      <c r="BQ108" s="23">
        <f>EXP(-LN(2)/25)*BQ107+(1-EXP(-LN(2)/25))/(LN(2)/25)*Calculateur!BL108*Calculateur!BN108*VLOOKUP('Données projet'!$B$11,Paramètres!$A$1:$I$89,3,0)*0.475*44/12</f>
        <v>0</v>
      </c>
      <c r="BR108" s="23">
        <f>EXP(-LN(2)/2)*BR107+(1-EXP(-LN(2)/2))/(LN(2)/2)*BL108*BO108*VLOOKUP('Données projet'!$B$11,Paramètres!$A$1:$I$89,3,0)*0.475*44/12</f>
        <v>7.9817338132834443E-11</v>
      </c>
      <c r="BS108" s="24">
        <f t="shared" si="63"/>
        <v>3.4798255015785813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3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29.596132799999946</v>
      </c>
      <c r="D109" s="12">
        <f t="shared" si="86"/>
        <v>9.1946516901327975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94.023417283451579</v>
      </c>
      <c r="H109" s="70">
        <f t="shared" si="56"/>
        <v>324.22728298698121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4.2</v>
      </c>
      <c r="N109" s="14">
        <f>IF('Données projet'!$A$36&gt;35,N108+M109-V108,IF(A109&lt;'Données projet'!$A$36,$K$205^A109,IF(A109='Données projet'!$A$36,'Données projet'!$B$36,N108+M109-V108)))</f>
        <v>268.2</v>
      </c>
      <c r="O109" s="14">
        <f>N109*VLOOKUP('Données projet'!$B$9,Paramètres!$A$1:$I$89,3,0)*VLOOKUP('Données projet'!$B$9,Paramètres!$A$1:$I$89,5,0)</f>
        <v>242.66735999999997</v>
      </c>
      <c r="P109" s="14">
        <f t="shared" si="87"/>
        <v>59.013056290731797</v>
      </c>
      <c r="Q109" s="22">
        <f t="shared" si="107"/>
        <v>525.42672503969118</v>
      </c>
      <c r="R109" s="62">
        <f t="shared" si="55"/>
        <v>818.76005837302455</v>
      </c>
      <c r="S109" s="62">
        <f ca="1">AVERAGE(OFFSET($R$3,0,0,'Données projet'!$E$9+1,1))-AVERAGE(OFFSET($H$3,0,0,'Données projet'!$E$9+1,1))</f>
        <v>327.25473597900725</v>
      </c>
      <c r="T109" s="62">
        <f t="shared" si="88"/>
        <v>211.5313580973322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0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0</v>
      </c>
      <c r="AC109" s="24">
        <f t="shared" si="57"/>
        <v>0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4.2</v>
      </c>
      <c r="AI109" s="14">
        <f>IF('Données projet'!$A$62&gt;35,AI108+AH109-AQ108,IF(A109&lt;'Données projet'!$A$62,$AF$205^A109,IF(A109='Données projet'!$A$62,'Données projet'!$B$62,AI108+AH109-AQ108)))</f>
        <v>268.2</v>
      </c>
      <c r="AJ109" s="14">
        <f>AI109*VLOOKUP('Données projet'!$B$10,Paramètres!$A$1:$I$89,3,0)*VLOOKUP('Données projet'!$B$10,Paramètres!$A$1:$I$89,5,0)</f>
        <v>271.95480000000003</v>
      </c>
      <c r="AK109" s="14">
        <f t="shared" si="89"/>
        <v>65.263952845017442</v>
      </c>
      <c r="AL109" s="22">
        <f t="shared" si="58"/>
        <v>587.322661205072</v>
      </c>
      <c r="AM109" s="62">
        <f t="shared" si="59"/>
        <v>880.65599453840537</v>
      </c>
      <c r="AN109" s="62">
        <f ca="1">AVERAGE(OFFSET($AM$3,0,0,'Données projet'!$E$10+1,1))-AVERAGE(OFFSET($H$3,0,0,'Données projet'!$E$10+1,1))</f>
        <v>366.41072413829329</v>
      </c>
      <c r="AO109" s="62">
        <f t="shared" si="90"/>
        <v>234.41212418619125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0</v>
      </c>
      <c r="AV109" s="23">
        <f>EXP(-LN(2)/25)*AV108+(1-EXP(-LN(2)/25))/(LN(2)/25)*Calculateur!AQ109*Calculateur!AS109*VLOOKUP('Données projet'!$B$10,Paramètres!$A$1:$I$89,3,0)*0.475*44/12</f>
        <v>0</v>
      </c>
      <c r="AW109" s="23">
        <f>EXP(-LN(2)/2)*AW108+(1-EXP(-LN(2)/2))/(LN(2)/2)*AQ109*AT109*VLOOKUP('Données projet'!$B$10,Paramètres!$A$1:$I$89,3,0)*0.475*44/12</f>
        <v>0</v>
      </c>
      <c r="AX109" s="23">
        <f t="shared" si="60"/>
        <v>0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5.6843418860808015E-14</v>
      </c>
      <c r="BE109" s="14">
        <f>BD109*VLOOKUP('Données projet'!$B$11,Paramètres!$A$1:$I$89,3,0)*VLOOKUP('Données projet'!$B$11,Paramètres!$A$1:$I$89,5,0)</f>
        <v>2.6602720026858149E-14</v>
      </c>
      <c r="BF109" s="14">
        <f t="shared" si="91"/>
        <v>4.6624771586320878E-13</v>
      </c>
      <c r="BG109" s="22">
        <f t="shared" si="61"/>
        <v>8.583811758418665E-13</v>
      </c>
      <c r="BH109" s="62">
        <f t="shared" si="62"/>
        <v>293.33333333333417</v>
      </c>
      <c r="BI109" s="62">
        <f ca="1">AVERAGE(OFFSET($BH$3,0,0,'Données projet'!$E$11+1,1))-AVERAGE(OFFSET($H$3,0,0,'Données projet'!$E$11+1,1))</f>
        <v>152.72674713084456</v>
      </c>
      <c r="BJ109" s="62">
        <f t="shared" si="92"/>
        <v>203.90215120562164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3.4115882458983511</v>
      </c>
      <c r="BQ109" s="23">
        <f>EXP(-LN(2)/25)*BQ108+(1-EXP(-LN(2)/25))/(LN(2)/25)*Calculateur!BL109*Calculateur!BN109*VLOOKUP('Données projet'!$B$11,Paramètres!$A$1:$I$89,3,0)*0.475*44/12</f>
        <v>0</v>
      </c>
      <c r="BR109" s="23">
        <f>EXP(-LN(2)/2)*BR108+(1-EXP(-LN(2)/2))/(LN(2)/2)*BL109*BO109*VLOOKUP('Données projet'!$B$11,Paramètres!$A$1:$I$89,3,0)*0.475*44/12</f>
        <v>5.6439381049986847E-11</v>
      </c>
      <c r="BS109" s="24">
        <f t="shared" si="63"/>
        <v>3.4115882459547904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3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29.875341599999945</v>
      </c>
      <c r="D110" s="12">
        <f t="shared" si="86"/>
        <v>9.2712549831866653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94.88585585847477</v>
      </c>
      <c r="H110" s="70">
        <f t="shared" si="56"/>
        <v>324.84698904905002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4.2</v>
      </c>
      <c r="N110" s="14">
        <f>IF('Données projet'!$A$36&gt;35,N109+M110-V109,IF(A110&lt;'Données projet'!$A$36,$K$205^A110,IF(A110='Données projet'!$A$36,'Données projet'!$B$36,N109+M110-V109)))</f>
        <v>272.39999999999998</v>
      </c>
      <c r="O110" s="14">
        <f>N110*VLOOKUP('Données projet'!$B$9,Paramètres!$A$1:$I$89,3,0)*VLOOKUP('Données projet'!$B$9,Paramètres!$A$1:$I$89,5,0)</f>
        <v>246.46751999999995</v>
      </c>
      <c r="P110" s="14">
        <f t="shared" si="87"/>
        <v>59.828888074216977</v>
      </c>
      <c r="Q110" s="22">
        <f t="shared" si="107"/>
        <v>533.46624406259446</v>
      </c>
      <c r="R110" s="62">
        <f t="shared" si="55"/>
        <v>826.79957739592783</v>
      </c>
      <c r="S110" s="62">
        <f ca="1">AVERAGE(OFFSET($R$3,0,0,'Données projet'!$E$9+1,1))-AVERAGE(OFFSET($H$3,0,0,'Données projet'!$E$9+1,1))</f>
        <v>327.25473597900725</v>
      </c>
      <c r="T110" s="62">
        <f t="shared" si="88"/>
        <v>211.5313580973322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0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0</v>
      </c>
      <c r="AC110" s="24">
        <f t="shared" si="57"/>
        <v>0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4.2</v>
      </c>
      <c r="AI110" s="14">
        <f>IF('Données projet'!$A$62&gt;35,AI109+AH110-AQ109,IF(A110&lt;'Données projet'!$A$62,$AF$205^A110,IF(A110='Données projet'!$A$62,'Données projet'!$B$62,AI109+AH110-AQ109)))</f>
        <v>272.39999999999998</v>
      </c>
      <c r="AJ110" s="14">
        <f>AI110*VLOOKUP('Données projet'!$B$10,Paramètres!$A$1:$I$89,3,0)*VLOOKUP('Données projet'!$B$10,Paramètres!$A$1:$I$89,5,0)</f>
        <v>276.21359999999999</v>
      </c>
      <c r="AK110" s="14">
        <f t="shared" si="89"/>
        <v>66.166200760877473</v>
      </c>
      <c r="AL110" s="22">
        <f t="shared" si="58"/>
        <v>596.31148632519489</v>
      </c>
      <c r="AM110" s="62">
        <f t="shared" si="59"/>
        <v>889.64481965852815</v>
      </c>
      <c r="AN110" s="62">
        <f ca="1">AVERAGE(OFFSET($AM$3,0,0,'Données projet'!$E$10+1,1))-AVERAGE(OFFSET($H$3,0,0,'Données projet'!$E$10+1,1))</f>
        <v>366.41072413829329</v>
      </c>
      <c r="AO110" s="62">
        <f t="shared" si="90"/>
        <v>234.41212418619125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0</v>
      </c>
      <c r="AV110" s="23">
        <f>EXP(-LN(2)/25)*AV109+(1-EXP(-LN(2)/25))/(LN(2)/25)*Calculateur!AQ110*Calculateur!AS110*VLOOKUP('Données projet'!$B$10,Paramètres!$A$1:$I$89,3,0)*0.475*44/12</f>
        <v>0</v>
      </c>
      <c r="AW110" s="23">
        <f>EXP(-LN(2)/2)*AW109+(1-EXP(-LN(2)/2))/(LN(2)/2)*AQ110*AT110*VLOOKUP('Données projet'!$B$10,Paramètres!$A$1:$I$89,3,0)*0.475*44/12</f>
        <v>0</v>
      </c>
      <c r="AX110" s="23">
        <f t="shared" si="60"/>
        <v>0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5.6843418860808015E-14</v>
      </c>
      <c r="BE110" s="14">
        <f>BD110*VLOOKUP('Données projet'!$B$11,Paramètres!$A$1:$I$89,3,0)*VLOOKUP('Données projet'!$B$11,Paramètres!$A$1:$I$89,5,0)</f>
        <v>2.6602720026858149E-14</v>
      </c>
      <c r="BF110" s="14">
        <f t="shared" si="91"/>
        <v>4.6624771586320878E-13</v>
      </c>
      <c r="BG110" s="22">
        <f t="shared" si="61"/>
        <v>8.583811758418665E-13</v>
      </c>
      <c r="BH110" s="62">
        <f t="shared" si="62"/>
        <v>293.33333333333417</v>
      </c>
      <c r="BI110" s="62">
        <f ca="1">AVERAGE(OFFSET($BH$3,0,0,'Données projet'!$E$11+1,1))-AVERAGE(OFFSET($H$3,0,0,'Données projet'!$E$11+1,1))</f>
        <v>152.72674713084456</v>
      </c>
      <c r="BJ110" s="62">
        <f t="shared" si="92"/>
        <v>203.90215120562164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3.3446890812596464</v>
      </c>
      <c r="BQ110" s="23">
        <f>EXP(-LN(2)/25)*BQ109+(1-EXP(-LN(2)/25))/(LN(2)/25)*Calculateur!BL110*Calculateur!BN110*VLOOKUP('Données projet'!$B$11,Paramètres!$A$1:$I$89,3,0)*0.475*44/12</f>
        <v>0</v>
      </c>
      <c r="BR110" s="23">
        <f>EXP(-LN(2)/2)*BR109+(1-EXP(-LN(2)/2))/(LN(2)/2)*BL110*BO110*VLOOKUP('Données projet'!$B$11,Paramètres!$A$1:$I$89,3,0)*0.475*44/12</f>
        <v>3.9908669066417228E-11</v>
      </c>
      <c r="BS110" s="24">
        <f t="shared" si="63"/>
        <v>3.3446890812995549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3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30.154550399999945</v>
      </c>
      <c r="D111" s="12">
        <f t="shared" si="86"/>
        <v>9.3477749873404896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95.748092552893937</v>
      </c>
      <c r="H111" s="70">
        <f t="shared" si="56"/>
        <v>325.46655004961792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4.2</v>
      </c>
      <c r="N111" s="14">
        <f>IF('Données projet'!$A$36&gt;35,N110+M111-V110,IF(A111&lt;'Données projet'!$A$36,$K$205^A111,IF(A111='Données projet'!$A$36,'Données projet'!$B$36,N110+M111-V110)))</f>
        <v>276.59999999999997</v>
      </c>
      <c r="O111" s="14">
        <f>N111*VLOOKUP('Données projet'!$B$9,Paramètres!$A$1:$I$89,3,0)*VLOOKUP('Données projet'!$B$9,Paramètres!$A$1:$I$89,5,0)</f>
        <v>250.26767999999996</v>
      </c>
      <c r="P111" s="14">
        <f t="shared" si="87"/>
        <v>60.643256925083442</v>
      </c>
      <c r="Q111" s="22">
        <f t="shared" si="107"/>
        <v>541.50321514452014</v>
      </c>
      <c r="R111" s="62">
        <f t="shared" si="55"/>
        <v>834.83654847785351</v>
      </c>
      <c r="S111" s="62">
        <f ca="1">AVERAGE(OFFSET($R$3,0,0,'Données projet'!$E$9+1,1))-AVERAGE(OFFSET($H$3,0,0,'Données projet'!$E$9+1,1))</f>
        <v>327.25473597900725</v>
      </c>
      <c r="T111" s="62">
        <f t="shared" si="88"/>
        <v>211.5313580973322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0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0</v>
      </c>
      <c r="AC111" s="24">
        <f t="shared" si="57"/>
        <v>0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4.2</v>
      </c>
      <c r="AI111" s="14">
        <f>IF('Données projet'!$A$62&gt;35,AI110+AH111-AQ110,IF(A111&lt;'Données projet'!$A$62,$AF$205^A111,IF(A111='Données projet'!$A$62,'Données projet'!$B$62,AI110+AH111-AQ110)))</f>
        <v>276.59999999999997</v>
      </c>
      <c r="AJ111" s="14">
        <f>AI111*VLOOKUP('Données projet'!$B$10,Paramètres!$A$1:$I$89,3,0)*VLOOKUP('Données projet'!$B$10,Paramètres!$A$1:$I$89,5,0)</f>
        <v>280.47239999999999</v>
      </c>
      <c r="AK111" s="14">
        <f t="shared" si="89"/>
        <v>67.066830784504006</v>
      </c>
      <c r="AL111" s="22">
        <f t="shared" si="58"/>
        <v>605.29749361634447</v>
      </c>
      <c r="AM111" s="62">
        <f t="shared" si="59"/>
        <v>898.63082694967784</v>
      </c>
      <c r="AN111" s="62">
        <f ca="1">AVERAGE(OFFSET($AM$3,0,0,'Données projet'!$E$10+1,1))-AVERAGE(OFFSET($H$3,0,0,'Données projet'!$E$10+1,1))</f>
        <v>366.41072413829329</v>
      </c>
      <c r="AO111" s="62">
        <f t="shared" si="90"/>
        <v>234.41212418619125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0</v>
      </c>
      <c r="AV111" s="23">
        <f>EXP(-LN(2)/25)*AV110+(1-EXP(-LN(2)/25))/(LN(2)/25)*Calculateur!AQ111*Calculateur!AS111*VLOOKUP('Données projet'!$B$10,Paramètres!$A$1:$I$89,3,0)*0.475*44/12</f>
        <v>0</v>
      </c>
      <c r="AW111" s="23">
        <f>EXP(-LN(2)/2)*AW110+(1-EXP(-LN(2)/2))/(LN(2)/2)*AQ111*AT111*VLOOKUP('Données projet'!$B$10,Paramètres!$A$1:$I$89,3,0)*0.475*44/12</f>
        <v>0</v>
      </c>
      <c r="AX111" s="23">
        <f t="shared" si="60"/>
        <v>0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5.6843418860808015E-14</v>
      </c>
      <c r="BE111" s="14">
        <f>BD111*VLOOKUP('Données projet'!$B$11,Paramètres!$A$1:$I$89,3,0)*VLOOKUP('Données projet'!$B$11,Paramètres!$A$1:$I$89,5,0)</f>
        <v>2.6602720026858149E-14</v>
      </c>
      <c r="BF111" s="14">
        <f t="shared" si="91"/>
        <v>4.6624771586320878E-13</v>
      </c>
      <c r="BG111" s="22">
        <f t="shared" si="61"/>
        <v>8.583811758418665E-13</v>
      </c>
      <c r="BH111" s="62">
        <f t="shared" si="62"/>
        <v>293.33333333333417</v>
      </c>
      <c r="BI111" s="62">
        <f ca="1">AVERAGE(OFFSET($BH$3,0,0,'Données projet'!$E$11+1,1))-AVERAGE(OFFSET($H$3,0,0,'Données projet'!$E$11+1,1))</f>
        <v>152.72674713084456</v>
      </c>
      <c r="BJ111" s="62">
        <f t="shared" si="92"/>
        <v>203.90215120562164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3.2791017684350452</v>
      </c>
      <c r="BQ111" s="23">
        <f>EXP(-LN(2)/25)*BQ110+(1-EXP(-LN(2)/25))/(LN(2)/25)*Calculateur!BL111*Calculateur!BN111*VLOOKUP('Données projet'!$B$11,Paramètres!$A$1:$I$89,3,0)*0.475*44/12</f>
        <v>0</v>
      </c>
      <c r="BR111" s="23">
        <f>EXP(-LN(2)/2)*BR110+(1-EXP(-LN(2)/2))/(LN(2)/2)*BL111*BO111*VLOOKUP('Données projet'!$B$11,Paramètres!$A$1:$I$89,3,0)*0.475*44/12</f>
        <v>2.8219690524993427E-11</v>
      </c>
      <c r="BS111" s="24">
        <f t="shared" si="63"/>
        <v>3.2791017684632648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3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30.433759199999944</v>
      </c>
      <c r="D112" s="12">
        <f t="shared" si="86"/>
        <v>9.4242125631156028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96.610129452492004</v>
      </c>
      <c r="H112" s="70">
        <f t="shared" si="56"/>
        <v>326.08596748742627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4.2</v>
      </c>
      <c r="N112" s="14">
        <f>IF('Données projet'!$A$36&gt;35,N111+M112-V111,IF(A112&lt;'Données projet'!$A$36,$K$205^A112,IF(A112='Données projet'!$A$36,'Données projet'!$B$36,N111+M112-V111)))</f>
        <v>280.79999999999995</v>
      </c>
      <c r="O112" s="14">
        <f>N112*VLOOKUP('Données projet'!$B$9,Paramètres!$A$1:$I$89,3,0)*VLOOKUP('Données projet'!$B$9,Paramètres!$A$1:$I$89,5,0)</f>
        <v>254.06783999999996</v>
      </c>
      <c r="P112" s="14">
        <f t="shared" si="87"/>
        <v>61.456187622750718</v>
      </c>
      <c r="Q112" s="22">
        <f t="shared" si="107"/>
        <v>549.53768144295748</v>
      </c>
      <c r="R112" s="62">
        <f t="shared" si="55"/>
        <v>842.87101477629085</v>
      </c>
      <c r="S112" s="62">
        <f ca="1">AVERAGE(OFFSET($R$3,0,0,'Données projet'!$E$9+1,1))-AVERAGE(OFFSET($H$3,0,0,'Données projet'!$E$9+1,1))</f>
        <v>327.25473597900725</v>
      </c>
      <c r="T112" s="62">
        <f t="shared" si="88"/>
        <v>211.5313580973322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0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0</v>
      </c>
      <c r="AC112" s="24">
        <f t="shared" si="57"/>
        <v>0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4.2</v>
      </c>
      <c r="AI112" s="14">
        <f>IF('Données projet'!$A$62&gt;35,AI111+AH112-AQ111,IF(A112&lt;'Données projet'!$A$62,$AF$205^A112,IF(A112='Données projet'!$A$62,'Données projet'!$B$62,AI111+AH112-AQ111)))</f>
        <v>280.79999999999995</v>
      </c>
      <c r="AJ112" s="14">
        <f>AI112*VLOOKUP('Données projet'!$B$10,Paramètres!$A$1:$I$89,3,0)*VLOOKUP('Données projet'!$B$10,Paramètres!$A$1:$I$89,5,0)</f>
        <v>284.7312</v>
      </c>
      <c r="AK112" s="14">
        <f t="shared" si="89"/>
        <v>67.96587032005101</v>
      </c>
      <c r="AL112" s="22">
        <f t="shared" si="58"/>
        <v>614.28073080742217</v>
      </c>
      <c r="AM112" s="62">
        <f t="shared" si="59"/>
        <v>907.61406414075554</v>
      </c>
      <c r="AN112" s="62">
        <f ca="1">AVERAGE(OFFSET($AM$3,0,0,'Données projet'!$E$10+1,1))-AVERAGE(OFFSET($H$3,0,0,'Données projet'!$E$10+1,1))</f>
        <v>366.41072413829329</v>
      </c>
      <c r="AO112" s="62">
        <f t="shared" si="90"/>
        <v>234.41212418619125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0</v>
      </c>
      <c r="AV112" s="23">
        <f>EXP(-LN(2)/25)*AV111+(1-EXP(-LN(2)/25))/(LN(2)/25)*Calculateur!AQ112*Calculateur!AS112*VLOOKUP('Données projet'!$B$10,Paramètres!$A$1:$I$89,3,0)*0.475*44/12</f>
        <v>0</v>
      </c>
      <c r="AW112" s="23">
        <f>EXP(-LN(2)/2)*AW111+(1-EXP(-LN(2)/2))/(LN(2)/2)*AQ112*AT112*VLOOKUP('Données projet'!$B$10,Paramètres!$A$1:$I$89,3,0)*0.475*44/12</f>
        <v>0</v>
      </c>
      <c r="AX112" s="23">
        <f t="shared" si="60"/>
        <v>0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5.6843418860808015E-14</v>
      </c>
      <c r="BE112" s="14">
        <f>BD112*VLOOKUP('Données projet'!$B$11,Paramètres!$A$1:$I$89,3,0)*VLOOKUP('Données projet'!$B$11,Paramètres!$A$1:$I$89,5,0)</f>
        <v>2.6602720026858149E-14</v>
      </c>
      <c r="BF112" s="14">
        <f t="shared" si="91"/>
        <v>4.6624771586320878E-13</v>
      </c>
      <c r="BG112" s="22">
        <f t="shared" si="61"/>
        <v>8.583811758418665E-13</v>
      </c>
      <c r="BH112" s="62">
        <f t="shared" si="62"/>
        <v>293.33333333333417</v>
      </c>
      <c r="BI112" s="62">
        <f ca="1">AVERAGE(OFFSET($BH$3,0,0,'Données projet'!$E$11+1,1))-AVERAGE(OFFSET($H$3,0,0,'Données projet'!$E$11+1,1))</f>
        <v>152.72674713084456</v>
      </c>
      <c r="BJ112" s="62">
        <f t="shared" si="92"/>
        <v>203.90215120562164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3.2148005828106236</v>
      </c>
      <c r="BQ112" s="23">
        <f>EXP(-LN(2)/25)*BQ111+(1-EXP(-LN(2)/25))/(LN(2)/25)*Calculateur!BL112*Calculateur!BN112*VLOOKUP('Données projet'!$B$11,Paramètres!$A$1:$I$89,3,0)*0.475*44/12</f>
        <v>0</v>
      </c>
      <c r="BR112" s="23">
        <f>EXP(-LN(2)/2)*BR111+(1-EXP(-LN(2)/2))/(LN(2)/2)*BL112*BO112*VLOOKUP('Données projet'!$B$11,Paramètres!$A$1:$I$89,3,0)*0.475*44/12</f>
        <v>1.9954334533208617E-11</v>
      </c>
      <c r="BS112" s="24">
        <f t="shared" si="63"/>
        <v>3.2148005828305779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3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30.712967999999943</v>
      </c>
      <c r="D113" s="12">
        <f t="shared" si="86"/>
        <v>9.5005685543332508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97.471968602573227</v>
      </c>
      <c r="H113" s="70">
        <f t="shared" si="56"/>
        <v>326.70524283213035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>
        <f>VLOOKUP(A113,'Données projet'!$A$35:$I$55,2,0)</f>
        <v>285</v>
      </c>
      <c r="L113" s="13">
        <f>VLOOKUP(A113,'Données projet'!$A$35:$I$55,9,0)</f>
        <v>4.2</v>
      </c>
      <c r="M113" s="13">
        <f t="array" ref="M113">INDEX(L:L,MIN(IF(ISNUMBER(L113:L309),ROW(L113:L309),"")))</f>
        <v>4.2</v>
      </c>
      <c r="N113" s="14">
        <f>IF('Données projet'!$A$36&gt;35,N112+M113-V112,IF(A113&lt;'Données projet'!$A$36,$K$205^A113,IF(A113='Données projet'!$A$36,'Données projet'!$B$36,N112+M113-V112)))</f>
        <v>284.99999999999994</v>
      </c>
      <c r="O113" s="14">
        <f>N113*VLOOKUP('Données projet'!$B$9,Paramètres!$A$1:$I$89,3,0)*VLOOKUP('Données projet'!$B$9,Paramètres!$A$1:$I$89,5,0)</f>
        <v>257.86799999999994</v>
      </c>
      <c r="P113" s="14">
        <f t="shared" si="87"/>
        <v>62.267704162827528</v>
      </c>
      <c r="Q113" s="22">
        <f t="shared" si="107"/>
        <v>557.56968475025781</v>
      </c>
      <c r="R113" s="62">
        <f t="shared" si="55"/>
        <v>850.90301808359118</v>
      </c>
      <c r="S113" s="62">
        <f ca="1">AVERAGE(OFFSET($R$3,0,0,'Données projet'!$E$9+1,1))-AVERAGE(OFFSET($H$3,0,0,'Données projet'!$E$9+1,1))</f>
        <v>327.25473597900725</v>
      </c>
      <c r="T113" s="62">
        <f t="shared" si="88"/>
        <v>211.5313580973322</v>
      </c>
      <c r="U113" s="16">
        <f>IF(ISNA(VLOOKUP(A113,'Données projet'!$A$35:$I$55,3,0)),0,VLOOKUP(A113,'Données projet'!$A$35:$I$55,3,0))</f>
        <v>19</v>
      </c>
      <c r="V113" s="16">
        <f>IF(ISNA(VLOOKUP(A113,'Données projet'!$A$35:$I$55,4,0)),0,VLOOKUP(A113,'Données projet'!$A$35:$I$55,4,0))</f>
        <v>19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0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0</v>
      </c>
      <c r="AC113" s="24">
        <f t="shared" si="57"/>
        <v>0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>
        <f>VLOOKUP(A113,'Données projet'!$A$61:$I$81,2,0)</f>
        <v>285</v>
      </c>
      <c r="AG113" s="13">
        <f>VLOOKUP(A113,'Données projet'!$A$61:$I$81,9,0)</f>
        <v>4.2</v>
      </c>
      <c r="AH113" s="13">
        <f t="array" ref="AH113">INDEX(AG:AG,MIN(IF(ISNUMBER(AG113:AG309),ROW(AG113:AG309),"")))</f>
        <v>4.2</v>
      </c>
      <c r="AI113" s="14">
        <f>IF('Données projet'!$A$62&gt;35,AI112+AH113-AQ112,IF(A113&lt;'Données projet'!$A$62,$AF$205^A113,IF(A113='Données projet'!$A$62,'Données projet'!$B$62,AI112+AH113-AQ112)))</f>
        <v>284.99999999999994</v>
      </c>
      <c r="AJ113" s="14">
        <f>AI113*VLOOKUP('Données projet'!$B$10,Paramètres!$A$1:$I$89,3,0)*VLOOKUP('Données projet'!$B$10,Paramètres!$A$1:$I$89,5,0)</f>
        <v>288.98999999999995</v>
      </c>
      <c r="AK113" s="14">
        <f t="shared" si="89"/>
        <v>68.863345904836791</v>
      </c>
      <c r="AL113" s="22">
        <f t="shared" si="58"/>
        <v>623.26124411759065</v>
      </c>
      <c r="AM113" s="62">
        <f t="shared" si="59"/>
        <v>916.59457745092391</v>
      </c>
      <c r="AN113" s="62">
        <f ca="1">AVERAGE(OFFSET($AM$3,0,0,'Données projet'!$E$10+1,1))-AVERAGE(OFFSET($H$3,0,0,'Données projet'!$E$10+1,1))</f>
        <v>366.41072413829329</v>
      </c>
      <c r="AO113" s="62">
        <f t="shared" si="90"/>
        <v>234.41212418619125</v>
      </c>
      <c r="AP113" s="16">
        <f>IF(ISNA(VLOOKUP(A113,'Données projet'!$A$61:$I$81,3,0)),0,VLOOKUP(A113,'Données projet'!$A$61:$I$81,3,0))</f>
        <v>19</v>
      </c>
      <c r="AQ113" s="16">
        <f>IF(ISNA(VLOOKUP(A113,'Données projet'!$A$61:$I$81,4,0)),0,VLOOKUP(A113,'Données projet'!$A$61:$I$81,4,0))</f>
        <v>19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0</v>
      </c>
      <c r="AV113" s="23">
        <f>EXP(-LN(2)/25)*AV112+(1-EXP(-LN(2)/25))/(LN(2)/25)*Calculateur!AQ113*Calculateur!AS113*VLOOKUP('Données projet'!$B$10,Paramètres!$A$1:$I$89,3,0)*0.475*44/12</f>
        <v>0</v>
      </c>
      <c r="AW113" s="23">
        <f>EXP(-LN(2)/2)*AW112+(1-EXP(-LN(2)/2))/(LN(2)/2)*AQ113*AT113*VLOOKUP('Données projet'!$B$10,Paramètres!$A$1:$I$89,3,0)*0.475*44/12</f>
        <v>0</v>
      </c>
      <c r="AX113" s="23">
        <f t="shared" si="60"/>
        <v>0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5.6843418860808015E-14</v>
      </c>
      <c r="BE113" s="14">
        <f>BD113*VLOOKUP('Données projet'!$B$11,Paramètres!$A$1:$I$89,3,0)*VLOOKUP('Données projet'!$B$11,Paramètres!$A$1:$I$89,5,0)</f>
        <v>2.6602720026858149E-14</v>
      </c>
      <c r="BF113" s="14">
        <f t="shared" si="91"/>
        <v>4.6624771586320878E-13</v>
      </c>
      <c r="BG113" s="22">
        <f t="shared" si="61"/>
        <v>8.583811758418665E-13</v>
      </c>
      <c r="BH113" s="62">
        <f t="shared" si="62"/>
        <v>293.33333333333417</v>
      </c>
      <c r="BI113" s="62">
        <f ca="1">AVERAGE(OFFSET($BH$3,0,0,'Données projet'!$E$11+1,1))-AVERAGE(OFFSET($H$3,0,0,'Données projet'!$E$11+1,1))</f>
        <v>152.72674713084456</v>
      </c>
      <c r="BJ113" s="62">
        <f t="shared" si="92"/>
        <v>203.90215120562164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3.1517603042164466</v>
      </c>
      <c r="BQ113" s="23">
        <f>EXP(-LN(2)/25)*BQ112+(1-EXP(-LN(2)/25))/(LN(2)/25)*Calculateur!BL113*Calculateur!BN113*VLOOKUP('Données projet'!$B$11,Paramètres!$A$1:$I$89,3,0)*0.475*44/12</f>
        <v>0</v>
      </c>
      <c r="BR113" s="23">
        <f>EXP(-LN(2)/2)*BR112+(1-EXP(-LN(2)/2))/(LN(2)/2)*BL113*BO113*VLOOKUP('Données projet'!$B$11,Paramètres!$A$1:$I$89,3,0)*0.475*44/12</f>
        <v>1.4109845262496715E-11</v>
      </c>
      <c r="BS113" s="24">
        <f t="shared" si="63"/>
        <v>3.1517603042305566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3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30.992176799999942</v>
      </c>
      <c r="D114" s="12">
        <f t="shared" si="86"/>
        <v>9.5768437885874746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98.333612009109444</v>
      </c>
      <c r="H114" s="70">
        <f t="shared" si="56"/>
        <v>327.32437752512311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3.8</v>
      </c>
      <c r="N114" s="14">
        <f>IF('Données projet'!$A$36&gt;35,N113+M114-V113,IF(A114&lt;'Données projet'!$A$36,$K$205^A114,IF(A114='Données projet'!$A$36,'Données projet'!$B$36,N113+M114-V113)))</f>
        <v>269.79999999999995</v>
      </c>
      <c r="O114" s="14">
        <f>N114*VLOOKUP('Données projet'!$B$9,Paramètres!$A$1:$I$89,3,0)*VLOOKUP('Données projet'!$B$9,Paramètres!$A$1:$I$89,5,0)</f>
        <v>244.11503999999994</v>
      </c>
      <c r="P114" s="14">
        <f t="shared" si="87"/>
        <v>59.324023461759012</v>
      </c>
      <c r="Q114" s="22">
        <f t="shared" si="107"/>
        <v>528.48970219589683</v>
      </c>
      <c r="R114" s="62">
        <f t="shared" si="55"/>
        <v>821.82303552923008</v>
      </c>
      <c r="S114" s="62">
        <f ca="1">AVERAGE(OFFSET($R$3,0,0,'Données projet'!$E$9+1,1))-AVERAGE(OFFSET($H$3,0,0,'Données projet'!$E$9+1,1))</f>
        <v>327.25473597900725</v>
      </c>
      <c r="T114" s="62">
        <f t="shared" si="88"/>
        <v>211.5313580973322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0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0</v>
      </c>
      <c r="AC114" s="24">
        <f t="shared" si="57"/>
        <v>0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3.8</v>
      </c>
      <c r="AI114" s="14">
        <f>IF('Données projet'!$A$62&gt;35,AI113+AH114-AQ113,IF(A114&lt;'Données projet'!$A$62,$AF$205^A114,IF(A114='Données projet'!$A$62,'Données projet'!$B$62,AI113+AH114-AQ113)))</f>
        <v>269.79999999999995</v>
      </c>
      <c r="AJ114" s="14">
        <f>AI114*VLOOKUP('Données projet'!$B$10,Paramètres!$A$1:$I$89,3,0)*VLOOKUP('Données projet'!$B$10,Paramètres!$A$1:$I$89,5,0)</f>
        <v>273.57719999999995</v>
      </c>
      <c r="AK114" s="14">
        <f t="shared" si="89"/>
        <v>65.60785888991505</v>
      </c>
      <c r="AL114" s="22">
        <f t="shared" si="58"/>
        <v>590.74731089993531</v>
      </c>
      <c r="AM114" s="62">
        <f t="shared" si="59"/>
        <v>884.08064423326869</v>
      </c>
      <c r="AN114" s="62">
        <f ca="1">AVERAGE(OFFSET($AM$3,0,0,'Données projet'!$E$10+1,1))-AVERAGE(OFFSET($H$3,0,0,'Données projet'!$E$10+1,1))</f>
        <v>366.41072413829329</v>
      </c>
      <c r="AO114" s="62">
        <f t="shared" si="90"/>
        <v>234.41212418619125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0</v>
      </c>
      <c r="AV114" s="23">
        <f>EXP(-LN(2)/25)*AV113+(1-EXP(-LN(2)/25))/(LN(2)/25)*Calculateur!AQ114*Calculateur!AS114*VLOOKUP('Données projet'!$B$10,Paramètres!$A$1:$I$89,3,0)*0.475*44/12</f>
        <v>0</v>
      </c>
      <c r="AW114" s="23">
        <f>EXP(-LN(2)/2)*AW113+(1-EXP(-LN(2)/2))/(LN(2)/2)*AQ114*AT114*VLOOKUP('Données projet'!$B$10,Paramètres!$A$1:$I$89,3,0)*0.475*44/12</f>
        <v>0</v>
      </c>
      <c r="AX114" s="23">
        <f t="shared" si="60"/>
        <v>0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5.6843418860808015E-14</v>
      </c>
      <c r="BE114" s="14">
        <f>BD114*VLOOKUP('Données projet'!$B$11,Paramètres!$A$1:$I$89,3,0)*VLOOKUP('Données projet'!$B$11,Paramètres!$A$1:$I$89,5,0)</f>
        <v>2.6602720026858149E-14</v>
      </c>
      <c r="BF114" s="14">
        <f t="shared" si="91"/>
        <v>4.6624771586320878E-13</v>
      </c>
      <c r="BG114" s="22">
        <f t="shared" si="61"/>
        <v>8.583811758418665E-13</v>
      </c>
      <c r="BH114" s="62">
        <f t="shared" si="62"/>
        <v>293.33333333333417</v>
      </c>
      <c r="BI114" s="62">
        <f ca="1">AVERAGE(OFFSET($BH$3,0,0,'Données projet'!$E$11+1,1))-AVERAGE(OFFSET($H$3,0,0,'Données projet'!$E$11+1,1))</f>
        <v>152.72674713084456</v>
      </c>
      <c r="BJ114" s="62">
        <f t="shared" si="92"/>
        <v>203.90215120562164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3.089956207034728</v>
      </c>
      <c r="BQ114" s="23">
        <f>EXP(-LN(2)/25)*BQ113+(1-EXP(-LN(2)/25))/(LN(2)/25)*Calculateur!BL114*Calculateur!BN114*VLOOKUP('Données projet'!$B$11,Paramètres!$A$1:$I$89,3,0)*0.475*44/12</f>
        <v>0</v>
      </c>
      <c r="BR114" s="23">
        <f>EXP(-LN(2)/2)*BR113+(1-EXP(-LN(2)/2))/(LN(2)/2)*BL114*BO114*VLOOKUP('Données projet'!$B$11,Paramètres!$A$1:$I$89,3,0)*0.475*44/12</f>
        <v>9.9771672666043103E-12</v>
      </c>
      <c r="BS114" s="24">
        <f t="shared" si="63"/>
        <v>3.0899562070447053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3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31.271385599999942</v>
      </c>
      <c r="D115" s="12">
        <f t="shared" si="86"/>
        <v>9.6530390777004964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99.195061639843729</v>
      </c>
      <c r="H115" s="70">
        <f t="shared" si="56"/>
        <v>327.94337298032826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3.8</v>
      </c>
      <c r="N115" s="14">
        <f>IF('Données projet'!$A$36&gt;35,N114+M115-V114,IF(A115&lt;'Données projet'!$A$36,$K$205^A115,IF(A115='Données projet'!$A$36,'Données projet'!$B$36,N114+M115-V114)))</f>
        <v>273.59999999999997</v>
      </c>
      <c r="O115" s="14">
        <f>N115*VLOOKUP('Données projet'!$B$9,Paramètres!$A$1:$I$89,3,0)*VLOOKUP('Données projet'!$B$9,Paramètres!$A$1:$I$89,5,0)</f>
        <v>247.55327999999994</v>
      </c>
      <c r="P115" s="14">
        <f t="shared" si="87"/>
        <v>60.061713068870255</v>
      </c>
      <c r="Q115" s="22">
        <f t="shared" si="107"/>
        <v>535.76277959494894</v>
      </c>
      <c r="R115" s="62">
        <f t="shared" si="55"/>
        <v>829.09611292828231</v>
      </c>
      <c r="S115" s="62">
        <f ca="1">AVERAGE(OFFSET($R$3,0,0,'Données projet'!$E$9+1,1))-AVERAGE(OFFSET($H$3,0,0,'Données projet'!$E$9+1,1))</f>
        <v>327.25473597900725</v>
      </c>
      <c r="T115" s="62">
        <f t="shared" si="88"/>
        <v>211.5313580973322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0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0</v>
      </c>
      <c r="AC115" s="24">
        <f t="shared" si="57"/>
        <v>0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3.8</v>
      </c>
      <c r="AI115" s="14">
        <f>IF('Données projet'!$A$62&gt;35,AI114+AH115-AQ114,IF(A115&lt;'Données projet'!$A$62,$AF$205^A115,IF(A115='Données projet'!$A$62,'Données projet'!$B$62,AI114+AH115-AQ114)))</f>
        <v>273.59999999999997</v>
      </c>
      <c r="AJ115" s="14">
        <f>AI115*VLOOKUP('Données projet'!$B$10,Paramètres!$A$1:$I$89,3,0)*VLOOKUP('Données projet'!$B$10,Paramètres!$A$1:$I$89,5,0)</f>
        <v>277.43039999999996</v>
      </c>
      <c r="AK115" s="14">
        <f t="shared" si="89"/>
        <v>66.423687500715673</v>
      </c>
      <c r="AL115" s="22">
        <f t="shared" si="58"/>
        <v>598.87920239707967</v>
      </c>
      <c r="AM115" s="62">
        <f t="shared" si="59"/>
        <v>892.21253573041304</v>
      </c>
      <c r="AN115" s="62">
        <f ca="1">AVERAGE(OFFSET($AM$3,0,0,'Données projet'!$E$10+1,1))-AVERAGE(OFFSET($H$3,0,0,'Données projet'!$E$10+1,1))</f>
        <v>366.41072413829329</v>
      </c>
      <c r="AO115" s="62">
        <f t="shared" si="90"/>
        <v>234.41212418619125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0</v>
      </c>
      <c r="AV115" s="23">
        <f>EXP(-LN(2)/25)*AV114+(1-EXP(-LN(2)/25))/(LN(2)/25)*Calculateur!AQ115*Calculateur!AS115*VLOOKUP('Données projet'!$B$10,Paramètres!$A$1:$I$89,3,0)*0.475*44/12</f>
        <v>0</v>
      </c>
      <c r="AW115" s="23">
        <f>EXP(-LN(2)/2)*AW114+(1-EXP(-LN(2)/2))/(LN(2)/2)*AQ115*AT115*VLOOKUP('Données projet'!$B$10,Paramètres!$A$1:$I$89,3,0)*0.475*44/12</f>
        <v>0</v>
      </c>
      <c r="AX115" s="23">
        <f t="shared" si="60"/>
        <v>0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5.6843418860808015E-14</v>
      </c>
      <c r="BE115" s="14">
        <f>BD115*VLOOKUP('Données projet'!$B$11,Paramètres!$A$1:$I$89,3,0)*VLOOKUP('Données projet'!$B$11,Paramètres!$A$1:$I$89,5,0)</f>
        <v>2.6602720026858149E-14</v>
      </c>
      <c r="BF115" s="14">
        <f t="shared" si="91"/>
        <v>4.6624771586320878E-13</v>
      </c>
      <c r="BG115" s="22">
        <f t="shared" si="61"/>
        <v>8.583811758418665E-13</v>
      </c>
      <c r="BH115" s="62">
        <f t="shared" si="62"/>
        <v>293.33333333333417</v>
      </c>
      <c r="BI115" s="62">
        <f ca="1">AVERAGE(OFFSET($BH$3,0,0,'Données projet'!$E$11+1,1))-AVERAGE(OFFSET($H$3,0,0,'Données projet'!$E$11+1,1))</f>
        <v>152.72674713084456</v>
      </c>
      <c r="BJ115" s="62">
        <f t="shared" si="92"/>
        <v>203.90215120562164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3.0293640505019659</v>
      </c>
      <c r="BQ115" s="23">
        <f>EXP(-LN(2)/25)*BQ114+(1-EXP(-LN(2)/25))/(LN(2)/25)*Calculateur!BL115*Calculateur!BN115*VLOOKUP('Données projet'!$B$11,Paramètres!$A$1:$I$89,3,0)*0.475*44/12</f>
        <v>0</v>
      </c>
      <c r="BR115" s="23">
        <f>EXP(-LN(2)/2)*BR114+(1-EXP(-LN(2)/2))/(LN(2)/2)*BL115*BO115*VLOOKUP('Données projet'!$B$11,Paramètres!$A$1:$I$89,3,0)*0.475*44/12</f>
        <v>7.0549226312483591E-12</v>
      </c>
      <c r="BS115" s="24">
        <f t="shared" si="63"/>
        <v>3.0293640505090207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3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31.550594399999941</v>
      </c>
      <c r="D116" s="12">
        <f t="shared" si="86"/>
        <v>9.7291552181613667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100.05631942535378</v>
      </c>
      <c r="H116" s="70">
        <f t="shared" si="56"/>
        <v>328.56223058496425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3.8</v>
      </c>
      <c r="N116" s="14">
        <f>IF('Données projet'!$A$36&gt;35,N115+M116-V115,IF(A116&lt;'Données projet'!$A$36,$K$205^A116,IF(A116='Données projet'!$A$36,'Données projet'!$B$36,N115+M116-V115)))</f>
        <v>277.39999999999998</v>
      </c>
      <c r="O116" s="14">
        <f>N116*VLOOKUP('Données projet'!$B$9,Paramètres!$A$1:$I$89,3,0)*VLOOKUP('Données projet'!$B$9,Paramètres!$A$1:$I$89,5,0)</f>
        <v>250.99151999999995</v>
      </c>
      <c r="P116" s="14">
        <f t="shared" si="87"/>
        <v>60.798211000769406</v>
      </c>
      <c r="Q116" s="22">
        <f t="shared" si="107"/>
        <v>543.03378149300659</v>
      </c>
      <c r="R116" s="62">
        <f t="shared" si="55"/>
        <v>836.36711482633996</v>
      </c>
      <c r="S116" s="62">
        <f ca="1">AVERAGE(OFFSET($R$3,0,0,'Données projet'!$E$9+1,1))-AVERAGE(OFFSET($H$3,0,0,'Données projet'!$E$9+1,1))</f>
        <v>327.25473597900725</v>
      </c>
      <c r="T116" s="62">
        <f t="shared" si="88"/>
        <v>211.5313580973322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0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0</v>
      </c>
      <c r="AC116" s="24">
        <f t="shared" si="57"/>
        <v>0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3.8</v>
      </c>
      <c r="AI116" s="14">
        <f>IF('Données projet'!$A$62&gt;35,AI115+AH116-AQ115,IF(A116&lt;'Données projet'!$A$62,$AF$205^A116,IF(A116='Données projet'!$A$62,'Données projet'!$B$62,AI115+AH116-AQ115)))</f>
        <v>277.39999999999998</v>
      </c>
      <c r="AJ116" s="14">
        <f>AI116*VLOOKUP('Données projet'!$B$10,Paramètres!$A$1:$I$89,3,0)*VLOOKUP('Données projet'!$B$10,Paramètres!$A$1:$I$89,5,0)</f>
        <v>281.28360000000004</v>
      </c>
      <c r="AK116" s="14">
        <f t="shared" si="89"/>
        <v>67.238198209347928</v>
      </c>
      <c r="AL116" s="22">
        <f t="shared" si="58"/>
        <v>607.00879854794766</v>
      </c>
      <c r="AM116" s="62">
        <f t="shared" si="59"/>
        <v>900.34213188128092</v>
      </c>
      <c r="AN116" s="62">
        <f ca="1">AVERAGE(OFFSET($AM$3,0,0,'Données projet'!$E$10+1,1))-AVERAGE(OFFSET($H$3,0,0,'Données projet'!$E$10+1,1))</f>
        <v>366.41072413829329</v>
      </c>
      <c r="AO116" s="62">
        <f t="shared" si="90"/>
        <v>234.41212418619125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0</v>
      </c>
      <c r="AV116" s="23">
        <f>EXP(-LN(2)/25)*AV115+(1-EXP(-LN(2)/25))/(LN(2)/25)*Calculateur!AQ116*Calculateur!AS116*VLOOKUP('Données projet'!$B$10,Paramètres!$A$1:$I$89,3,0)*0.475*44/12</f>
        <v>0</v>
      </c>
      <c r="AW116" s="23">
        <f>EXP(-LN(2)/2)*AW115+(1-EXP(-LN(2)/2))/(LN(2)/2)*AQ116*AT116*VLOOKUP('Données projet'!$B$10,Paramètres!$A$1:$I$89,3,0)*0.475*44/12</f>
        <v>0</v>
      </c>
      <c r="AX116" s="23">
        <f t="shared" si="60"/>
        <v>0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5.6843418860808015E-14</v>
      </c>
      <c r="BE116" s="14">
        <f>BD116*VLOOKUP('Données projet'!$B$11,Paramètres!$A$1:$I$89,3,0)*VLOOKUP('Données projet'!$B$11,Paramètres!$A$1:$I$89,5,0)</f>
        <v>2.6602720026858149E-14</v>
      </c>
      <c r="BF116" s="14">
        <f t="shared" si="91"/>
        <v>4.6624771586320878E-13</v>
      </c>
      <c r="BG116" s="22">
        <f t="shared" si="61"/>
        <v>8.583811758418665E-13</v>
      </c>
      <c r="BH116" s="62">
        <f t="shared" si="62"/>
        <v>293.33333333333417</v>
      </c>
      <c r="BI116" s="62">
        <f ca="1">AVERAGE(OFFSET($BH$3,0,0,'Données projet'!$E$11+1,1))-AVERAGE(OFFSET($H$3,0,0,'Données projet'!$E$11+1,1))</f>
        <v>152.72674713084456</v>
      </c>
      <c r="BJ116" s="62">
        <f t="shared" si="92"/>
        <v>203.90215120562164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2.9699600692012451</v>
      </c>
      <c r="BQ116" s="23">
        <f>EXP(-LN(2)/25)*BQ115+(1-EXP(-LN(2)/25))/(LN(2)/25)*Calculateur!BL116*Calculateur!BN116*VLOOKUP('Données projet'!$B$11,Paramètres!$A$1:$I$89,3,0)*0.475*44/12</f>
        <v>0</v>
      </c>
      <c r="BR116" s="23">
        <f>EXP(-LN(2)/2)*BR115+(1-EXP(-LN(2)/2))/(LN(2)/2)*BL116*BO116*VLOOKUP('Données projet'!$B$11,Paramètres!$A$1:$I$89,3,0)*0.475*44/12</f>
        <v>4.9885836333021559E-12</v>
      </c>
      <c r="BS116" s="24">
        <f t="shared" si="63"/>
        <v>2.9699600692062336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3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31.82980319999994</v>
      </c>
      <c r="D117" s="12">
        <f t="shared" si="86"/>
        <v>9.8051929915486262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100.91738726007632</v>
      </c>
      <c r="H117" s="70">
        <f t="shared" si="56"/>
        <v>329.18095170028045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3.8</v>
      </c>
      <c r="N117" s="14">
        <f>IF('Données projet'!$A$36&gt;35,N116+M117-V116,IF(A117&lt;'Données projet'!$A$36,$K$205^A117,IF(A117='Données projet'!$A$36,'Données projet'!$B$36,N116+M117-V116)))</f>
        <v>281.2</v>
      </c>
      <c r="O117" s="14">
        <f>N117*VLOOKUP('Données projet'!$B$9,Paramètres!$A$1:$I$89,3,0)*VLOOKUP('Données projet'!$B$9,Paramètres!$A$1:$I$89,5,0)</f>
        <v>254.42975999999996</v>
      </c>
      <c r="P117" s="14">
        <f t="shared" si="87"/>
        <v>61.533535468549189</v>
      </c>
      <c r="Q117" s="22">
        <f t="shared" si="107"/>
        <v>550.30273960772308</v>
      </c>
      <c r="R117" s="62">
        <f t="shared" si="55"/>
        <v>843.63607294105645</v>
      </c>
      <c r="S117" s="62">
        <f ca="1">AVERAGE(OFFSET($R$3,0,0,'Données projet'!$E$9+1,1))-AVERAGE(OFFSET($H$3,0,0,'Données projet'!$E$9+1,1))</f>
        <v>327.25473597900725</v>
      </c>
      <c r="T117" s="62">
        <f t="shared" si="88"/>
        <v>211.5313580973322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0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0</v>
      </c>
      <c r="AC117" s="24">
        <f t="shared" si="57"/>
        <v>0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3.8</v>
      </c>
      <c r="AI117" s="14">
        <f>IF('Données projet'!$A$62&gt;35,AI116+AH117-AQ116,IF(A117&lt;'Données projet'!$A$62,$AF$205^A117,IF(A117='Données projet'!$A$62,'Données projet'!$B$62,AI116+AH117-AQ116)))</f>
        <v>281.2</v>
      </c>
      <c r="AJ117" s="14">
        <f>AI117*VLOOKUP('Données projet'!$B$10,Paramètres!$A$1:$I$89,3,0)*VLOOKUP('Données projet'!$B$10,Paramètres!$A$1:$I$89,5,0)</f>
        <v>285.13679999999999</v>
      </c>
      <c r="AK117" s="14">
        <f t="shared" si="89"/>
        <v>68.051411155895636</v>
      </c>
      <c r="AL117" s="22">
        <f t="shared" si="58"/>
        <v>615.1361344298515</v>
      </c>
      <c r="AM117" s="62">
        <f t="shared" si="59"/>
        <v>908.46946776318487</v>
      </c>
      <c r="AN117" s="62">
        <f ca="1">AVERAGE(OFFSET($AM$3,0,0,'Données projet'!$E$10+1,1))-AVERAGE(OFFSET($H$3,0,0,'Données projet'!$E$10+1,1))</f>
        <v>366.41072413829329</v>
      </c>
      <c r="AO117" s="62">
        <f t="shared" si="90"/>
        <v>234.41212418619125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0</v>
      </c>
      <c r="AV117" s="23">
        <f>EXP(-LN(2)/25)*AV116+(1-EXP(-LN(2)/25))/(LN(2)/25)*Calculateur!AQ117*Calculateur!AS117*VLOOKUP('Données projet'!$B$10,Paramètres!$A$1:$I$89,3,0)*0.475*44/12</f>
        <v>0</v>
      </c>
      <c r="AW117" s="23">
        <f>EXP(-LN(2)/2)*AW116+(1-EXP(-LN(2)/2))/(LN(2)/2)*AQ117*AT117*VLOOKUP('Données projet'!$B$10,Paramètres!$A$1:$I$89,3,0)*0.475*44/12</f>
        <v>0</v>
      </c>
      <c r="AX117" s="23">
        <f t="shared" si="60"/>
        <v>0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5.6843418860808015E-14</v>
      </c>
      <c r="BE117" s="14">
        <f>BD117*VLOOKUP('Données projet'!$B$11,Paramètres!$A$1:$I$89,3,0)*VLOOKUP('Données projet'!$B$11,Paramètres!$A$1:$I$89,5,0)</f>
        <v>2.6602720026858149E-14</v>
      </c>
      <c r="BF117" s="14">
        <f t="shared" si="91"/>
        <v>4.6624771586320878E-13</v>
      </c>
      <c r="BG117" s="22">
        <f t="shared" si="61"/>
        <v>8.583811758418665E-13</v>
      </c>
      <c r="BH117" s="62">
        <f t="shared" si="62"/>
        <v>293.33333333333417</v>
      </c>
      <c r="BI117" s="62">
        <f ca="1">AVERAGE(OFFSET($BH$3,0,0,'Données projet'!$E$11+1,1))-AVERAGE(OFFSET($H$3,0,0,'Données projet'!$E$11+1,1))</f>
        <v>152.72674713084456</v>
      </c>
      <c r="BJ117" s="62">
        <f t="shared" si="92"/>
        <v>203.90215120562164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2.9117209637409807</v>
      </c>
      <c r="BQ117" s="23">
        <f>EXP(-LN(2)/25)*BQ116+(1-EXP(-LN(2)/25))/(LN(2)/25)*Calculateur!BL117*Calculateur!BN117*VLOOKUP('Données projet'!$B$11,Paramètres!$A$1:$I$89,3,0)*0.475*44/12</f>
        <v>0</v>
      </c>
      <c r="BR117" s="23">
        <f>EXP(-LN(2)/2)*BR116+(1-EXP(-LN(2)/2))/(LN(2)/2)*BL117*BO117*VLOOKUP('Données projet'!$B$11,Paramètres!$A$1:$I$89,3,0)*0.475*44/12</f>
        <v>3.5274613156241799E-12</v>
      </c>
      <c r="BS117" s="24">
        <f t="shared" si="63"/>
        <v>2.9117209637445081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3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32.109011999999943</v>
      </c>
      <c r="D118" s="12">
        <f t="shared" si="86"/>
        <v>9.881153164937734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101.77826700329456</v>
      </c>
      <c r="H118" s="70">
        <f t="shared" si="56"/>
        <v>329.79953766226646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>
        <f>VLOOKUP(A118,'Données projet'!$A$35:$I$55,2,0)</f>
        <v>285</v>
      </c>
      <c r="L118" s="13">
        <f>VLOOKUP(A118,'Données projet'!$A$35:$I$55,9,0)</f>
        <v>3.8</v>
      </c>
      <c r="M118" s="13">
        <f t="array" ref="M118">INDEX(L:L,MIN(IF(ISNUMBER(L118:L314),ROW(L118:L314),"")))</f>
        <v>3.8</v>
      </c>
      <c r="N118" s="14">
        <f>IF('Données projet'!$A$36&gt;35,N117+M118-V117,IF(A118&lt;'Données projet'!$A$36,$K$205^A118,IF(A118='Données projet'!$A$36,'Données projet'!$B$36,N117+M118-V117)))</f>
        <v>285</v>
      </c>
      <c r="O118" s="14">
        <f>N118*VLOOKUP('Données projet'!$B$9,Paramètres!$A$1:$I$89,3,0)*VLOOKUP('Données projet'!$B$9,Paramètres!$A$1:$I$89,5,0)</f>
        <v>257.86799999999999</v>
      </c>
      <c r="P118" s="14">
        <f t="shared" si="87"/>
        <v>62.267704162827528</v>
      </c>
      <c r="Q118" s="22">
        <f t="shared" si="107"/>
        <v>557.56968475025803</v>
      </c>
      <c r="R118" s="62">
        <f t="shared" si="55"/>
        <v>850.90301808359141</v>
      </c>
      <c r="S118" s="62">
        <f ca="1">AVERAGE(OFFSET($R$3,0,0,'Données projet'!$E$9+1,1))-AVERAGE(OFFSET($H$3,0,0,'Données projet'!$E$9+1,1))</f>
        <v>327.25473597900725</v>
      </c>
      <c r="T118" s="62">
        <f t="shared" si="88"/>
        <v>211.5313580973322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285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0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0</v>
      </c>
      <c r="AC118" s="24">
        <f t="shared" si="57"/>
        <v>0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>
        <f>VLOOKUP(A118,'Données projet'!$A$61:$I$81,2,0)</f>
        <v>285</v>
      </c>
      <c r="AG118" s="13">
        <f>VLOOKUP(A118,'Données projet'!$A$61:$I$81,9,0)</f>
        <v>3.8</v>
      </c>
      <c r="AH118" s="13">
        <f t="array" ref="AH118">INDEX(AG:AG,MIN(IF(ISNUMBER(AG118:AG314),ROW(AG118:AG314),"")))</f>
        <v>3.8</v>
      </c>
      <c r="AI118" s="14">
        <f>IF('Données projet'!$A$62&gt;35,AI117+AH118-AQ117,IF(A118&lt;'Données projet'!$A$62,$AF$205^A118,IF(A118='Données projet'!$A$62,'Données projet'!$B$62,AI117+AH118-AQ117)))</f>
        <v>285</v>
      </c>
      <c r="AJ118" s="14">
        <f>AI118*VLOOKUP('Données projet'!$B$10,Paramètres!$A$1:$I$89,3,0)*VLOOKUP('Données projet'!$B$10,Paramètres!$A$1:$I$89,5,0)</f>
        <v>288.99</v>
      </c>
      <c r="AK118" s="14">
        <f t="shared" si="89"/>
        <v>68.863345904836791</v>
      </c>
      <c r="AL118" s="22">
        <f t="shared" si="58"/>
        <v>623.26124411759076</v>
      </c>
      <c r="AM118" s="62">
        <f t="shared" si="59"/>
        <v>916.59457745092413</v>
      </c>
      <c r="AN118" s="62">
        <f ca="1">AVERAGE(OFFSET($AM$3,0,0,'Données projet'!$E$10+1,1))-AVERAGE(OFFSET($H$3,0,0,'Données projet'!$E$10+1,1))</f>
        <v>366.41072413829329</v>
      </c>
      <c r="AO118" s="62">
        <f t="shared" si="90"/>
        <v>234.41212418619125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285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0</v>
      </c>
      <c r="AV118" s="23">
        <f>EXP(-LN(2)/25)*AV117+(1-EXP(-LN(2)/25))/(LN(2)/25)*Calculateur!AQ118*Calculateur!AS118*VLOOKUP('Données projet'!$B$10,Paramètres!$A$1:$I$89,3,0)*0.475*44/12</f>
        <v>0</v>
      </c>
      <c r="AW118" s="23">
        <f>EXP(-LN(2)/2)*AW117+(1-EXP(-LN(2)/2))/(LN(2)/2)*AQ118*AT118*VLOOKUP('Données projet'!$B$10,Paramètres!$A$1:$I$89,3,0)*0.475*44/12</f>
        <v>0</v>
      </c>
      <c r="AX118" s="23">
        <f t="shared" si="60"/>
        <v>0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5.6843418860808015E-14</v>
      </c>
      <c r="BE118" s="14">
        <f>BD118*VLOOKUP('Données projet'!$B$11,Paramètres!$A$1:$I$89,3,0)*VLOOKUP('Données projet'!$B$11,Paramètres!$A$1:$I$89,5,0)</f>
        <v>2.6602720026858149E-14</v>
      </c>
      <c r="BF118" s="14">
        <f t="shared" si="91"/>
        <v>4.6624771586320878E-13</v>
      </c>
      <c r="BG118" s="22">
        <f t="shared" si="61"/>
        <v>8.583811758418665E-13</v>
      </c>
      <c r="BH118" s="62">
        <f t="shared" si="62"/>
        <v>293.33333333333417</v>
      </c>
      <c r="BI118" s="62">
        <f ca="1">AVERAGE(OFFSET($BH$3,0,0,'Données projet'!$E$11+1,1))-AVERAGE(OFFSET($H$3,0,0,'Données projet'!$E$11+1,1))</f>
        <v>152.72674713084456</v>
      </c>
      <c r="BJ118" s="62">
        <f t="shared" si="92"/>
        <v>203.90215120562164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2.8546238916164448</v>
      </c>
      <c r="BQ118" s="23">
        <f>EXP(-LN(2)/25)*BQ117+(1-EXP(-LN(2)/25))/(LN(2)/25)*Calculateur!BL118*Calculateur!BN118*VLOOKUP('Données projet'!$B$11,Paramètres!$A$1:$I$89,3,0)*0.475*44/12</f>
        <v>0</v>
      </c>
      <c r="BR118" s="23">
        <f>EXP(-LN(2)/2)*BR117+(1-EXP(-LN(2)/2))/(LN(2)/2)*BL118*BO118*VLOOKUP('Données projet'!$B$11,Paramètres!$A$1:$I$89,3,0)*0.475*44/12</f>
        <v>2.4942918166510784E-12</v>
      </c>
      <c r="BS118" s="24">
        <f t="shared" si="63"/>
        <v>2.8546238916189393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3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32.388220799999942</v>
      </c>
      <c r="D119" s="12">
        <f t="shared" si="86"/>
        <v>9.9570364912939127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102.63896048009052</v>
      </c>
      <c r="H119" s="70">
        <f t="shared" si="56"/>
        <v>330.4179897823368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0</v>
      </c>
      <c r="O119" s="14">
        <f>N119*VLOOKUP('Données projet'!$B$9,Paramètres!$A$1:$I$89,3,0)*VLOOKUP('Données projet'!$B$9,Paramètres!$A$1:$I$89,5,0)</f>
        <v>0</v>
      </c>
      <c r="P119" s="14" t="e">
        <f t="shared" si="87"/>
        <v>#NUM!</v>
      </c>
      <c r="Q119" s="22" t="e">
        <f t="shared" si="107"/>
        <v>#NUM!</v>
      </c>
      <c r="R119" s="62" t="e">
        <f t="shared" si="55"/>
        <v>#NUM!</v>
      </c>
      <c r="S119" s="62">
        <f ca="1">AVERAGE(OFFSET($R$3,0,0,'Données projet'!$E$9+1,1))-AVERAGE(OFFSET($H$3,0,0,'Données projet'!$E$9+1,1))</f>
        <v>327.25473597900725</v>
      </c>
      <c r="T119" s="62">
        <f t="shared" si="88"/>
        <v>211.5313580973322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0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0</v>
      </c>
      <c r="AC119" s="24">
        <f t="shared" si="57"/>
        <v>0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>
        <f>AI119*VLOOKUP('Données projet'!$B$10,Paramètres!$A$1:$I$89,3,0)*VLOOKUP('Données projet'!$B$10,Paramètres!$A$1:$I$89,5,0)</f>
        <v>0</v>
      </c>
      <c r="AK119" s="14" t="e">
        <f t="shared" si="89"/>
        <v>#NUM!</v>
      </c>
      <c r="AL119" s="22" t="e">
        <f t="shared" si="58"/>
        <v>#NUM!</v>
      </c>
      <c r="AM119" s="62" t="e">
        <f t="shared" si="59"/>
        <v>#NUM!</v>
      </c>
      <c r="AN119" s="62">
        <f ca="1">AVERAGE(OFFSET($AM$3,0,0,'Données projet'!$E$10+1,1))-AVERAGE(OFFSET($H$3,0,0,'Données projet'!$E$10+1,1))</f>
        <v>366.41072413829329</v>
      </c>
      <c r="AO119" s="62">
        <f t="shared" si="90"/>
        <v>234.41212418619125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0</v>
      </c>
      <c r="AV119" s="23">
        <f>EXP(-LN(2)/25)*AV118+(1-EXP(-LN(2)/25))/(LN(2)/25)*Calculateur!AQ119*Calculateur!AS119*VLOOKUP('Données projet'!$B$10,Paramètres!$A$1:$I$89,3,0)*0.475*44/12</f>
        <v>0</v>
      </c>
      <c r="AW119" s="23">
        <f>EXP(-LN(2)/2)*AW118+(1-EXP(-LN(2)/2))/(LN(2)/2)*AQ119*AT119*VLOOKUP('Données projet'!$B$10,Paramètres!$A$1:$I$89,3,0)*0.475*44/12</f>
        <v>0</v>
      </c>
      <c r="AX119" s="23">
        <f t="shared" si="60"/>
        <v>0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5.6843418860808015E-14</v>
      </c>
      <c r="BE119" s="14">
        <f>BD119*VLOOKUP('Données projet'!$B$11,Paramètres!$A$1:$I$89,3,0)*VLOOKUP('Données projet'!$B$11,Paramètres!$A$1:$I$89,5,0)</f>
        <v>2.6602720026858149E-14</v>
      </c>
      <c r="BF119" s="14">
        <f t="shared" si="91"/>
        <v>4.6624771586320878E-13</v>
      </c>
      <c r="BG119" s="22">
        <f t="shared" si="61"/>
        <v>8.583811758418665E-13</v>
      </c>
      <c r="BH119" s="62">
        <f t="shared" si="62"/>
        <v>293.33333333333417</v>
      </c>
      <c r="BI119" s="62">
        <f ca="1">AVERAGE(OFFSET($BH$3,0,0,'Données projet'!$E$11+1,1))-AVERAGE(OFFSET($H$3,0,0,'Données projet'!$E$11+1,1))</f>
        <v>152.72674713084456</v>
      </c>
      <c r="BJ119" s="62">
        <f t="shared" si="92"/>
        <v>203.90215120562164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2.798646458250496</v>
      </c>
      <c r="BQ119" s="23">
        <f>EXP(-LN(2)/25)*BQ118+(1-EXP(-LN(2)/25))/(LN(2)/25)*Calculateur!BL119*Calculateur!BN119*VLOOKUP('Données projet'!$B$11,Paramètres!$A$1:$I$89,3,0)*0.475*44/12</f>
        <v>0</v>
      </c>
      <c r="BR119" s="23">
        <f>EXP(-LN(2)/2)*BR118+(1-EXP(-LN(2)/2))/(LN(2)/2)*BL119*BO119*VLOOKUP('Données projet'!$B$11,Paramètres!$A$1:$I$89,3,0)*0.475*44/12</f>
        <v>1.7637306578120904E-12</v>
      </c>
      <c r="BS119" s="24">
        <f t="shared" si="63"/>
        <v>2.7986464582522599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3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32.667429599999942</v>
      </c>
      <c r="D120" s="12">
        <f t="shared" si="86"/>
        <v>10.032843709851038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103.49946948226336</v>
      </c>
      <c r="H120" s="70">
        <f t="shared" si="56"/>
        <v>331.03630934799048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0</v>
      </c>
      <c r="O120" s="14">
        <f>N120*VLOOKUP('Données projet'!$B$9,Paramètres!$A$1:$I$89,3,0)*VLOOKUP('Données projet'!$B$9,Paramètres!$A$1:$I$89,5,0)</f>
        <v>0</v>
      </c>
      <c r="P120" s="14" t="e">
        <f t="shared" si="87"/>
        <v>#NUM!</v>
      </c>
      <c r="Q120" s="22" t="e">
        <f t="shared" si="107"/>
        <v>#NUM!</v>
      </c>
      <c r="R120" s="62" t="e">
        <f t="shared" si="55"/>
        <v>#NUM!</v>
      </c>
      <c r="S120" s="62">
        <f ca="1">AVERAGE(OFFSET($R$3,0,0,'Données projet'!$E$9+1,1))-AVERAGE(OFFSET($H$3,0,0,'Données projet'!$E$9+1,1))</f>
        <v>327.25473597900725</v>
      </c>
      <c r="T120" s="62">
        <f t="shared" si="88"/>
        <v>211.5313580973322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0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0</v>
      </c>
      <c r="AC120" s="24">
        <f t="shared" si="57"/>
        <v>0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>
        <f>AI120*VLOOKUP('Données projet'!$B$10,Paramètres!$A$1:$I$89,3,0)*VLOOKUP('Données projet'!$B$10,Paramètres!$A$1:$I$89,5,0)</f>
        <v>0</v>
      </c>
      <c r="AK120" s="14" t="e">
        <f t="shared" si="89"/>
        <v>#NUM!</v>
      </c>
      <c r="AL120" s="22" t="e">
        <f t="shared" si="58"/>
        <v>#NUM!</v>
      </c>
      <c r="AM120" s="62" t="e">
        <f t="shared" si="59"/>
        <v>#NUM!</v>
      </c>
      <c r="AN120" s="62">
        <f ca="1">AVERAGE(OFFSET($AM$3,0,0,'Données projet'!$E$10+1,1))-AVERAGE(OFFSET($H$3,0,0,'Données projet'!$E$10+1,1))</f>
        <v>366.41072413829329</v>
      </c>
      <c r="AO120" s="62">
        <f t="shared" si="90"/>
        <v>234.41212418619125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0</v>
      </c>
      <c r="AV120" s="23">
        <f>EXP(-LN(2)/25)*AV119+(1-EXP(-LN(2)/25))/(LN(2)/25)*Calculateur!AQ120*Calculateur!AS120*VLOOKUP('Données projet'!$B$10,Paramètres!$A$1:$I$89,3,0)*0.475*44/12</f>
        <v>0</v>
      </c>
      <c r="AW120" s="23">
        <f>EXP(-LN(2)/2)*AW119+(1-EXP(-LN(2)/2))/(LN(2)/2)*AQ120*AT120*VLOOKUP('Données projet'!$B$10,Paramètres!$A$1:$I$89,3,0)*0.475*44/12</f>
        <v>0</v>
      </c>
      <c r="AX120" s="23">
        <f t="shared" si="60"/>
        <v>0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5.6843418860808015E-14</v>
      </c>
      <c r="BE120" s="14">
        <f>BD120*VLOOKUP('Données projet'!$B$11,Paramètres!$A$1:$I$89,3,0)*VLOOKUP('Données projet'!$B$11,Paramètres!$A$1:$I$89,5,0)</f>
        <v>2.6602720026858149E-14</v>
      </c>
      <c r="BF120" s="14">
        <f t="shared" si="91"/>
        <v>4.6624771586320878E-13</v>
      </c>
      <c r="BG120" s="22">
        <f t="shared" si="61"/>
        <v>8.583811758418665E-13</v>
      </c>
      <c r="BH120" s="62">
        <f t="shared" si="62"/>
        <v>293.33333333333417</v>
      </c>
      <c r="BI120" s="62">
        <f ca="1">AVERAGE(OFFSET($BH$3,0,0,'Données projet'!$E$11+1,1))-AVERAGE(OFFSET($H$3,0,0,'Données projet'!$E$11+1,1))</f>
        <v>152.72674713084456</v>
      </c>
      <c r="BJ120" s="62">
        <f t="shared" si="92"/>
        <v>203.90215120562164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2.7437667082099906</v>
      </c>
      <c r="BQ120" s="23">
        <f>EXP(-LN(2)/25)*BQ119+(1-EXP(-LN(2)/25))/(LN(2)/25)*Calculateur!BL120*Calculateur!BN120*VLOOKUP('Données projet'!$B$11,Paramètres!$A$1:$I$89,3,0)*0.475*44/12</f>
        <v>0</v>
      </c>
      <c r="BR120" s="23">
        <f>EXP(-LN(2)/2)*BR119+(1-EXP(-LN(2)/2))/(LN(2)/2)*BL120*BO120*VLOOKUP('Données projet'!$B$11,Paramètres!$A$1:$I$89,3,0)*0.475*44/12</f>
        <v>1.2471459083255394E-12</v>
      </c>
      <c r="BS120" s="24">
        <f t="shared" si="63"/>
        <v>2.7437667082112376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3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32.946638399999941</v>
      </c>
      <c r="D121" s="12">
        <f t="shared" si="86"/>
        <v>10.108575546477248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104.35979576921558</v>
      </c>
      <c r="H121" s="70">
        <f t="shared" si="56"/>
        <v>331.65449762344781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0</v>
      </c>
      <c r="O121" s="14">
        <f>N121*VLOOKUP('Données projet'!$B$9,Paramètres!$A$1:$I$89,3,0)*VLOOKUP('Données projet'!$B$9,Paramètres!$A$1:$I$89,5,0)</f>
        <v>0</v>
      </c>
      <c r="P121" s="14" t="e">
        <f t="shared" si="87"/>
        <v>#NUM!</v>
      </c>
      <c r="Q121" s="22" t="e">
        <f t="shared" si="107"/>
        <v>#NUM!</v>
      </c>
      <c r="R121" s="62" t="e">
        <f t="shared" si="55"/>
        <v>#NUM!</v>
      </c>
      <c r="S121" s="62">
        <f ca="1">AVERAGE(OFFSET($R$3,0,0,'Données projet'!$E$9+1,1))-AVERAGE(OFFSET($H$3,0,0,'Données projet'!$E$9+1,1))</f>
        <v>327.25473597900725</v>
      </c>
      <c r="T121" s="62">
        <f t="shared" si="88"/>
        <v>211.5313580973322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0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0</v>
      </c>
      <c r="AC121" s="24">
        <f t="shared" si="57"/>
        <v>0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>
        <f>AI121*VLOOKUP('Données projet'!$B$10,Paramètres!$A$1:$I$89,3,0)*VLOOKUP('Données projet'!$B$10,Paramètres!$A$1:$I$89,5,0)</f>
        <v>0</v>
      </c>
      <c r="AK121" s="14" t="e">
        <f t="shared" si="89"/>
        <v>#NUM!</v>
      </c>
      <c r="AL121" s="22" t="e">
        <f t="shared" si="58"/>
        <v>#NUM!</v>
      </c>
      <c r="AM121" s="62" t="e">
        <f t="shared" si="59"/>
        <v>#NUM!</v>
      </c>
      <c r="AN121" s="62">
        <f ca="1">AVERAGE(OFFSET($AM$3,0,0,'Données projet'!$E$10+1,1))-AVERAGE(OFFSET($H$3,0,0,'Données projet'!$E$10+1,1))</f>
        <v>366.41072413829329</v>
      </c>
      <c r="AO121" s="62">
        <f t="shared" si="90"/>
        <v>234.41212418619125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0</v>
      </c>
      <c r="AV121" s="23">
        <f>EXP(-LN(2)/25)*AV120+(1-EXP(-LN(2)/25))/(LN(2)/25)*Calculateur!AQ121*Calculateur!AS121*VLOOKUP('Données projet'!$B$10,Paramètres!$A$1:$I$89,3,0)*0.475*44/12</f>
        <v>0</v>
      </c>
      <c r="AW121" s="23">
        <f>EXP(-LN(2)/2)*AW120+(1-EXP(-LN(2)/2))/(LN(2)/2)*AQ121*AT121*VLOOKUP('Données projet'!$B$10,Paramètres!$A$1:$I$89,3,0)*0.475*44/12</f>
        <v>0</v>
      </c>
      <c r="AX121" s="23">
        <f t="shared" si="60"/>
        <v>0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5.6843418860808015E-14</v>
      </c>
      <c r="BE121" s="14">
        <f>BD121*VLOOKUP('Données projet'!$B$11,Paramètres!$A$1:$I$89,3,0)*VLOOKUP('Données projet'!$B$11,Paramètres!$A$1:$I$89,5,0)</f>
        <v>2.6602720026858149E-14</v>
      </c>
      <c r="BF121" s="14">
        <f t="shared" si="91"/>
        <v>4.6624771586320878E-13</v>
      </c>
      <c r="BG121" s="22">
        <f t="shared" si="61"/>
        <v>8.583811758418665E-13</v>
      </c>
      <c r="BH121" s="62">
        <f t="shared" si="62"/>
        <v>293.33333333333417</v>
      </c>
      <c r="BI121" s="62">
        <f ca="1">AVERAGE(OFFSET($BH$3,0,0,'Données projet'!$E$11+1,1))-AVERAGE(OFFSET($H$3,0,0,'Données projet'!$E$11+1,1))</f>
        <v>152.72674713084456</v>
      </c>
      <c r="BJ121" s="62">
        <f t="shared" si="92"/>
        <v>203.90215120562164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2.6899631165944369</v>
      </c>
      <c r="BQ121" s="23">
        <f>EXP(-LN(2)/25)*BQ120+(1-EXP(-LN(2)/25))/(LN(2)/25)*Calculateur!BL121*Calculateur!BN121*VLOOKUP('Données projet'!$B$11,Paramètres!$A$1:$I$89,3,0)*0.475*44/12</f>
        <v>0</v>
      </c>
      <c r="BR121" s="23">
        <f>EXP(-LN(2)/2)*BR120+(1-EXP(-LN(2)/2))/(LN(2)/2)*BL121*BO121*VLOOKUP('Données projet'!$B$11,Paramètres!$A$1:$I$89,3,0)*0.475*44/12</f>
        <v>8.8186532890604529E-13</v>
      </c>
      <c r="BS121" s="24">
        <f t="shared" si="63"/>
        <v>2.6899631165953188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3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33.22584719999994</v>
      </c>
      <c r="D122" s="12">
        <f t="shared" si="86"/>
        <v>10.18423271402775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105.21994106880818</v>
      </c>
      <c r="H122" s="70">
        <f t="shared" si="56"/>
        <v>332.27255585026489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0</v>
      </c>
      <c r="O122" s="14">
        <f>N122*VLOOKUP('Données projet'!$B$9,Paramètres!$A$1:$I$89,3,0)*VLOOKUP('Données projet'!$B$9,Paramètres!$A$1:$I$89,5,0)</f>
        <v>0</v>
      </c>
      <c r="P122" s="14" t="e">
        <f t="shared" si="87"/>
        <v>#NUM!</v>
      </c>
      <c r="Q122" s="22" t="e">
        <f t="shared" si="107"/>
        <v>#NUM!</v>
      </c>
      <c r="R122" s="62" t="e">
        <f t="shared" si="55"/>
        <v>#NUM!</v>
      </c>
      <c r="S122" s="62">
        <f ca="1">AVERAGE(OFFSET($R$3,0,0,'Données projet'!$E$9+1,1))-AVERAGE(OFFSET($H$3,0,0,'Données projet'!$E$9+1,1))</f>
        <v>327.25473597900725</v>
      </c>
      <c r="T122" s="62">
        <f t="shared" si="88"/>
        <v>211.5313580973322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0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0</v>
      </c>
      <c r="AC122" s="24">
        <f t="shared" si="57"/>
        <v>0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>
        <f>AI122*VLOOKUP('Données projet'!$B$10,Paramètres!$A$1:$I$89,3,0)*VLOOKUP('Données projet'!$B$10,Paramètres!$A$1:$I$89,5,0)</f>
        <v>0</v>
      </c>
      <c r="AK122" s="14" t="e">
        <f t="shared" si="89"/>
        <v>#NUM!</v>
      </c>
      <c r="AL122" s="22" t="e">
        <f t="shared" si="58"/>
        <v>#NUM!</v>
      </c>
      <c r="AM122" s="62" t="e">
        <f t="shared" si="59"/>
        <v>#NUM!</v>
      </c>
      <c r="AN122" s="62">
        <f ca="1">AVERAGE(OFFSET($AM$3,0,0,'Données projet'!$E$10+1,1))-AVERAGE(OFFSET($H$3,0,0,'Données projet'!$E$10+1,1))</f>
        <v>366.41072413829329</v>
      </c>
      <c r="AO122" s="62">
        <f t="shared" si="90"/>
        <v>234.41212418619125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0</v>
      </c>
      <c r="AV122" s="23">
        <f>EXP(-LN(2)/25)*AV121+(1-EXP(-LN(2)/25))/(LN(2)/25)*Calculateur!AQ122*Calculateur!AS122*VLOOKUP('Données projet'!$B$10,Paramètres!$A$1:$I$89,3,0)*0.475*44/12</f>
        <v>0</v>
      </c>
      <c r="AW122" s="23">
        <f>EXP(-LN(2)/2)*AW121+(1-EXP(-LN(2)/2))/(LN(2)/2)*AQ122*AT122*VLOOKUP('Données projet'!$B$10,Paramètres!$A$1:$I$89,3,0)*0.475*44/12</f>
        <v>0</v>
      </c>
      <c r="AX122" s="23">
        <f t="shared" si="60"/>
        <v>0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5.6843418860808015E-14</v>
      </c>
      <c r="BE122" s="14">
        <f>BD122*VLOOKUP('Données projet'!$B$11,Paramètres!$A$1:$I$89,3,0)*VLOOKUP('Données projet'!$B$11,Paramètres!$A$1:$I$89,5,0)</f>
        <v>2.6602720026858149E-14</v>
      </c>
      <c r="BF122" s="14">
        <f t="shared" si="91"/>
        <v>4.6624771586320878E-13</v>
      </c>
      <c r="BG122" s="22">
        <f t="shared" si="61"/>
        <v>8.583811758418665E-13</v>
      </c>
      <c r="BH122" s="62">
        <f t="shared" si="62"/>
        <v>293.33333333333417</v>
      </c>
      <c r="BI122" s="62">
        <f ca="1">AVERAGE(OFFSET($BH$3,0,0,'Données projet'!$E$11+1,1))-AVERAGE(OFFSET($H$3,0,0,'Données projet'!$E$11+1,1))</f>
        <v>152.72674713084456</v>
      </c>
      <c r="BJ122" s="62">
        <f t="shared" si="92"/>
        <v>203.90215120562164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2.6372145805935139</v>
      </c>
      <c r="BQ122" s="23">
        <f>EXP(-LN(2)/25)*BQ121+(1-EXP(-LN(2)/25))/(LN(2)/25)*Calculateur!BL122*Calculateur!BN122*VLOOKUP('Données projet'!$B$11,Paramètres!$A$1:$I$89,3,0)*0.475*44/12</f>
        <v>0</v>
      </c>
      <c r="BR122" s="23">
        <f>EXP(-LN(2)/2)*BR121+(1-EXP(-LN(2)/2))/(LN(2)/2)*BL122*BO122*VLOOKUP('Données projet'!$B$11,Paramètres!$A$1:$I$89,3,0)*0.475*44/12</f>
        <v>6.235729541627698E-13</v>
      </c>
      <c r="BS122" s="24">
        <f t="shared" si="63"/>
        <v>2.6372145805941374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3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33.505055999999939</v>
      </c>
      <c r="D123" s="12">
        <f t="shared" si="86"/>
        <v>10.259815912685472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106.07990707818625</v>
      </c>
      <c r="H123" s="70">
        <f t="shared" si="56"/>
        <v>332.89048524792713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0</v>
      </c>
      <c r="O123" s="14">
        <f>N123*VLOOKUP('Données projet'!$B$9,Paramètres!$A$1:$I$89,3,0)*VLOOKUP('Données projet'!$B$9,Paramètres!$A$1:$I$89,5,0)</f>
        <v>0</v>
      </c>
      <c r="P123" s="14" t="e">
        <f t="shared" si="87"/>
        <v>#NUM!</v>
      </c>
      <c r="Q123" s="22" t="e">
        <f t="shared" si="107"/>
        <v>#NUM!</v>
      </c>
      <c r="R123" s="62" t="e">
        <f t="shared" si="55"/>
        <v>#NUM!</v>
      </c>
      <c r="S123" s="62">
        <f ca="1">AVERAGE(OFFSET($R$3,0,0,'Données projet'!$E$9+1,1))-AVERAGE(OFFSET($H$3,0,0,'Données projet'!$E$9+1,1))</f>
        <v>327.25473597900725</v>
      </c>
      <c r="T123" s="62">
        <f t="shared" si="88"/>
        <v>211.5313580973322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0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0</v>
      </c>
      <c r="AC123" s="24">
        <f t="shared" si="57"/>
        <v>0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>
        <f>AI123*VLOOKUP('Données projet'!$B$10,Paramètres!$A$1:$I$89,3,0)*VLOOKUP('Données projet'!$B$10,Paramètres!$A$1:$I$89,5,0)</f>
        <v>0</v>
      </c>
      <c r="AK123" s="14" t="e">
        <f t="shared" si="89"/>
        <v>#NUM!</v>
      </c>
      <c r="AL123" s="22" t="e">
        <f t="shared" si="58"/>
        <v>#NUM!</v>
      </c>
      <c r="AM123" s="62" t="e">
        <f t="shared" si="59"/>
        <v>#NUM!</v>
      </c>
      <c r="AN123" s="62">
        <f ca="1">AVERAGE(OFFSET($AM$3,0,0,'Données projet'!$E$10+1,1))-AVERAGE(OFFSET($H$3,0,0,'Données projet'!$E$10+1,1))</f>
        <v>366.41072413829329</v>
      </c>
      <c r="AO123" s="62">
        <f t="shared" si="90"/>
        <v>234.41212418619125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0</v>
      </c>
      <c r="AV123" s="23">
        <f>EXP(-LN(2)/25)*AV122+(1-EXP(-LN(2)/25))/(LN(2)/25)*Calculateur!AQ123*Calculateur!AS123*VLOOKUP('Données projet'!$B$10,Paramètres!$A$1:$I$89,3,0)*0.475*44/12</f>
        <v>0</v>
      </c>
      <c r="AW123" s="23">
        <f>EXP(-LN(2)/2)*AW122+(1-EXP(-LN(2)/2))/(LN(2)/2)*AQ123*AT123*VLOOKUP('Données projet'!$B$10,Paramètres!$A$1:$I$89,3,0)*0.475*44/12</f>
        <v>0</v>
      </c>
      <c r="AX123" s="23">
        <f t="shared" si="60"/>
        <v>0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5.6843418860808015E-14</v>
      </c>
      <c r="BE123" s="14">
        <f>BD123*VLOOKUP('Données projet'!$B$11,Paramètres!$A$1:$I$89,3,0)*VLOOKUP('Données projet'!$B$11,Paramètres!$A$1:$I$89,5,0)</f>
        <v>2.6602720026858149E-14</v>
      </c>
      <c r="BF123" s="14">
        <f t="shared" si="91"/>
        <v>4.6624771586320878E-13</v>
      </c>
      <c r="BG123" s="22">
        <f t="shared" si="61"/>
        <v>8.583811758418665E-13</v>
      </c>
      <c r="BH123" s="62">
        <f t="shared" si="62"/>
        <v>293.33333333333417</v>
      </c>
      <c r="BI123" s="62">
        <f ca="1">AVERAGE(OFFSET($BH$3,0,0,'Données projet'!$E$11+1,1))-AVERAGE(OFFSET($H$3,0,0,'Données projet'!$E$11+1,1))</f>
        <v>152.72674713084456</v>
      </c>
      <c r="BJ123" s="62">
        <f t="shared" si="92"/>
        <v>203.90215120562164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2.585500411210139</v>
      </c>
      <c r="BQ123" s="23">
        <f>EXP(-LN(2)/25)*BQ122+(1-EXP(-LN(2)/25))/(LN(2)/25)*Calculateur!BL123*Calculateur!BN123*VLOOKUP('Données projet'!$B$11,Paramètres!$A$1:$I$89,3,0)*0.475*44/12</f>
        <v>0</v>
      </c>
      <c r="BR123" s="23">
        <f>EXP(-LN(2)/2)*BR122+(1-EXP(-LN(2)/2))/(LN(2)/2)*BL123*BO123*VLOOKUP('Données projet'!$B$11,Paramètres!$A$1:$I$89,3,0)*0.475*44/12</f>
        <v>4.4093266445302274E-13</v>
      </c>
      <c r="BS123" s="24">
        <f t="shared" si="63"/>
        <v>2.5855004112105799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3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33.784264799999939</v>
      </c>
      <c r="D124" s="12">
        <f t="shared" si="86"/>
        <v>10.335325830290016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106.9396954645765</v>
      </c>
      <c r="H124" s="70">
        <f t="shared" si="56"/>
        <v>333.50828701442168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0</v>
      </c>
      <c r="O124" s="14">
        <f>N124*VLOOKUP('Données projet'!$B$9,Paramètres!$A$1:$I$89,3,0)*VLOOKUP('Données projet'!$B$9,Paramètres!$A$1:$I$89,5,0)</f>
        <v>0</v>
      </c>
      <c r="P124" s="14" t="e">
        <f t="shared" si="8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327.25473597900725</v>
      </c>
      <c r="T124" s="62">
        <f t="shared" si="88"/>
        <v>211.5313580973322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0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0</v>
      </c>
      <c r="AC124" s="24">
        <f t="shared" si="57"/>
        <v>0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>
        <f>AI124*VLOOKUP('Données projet'!$B$10,Paramètres!$A$1:$I$89,3,0)*VLOOKUP('Données projet'!$B$10,Paramètres!$A$1:$I$89,5,0)</f>
        <v>0</v>
      </c>
      <c r="AK124" s="14" t="e">
        <f t="shared" si="89"/>
        <v>#NUM!</v>
      </c>
      <c r="AL124" s="22" t="e">
        <f t="shared" si="58"/>
        <v>#NUM!</v>
      </c>
      <c r="AM124" s="62" t="e">
        <f t="shared" si="59"/>
        <v>#NUM!</v>
      </c>
      <c r="AN124" s="62">
        <f ca="1">AVERAGE(OFFSET($AM$3,0,0,'Données projet'!$E$10+1,1))-AVERAGE(OFFSET($H$3,0,0,'Données projet'!$E$10+1,1))</f>
        <v>366.41072413829329</v>
      </c>
      <c r="AO124" s="62">
        <f t="shared" si="90"/>
        <v>234.41212418619125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0</v>
      </c>
      <c r="AV124" s="23">
        <f>EXP(-LN(2)/25)*AV123+(1-EXP(-LN(2)/25))/(LN(2)/25)*Calculateur!AQ124*Calculateur!AS124*VLOOKUP('Données projet'!$B$10,Paramètres!$A$1:$I$89,3,0)*0.475*44/12</f>
        <v>0</v>
      </c>
      <c r="AW124" s="23">
        <f>EXP(-LN(2)/2)*AW123+(1-EXP(-LN(2)/2))/(LN(2)/2)*AQ124*AT124*VLOOKUP('Données projet'!$B$10,Paramètres!$A$1:$I$89,3,0)*0.475*44/12</f>
        <v>0</v>
      </c>
      <c r="AX124" s="23">
        <f t="shared" si="60"/>
        <v>0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5.6843418860808015E-14</v>
      </c>
      <c r="BE124" s="14">
        <f>BD124*VLOOKUP('Données projet'!$B$11,Paramètres!$A$1:$I$89,3,0)*VLOOKUP('Données projet'!$B$11,Paramètres!$A$1:$I$89,5,0)</f>
        <v>2.6602720026858149E-14</v>
      </c>
      <c r="BF124" s="14">
        <f t="shared" si="91"/>
        <v>4.6624771586320878E-13</v>
      </c>
      <c r="BG124" s="22">
        <f t="shared" si="61"/>
        <v>8.583811758418665E-13</v>
      </c>
      <c r="BH124" s="62">
        <f t="shared" si="62"/>
        <v>293.33333333333417</v>
      </c>
      <c r="BI124" s="62">
        <f ca="1">AVERAGE(OFFSET($BH$3,0,0,'Données projet'!$E$11+1,1))-AVERAGE(OFFSET($H$3,0,0,'Données projet'!$E$11+1,1))</f>
        <v>152.72674713084456</v>
      </c>
      <c r="BJ124" s="62">
        <f t="shared" si="92"/>
        <v>203.90215120562164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2.5348003251458433</v>
      </c>
      <c r="BQ124" s="23">
        <f>EXP(-LN(2)/25)*BQ123+(1-EXP(-LN(2)/25))/(LN(2)/25)*Calculateur!BL124*Calculateur!BN124*VLOOKUP('Données projet'!$B$11,Paramètres!$A$1:$I$89,3,0)*0.475*44/12</f>
        <v>0</v>
      </c>
      <c r="BR124" s="23">
        <f>EXP(-LN(2)/2)*BR123+(1-EXP(-LN(2)/2))/(LN(2)/2)*BL124*BO124*VLOOKUP('Données projet'!$B$11,Paramètres!$A$1:$I$89,3,0)*0.475*44/12</f>
        <v>3.1178647708138495E-13</v>
      </c>
      <c r="BS124" s="24">
        <f t="shared" si="63"/>
        <v>2.5348003251461551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3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34.063473599999938</v>
      </c>
      <c r="D125" s="12">
        <f t="shared" si="86"/>
        <v>10.410763142655419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107.79930786605728</v>
      </c>
      <c r="H125" s="70">
        <f t="shared" si="56"/>
        <v>334.12596232679141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0</v>
      </c>
      <c r="O125" s="14">
        <f>N125*VLOOKUP('Données projet'!$B$9,Paramètres!$A$1:$I$89,3,0)*VLOOKUP('Données projet'!$B$9,Paramètres!$A$1:$I$89,5,0)</f>
        <v>0</v>
      </c>
      <c r="P125" s="14" t="e">
        <f t="shared" si="8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327.25473597900725</v>
      </c>
      <c r="T125" s="62">
        <f t="shared" si="88"/>
        <v>211.5313580973322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0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0</v>
      </c>
      <c r="AC125" s="24">
        <f t="shared" si="57"/>
        <v>0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>
        <f>AI125*VLOOKUP('Données projet'!$B$10,Paramètres!$A$1:$I$89,3,0)*VLOOKUP('Données projet'!$B$10,Paramètres!$A$1:$I$89,5,0)</f>
        <v>0</v>
      </c>
      <c r="AK125" s="14" t="e">
        <f t="shared" si="89"/>
        <v>#NUM!</v>
      </c>
      <c r="AL125" s="22" t="e">
        <f t="shared" si="58"/>
        <v>#NUM!</v>
      </c>
      <c r="AM125" s="62" t="e">
        <f t="shared" si="59"/>
        <v>#NUM!</v>
      </c>
      <c r="AN125" s="62">
        <f ca="1">AVERAGE(OFFSET($AM$3,0,0,'Données projet'!$E$10+1,1))-AVERAGE(OFFSET($H$3,0,0,'Données projet'!$E$10+1,1))</f>
        <v>366.41072413829329</v>
      </c>
      <c r="AO125" s="62">
        <f t="shared" si="90"/>
        <v>234.41212418619125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0</v>
      </c>
      <c r="AV125" s="23">
        <f>EXP(-LN(2)/25)*AV124+(1-EXP(-LN(2)/25))/(LN(2)/25)*Calculateur!AQ125*Calculateur!AS125*VLOOKUP('Données projet'!$B$10,Paramètres!$A$1:$I$89,3,0)*0.475*44/12</f>
        <v>0</v>
      </c>
      <c r="AW125" s="23">
        <f>EXP(-LN(2)/2)*AW124+(1-EXP(-LN(2)/2))/(LN(2)/2)*AQ125*AT125*VLOOKUP('Données projet'!$B$10,Paramètres!$A$1:$I$89,3,0)*0.475*44/12</f>
        <v>0</v>
      </c>
      <c r="AX125" s="23">
        <f t="shared" si="60"/>
        <v>0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5.6843418860808015E-14</v>
      </c>
      <c r="BE125" s="14">
        <f>BD125*VLOOKUP('Données projet'!$B$11,Paramètres!$A$1:$I$89,3,0)*VLOOKUP('Données projet'!$B$11,Paramètres!$A$1:$I$89,5,0)</f>
        <v>2.6602720026858149E-14</v>
      </c>
      <c r="BF125" s="14">
        <f t="shared" si="91"/>
        <v>4.6624771586320878E-13</v>
      </c>
      <c r="BG125" s="22">
        <f t="shared" si="61"/>
        <v>8.583811758418665E-13</v>
      </c>
      <c r="BH125" s="62">
        <f t="shared" si="62"/>
        <v>293.33333333333417</v>
      </c>
      <c r="BI125" s="62">
        <f ca="1">AVERAGE(OFFSET($BH$3,0,0,'Données projet'!$E$11+1,1))-AVERAGE(OFFSET($H$3,0,0,'Données projet'!$E$11+1,1))</f>
        <v>152.72674713084456</v>
      </c>
      <c r="BJ125" s="62">
        <f t="shared" si="92"/>
        <v>203.90215120562164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2.4850944368452694</v>
      </c>
      <c r="BQ125" s="23">
        <f>EXP(-LN(2)/25)*BQ124+(1-EXP(-LN(2)/25))/(LN(2)/25)*Calculateur!BL125*Calculateur!BN125*VLOOKUP('Données projet'!$B$11,Paramètres!$A$1:$I$89,3,0)*0.475*44/12</f>
        <v>0</v>
      </c>
      <c r="BR125" s="23">
        <f>EXP(-LN(2)/2)*BR124+(1-EXP(-LN(2)/2))/(LN(2)/2)*BL125*BO125*VLOOKUP('Données projet'!$B$11,Paramètres!$A$1:$I$89,3,0)*0.475*44/12</f>
        <v>2.204663322265114E-13</v>
      </c>
      <c r="BS125" s="24">
        <f t="shared" si="63"/>
        <v>2.4850944368454897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3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34.342682399999937</v>
      </c>
      <c r="D126" s="12">
        <f t="shared" si="86"/>
        <v>10.486128513877212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108.65874589230293</v>
      </c>
      <c r="H126" s="70">
        <f t="shared" si="56"/>
        <v>334.74351234166937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0</v>
      </c>
      <c r="O126" s="14">
        <f>N126*VLOOKUP('Données projet'!$B$9,Paramètres!$A$1:$I$89,3,0)*VLOOKUP('Données projet'!$B$9,Paramètres!$A$1:$I$89,5,0)</f>
        <v>0</v>
      </c>
      <c r="P126" s="14" t="e">
        <f t="shared" si="8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327.25473597900725</v>
      </c>
      <c r="T126" s="62">
        <f t="shared" si="88"/>
        <v>211.5313580973322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0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0</v>
      </c>
      <c r="AC126" s="24">
        <f t="shared" si="57"/>
        <v>0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>
        <f>AI126*VLOOKUP('Données projet'!$B$10,Paramètres!$A$1:$I$89,3,0)*VLOOKUP('Données projet'!$B$10,Paramètres!$A$1:$I$89,5,0)</f>
        <v>0</v>
      </c>
      <c r="AK126" s="14" t="e">
        <f t="shared" si="89"/>
        <v>#NUM!</v>
      </c>
      <c r="AL126" s="22" t="e">
        <f t="shared" si="58"/>
        <v>#NUM!</v>
      </c>
      <c r="AM126" s="62" t="e">
        <f t="shared" si="59"/>
        <v>#NUM!</v>
      </c>
      <c r="AN126" s="62">
        <f ca="1">AVERAGE(OFFSET($AM$3,0,0,'Données projet'!$E$10+1,1))-AVERAGE(OFFSET($H$3,0,0,'Données projet'!$E$10+1,1))</f>
        <v>366.41072413829329</v>
      </c>
      <c r="AO126" s="62">
        <f t="shared" si="90"/>
        <v>234.41212418619125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0</v>
      </c>
      <c r="AV126" s="23">
        <f>EXP(-LN(2)/25)*AV125+(1-EXP(-LN(2)/25))/(LN(2)/25)*Calculateur!AQ126*Calculateur!AS126*VLOOKUP('Données projet'!$B$10,Paramètres!$A$1:$I$89,3,0)*0.475*44/12</f>
        <v>0</v>
      </c>
      <c r="AW126" s="23">
        <f>EXP(-LN(2)/2)*AW125+(1-EXP(-LN(2)/2))/(LN(2)/2)*AQ126*AT126*VLOOKUP('Données projet'!$B$10,Paramètres!$A$1:$I$89,3,0)*0.475*44/12</f>
        <v>0</v>
      </c>
      <c r="AX126" s="23">
        <f t="shared" si="60"/>
        <v>0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5.6843418860808015E-14</v>
      </c>
      <c r="BE126" s="14">
        <f>BD126*VLOOKUP('Données projet'!$B$11,Paramètres!$A$1:$I$89,3,0)*VLOOKUP('Données projet'!$B$11,Paramètres!$A$1:$I$89,5,0)</f>
        <v>2.6602720026858149E-14</v>
      </c>
      <c r="BF126" s="14">
        <f t="shared" si="91"/>
        <v>4.6624771586320878E-13</v>
      </c>
      <c r="BG126" s="22">
        <f t="shared" si="61"/>
        <v>8.583811758418665E-13</v>
      </c>
      <c r="BH126" s="62">
        <f t="shared" si="62"/>
        <v>293.33333333333417</v>
      </c>
      <c r="BI126" s="62">
        <f ca="1">AVERAGE(OFFSET($BH$3,0,0,'Données projet'!$E$11+1,1))-AVERAGE(OFFSET($H$3,0,0,'Données projet'!$E$11+1,1))</f>
        <v>152.72674713084456</v>
      </c>
      <c r="BJ126" s="62">
        <f t="shared" si="92"/>
        <v>203.90215120562164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2.4363632506966715</v>
      </c>
      <c r="BQ126" s="23">
        <f>EXP(-LN(2)/25)*BQ125+(1-EXP(-LN(2)/25))/(LN(2)/25)*Calculateur!BL126*Calculateur!BN126*VLOOKUP('Données projet'!$B$11,Paramètres!$A$1:$I$89,3,0)*0.475*44/12</f>
        <v>0</v>
      </c>
      <c r="BR126" s="23">
        <f>EXP(-LN(2)/2)*BR125+(1-EXP(-LN(2)/2))/(LN(2)/2)*BL126*BO126*VLOOKUP('Données projet'!$B$11,Paramètres!$A$1:$I$89,3,0)*0.475*44/12</f>
        <v>1.558932385406925E-13</v>
      </c>
      <c r="BS126" s="24">
        <f t="shared" si="63"/>
        <v>2.4363632506968274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3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34.621891199999936</v>
      </c>
      <c r="D127" s="12">
        <f t="shared" si="86"/>
        <v>10.56142259662918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109.51801112530315</v>
      </c>
      <c r="H127" s="70">
        <f t="shared" si="56"/>
        <v>335.36093819579571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0</v>
      </c>
      <c r="O127" s="14">
        <f>N127*VLOOKUP('Données projet'!$B$9,Paramètres!$A$1:$I$89,3,0)*VLOOKUP('Données projet'!$B$9,Paramètres!$A$1:$I$89,5,0)</f>
        <v>0</v>
      </c>
      <c r="P127" s="14" t="e">
        <f t="shared" si="8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327.25473597900725</v>
      </c>
      <c r="T127" s="62">
        <f t="shared" si="88"/>
        <v>211.5313580973322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0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0</v>
      </c>
      <c r="AC127" s="24">
        <f t="shared" si="57"/>
        <v>0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>
        <f>AI127*VLOOKUP('Données projet'!$B$10,Paramètres!$A$1:$I$89,3,0)*VLOOKUP('Données projet'!$B$10,Paramètres!$A$1:$I$89,5,0)</f>
        <v>0</v>
      </c>
      <c r="AK127" s="14" t="e">
        <f t="shared" si="89"/>
        <v>#NUM!</v>
      </c>
      <c r="AL127" s="22" t="e">
        <f t="shared" si="58"/>
        <v>#NUM!</v>
      </c>
      <c r="AM127" s="62" t="e">
        <f t="shared" si="59"/>
        <v>#NUM!</v>
      </c>
      <c r="AN127" s="62">
        <f ca="1">AVERAGE(OFFSET($AM$3,0,0,'Données projet'!$E$10+1,1))-AVERAGE(OFFSET($H$3,0,0,'Données projet'!$E$10+1,1))</f>
        <v>366.41072413829329</v>
      </c>
      <c r="AO127" s="62">
        <f t="shared" si="90"/>
        <v>234.41212418619125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0</v>
      </c>
      <c r="AV127" s="23">
        <f>EXP(-LN(2)/25)*AV126+(1-EXP(-LN(2)/25))/(LN(2)/25)*Calculateur!AQ127*Calculateur!AS127*VLOOKUP('Données projet'!$B$10,Paramètres!$A$1:$I$89,3,0)*0.475*44/12</f>
        <v>0</v>
      </c>
      <c r="AW127" s="23">
        <f>EXP(-LN(2)/2)*AW126+(1-EXP(-LN(2)/2))/(LN(2)/2)*AQ127*AT127*VLOOKUP('Données projet'!$B$10,Paramètres!$A$1:$I$89,3,0)*0.475*44/12</f>
        <v>0</v>
      </c>
      <c r="AX127" s="23">
        <f t="shared" si="60"/>
        <v>0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5.6843418860808015E-14</v>
      </c>
      <c r="BE127" s="14">
        <f>BD127*VLOOKUP('Données projet'!$B$11,Paramètres!$A$1:$I$89,3,0)*VLOOKUP('Données projet'!$B$11,Paramètres!$A$1:$I$89,5,0)</f>
        <v>2.6602720026858149E-14</v>
      </c>
      <c r="BF127" s="14">
        <f t="shared" si="91"/>
        <v>4.6624771586320878E-13</v>
      </c>
      <c r="BG127" s="22">
        <f t="shared" si="61"/>
        <v>8.583811758418665E-13</v>
      </c>
      <c r="BH127" s="62">
        <f t="shared" si="62"/>
        <v>293.33333333333417</v>
      </c>
      <c r="BI127" s="62">
        <f ca="1">AVERAGE(OFFSET($BH$3,0,0,'Données projet'!$E$11+1,1))-AVERAGE(OFFSET($H$3,0,0,'Données projet'!$E$11+1,1))</f>
        <v>152.72674713084456</v>
      </c>
      <c r="BJ127" s="62">
        <f t="shared" si="92"/>
        <v>203.90215120562164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2.3885876533853589</v>
      </c>
      <c r="BQ127" s="23">
        <f>EXP(-LN(2)/25)*BQ126+(1-EXP(-LN(2)/25))/(LN(2)/25)*Calculateur!BL127*Calculateur!BN127*VLOOKUP('Données projet'!$B$11,Paramètres!$A$1:$I$89,3,0)*0.475*44/12</f>
        <v>0</v>
      </c>
      <c r="BR127" s="23">
        <f>EXP(-LN(2)/2)*BR126+(1-EXP(-LN(2)/2))/(LN(2)/2)*BL127*BO127*VLOOKUP('Données projet'!$B$11,Paramètres!$A$1:$I$89,3,0)*0.475*44/12</f>
        <v>1.1023316611325571E-13</v>
      </c>
      <c r="BS127" s="24">
        <f t="shared" si="63"/>
        <v>2.3885876533854691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3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34.901099999999936</v>
      </c>
      <c r="D128" s="12">
        <f t="shared" si="86"/>
        <v>10.636646032450342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110.37710512005845</v>
      </c>
      <c r="H128" s="70">
        <f t="shared" si="56"/>
        <v>335.97824100651758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0</v>
      </c>
      <c r="O128" s="14">
        <f>N128*VLOOKUP('Données projet'!$B$9,Paramètres!$A$1:$I$89,3,0)*VLOOKUP('Données projet'!$B$9,Paramètres!$A$1:$I$89,5,0)</f>
        <v>0</v>
      </c>
      <c r="P128" s="14" t="e">
        <f t="shared" si="8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327.25473597900725</v>
      </c>
      <c r="T128" s="62">
        <f t="shared" si="88"/>
        <v>211.5313580973322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0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0</v>
      </c>
      <c r="AC128" s="24">
        <f t="shared" si="57"/>
        <v>0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>
        <f>AI128*VLOOKUP('Données projet'!$B$10,Paramètres!$A$1:$I$89,3,0)*VLOOKUP('Données projet'!$B$10,Paramètres!$A$1:$I$89,5,0)</f>
        <v>0</v>
      </c>
      <c r="AK128" s="14" t="e">
        <f t="shared" si="89"/>
        <v>#NUM!</v>
      </c>
      <c r="AL128" s="22" t="e">
        <f t="shared" si="58"/>
        <v>#NUM!</v>
      </c>
      <c r="AM128" s="62" t="e">
        <f t="shared" si="59"/>
        <v>#NUM!</v>
      </c>
      <c r="AN128" s="62">
        <f ca="1">AVERAGE(OFFSET($AM$3,0,0,'Données projet'!$E$10+1,1))-AVERAGE(OFFSET($H$3,0,0,'Données projet'!$E$10+1,1))</f>
        <v>366.41072413829329</v>
      </c>
      <c r="AO128" s="62">
        <f t="shared" si="90"/>
        <v>234.41212418619125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0</v>
      </c>
      <c r="AV128" s="23">
        <f>EXP(-LN(2)/25)*AV127+(1-EXP(-LN(2)/25))/(LN(2)/25)*Calculateur!AQ128*Calculateur!AS128*VLOOKUP('Données projet'!$B$10,Paramètres!$A$1:$I$89,3,0)*0.475*44/12</f>
        <v>0</v>
      </c>
      <c r="AW128" s="23">
        <f>EXP(-LN(2)/2)*AW127+(1-EXP(-LN(2)/2))/(LN(2)/2)*AQ128*AT128*VLOOKUP('Données projet'!$B$10,Paramètres!$A$1:$I$89,3,0)*0.475*44/12</f>
        <v>0</v>
      </c>
      <c r="AX128" s="23">
        <f t="shared" si="60"/>
        <v>0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5.6843418860808015E-14</v>
      </c>
      <c r="BE128" s="14">
        <f>BD128*VLOOKUP('Données projet'!$B$11,Paramètres!$A$1:$I$89,3,0)*VLOOKUP('Données projet'!$B$11,Paramètres!$A$1:$I$89,5,0)</f>
        <v>2.6602720026858149E-14</v>
      </c>
      <c r="BF128" s="14">
        <f t="shared" si="91"/>
        <v>4.6624771586320878E-13</v>
      </c>
      <c r="BG128" s="22">
        <f t="shared" si="61"/>
        <v>8.583811758418665E-13</v>
      </c>
      <c r="BH128" s="62">
        <f t="shared" si="62"/>
        <v>293.33333333333417</v>
      </c>
      <c r="BI128" s="62">
        <f ca="1">AVERAGE(OFFSET($BH$3,0,0,'Données projet'!$E$11+1,1))-AVERAGE(OFFSET($H$3,0,0,'Données projet'!$E$11+1,1))</f>
        <v>152.72674713084456</v>
      </c>
      <c r="BJ128" s="62">
        <f t="shared" si="92"/>
        <v>203.90215120562164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2.3417489063970844</v>
      </c>
      <c r="BQ128" s="23">
        <f>EXP(-LN(2)/25)*BQ127+(1-EXP(-LN(2)/25))/(LN(2)/25)*Calculateur!BL128*Calculateur!BN128*VLOOKUP('Données projet'!$B$11,Paramètres!$A$1:$I$89,3,0)*0.475*44/12</f>
        <v>0</v>
      </c>
      <c r="BR128" s="23">
        <f>EXP(-LN(2)/2)*BR127+(1-EXP(-LN(2)/2))/(LN(2)/2)*BL128*BO128*VLOOKUP('Données projet'!$B$11,Paramètres!$A$1:$I$89,3,0)*0.475*44/12</f>
        <v>7.7946619270346262E-14</v>
      </c>
      <c r="BS128" s="24">
        <f t="shared" si="63"/>
        <v>2.3417489063971626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3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35.180308799999935</v>
      </c>
      <c r="D129" s="12">
        <f t="shared" si="86"/>
        <v>10.711799452022365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111.23602940525267</v>
      </c>
      <c r="H129" s="70">
        <f t="shared" si="56"/>
        <v>336.5954218722722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0</v>
      </c>
      <c r="O129" s="14">
        <f>N129*VLOOKUP('Données projet'!$B$9,Paramètres!$A$1:$I$89,3,0)*VLOOKUP('Données projet'!$B$9,Paramètres!$A$1:$I$89,5,0)</f>
        <v>0</v>
      </c>
      <c r="P129" s="14" t="e">
        <f t="shared" si="8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327.25473597900725</v>
      </c>
      <c r="T129" s="62">
        <f t="shared" si="88"/>
        <v>211.5313580973322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0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0</v>
      </c>
      <c r="AC129" s="24">
        <f t="shared" si="57"/>
        <v>0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>
        <f>AI129*VLOOKUP('Données projet'!$B$10,Paramètres!$A$1:$I$89,3,0)*VLOOKUP('Données projet'!$B$10,Paramètres!$A$1:$I$89,5,0)</f>
        <v>0</v>
      </c>
      <c r="AK129" s="14" t="e">
        <f t="shared" si="89"/>
        <v>#NUM!</v>
      </c>
      <c r="AL129" s="22" t="e">
        <f t="shared" si="58"/>
        <v>#NUM!</v>
      </c>
      <c r="AM129" s="62" t="e">
        <f t="shared" si="59"/>
        <v>#NUM!</v>
      </c>
      <c r="AN129" s="62">
        <f ca="1">AVERAGE(OFFSET($AM$3,0,0,'Données projet'!$E$10+1,1))-AVERAGE(OFFSET($H$3,0,0,'Données projet'!$E$10+1,1))</f>
        <v>366.41072413829329</v>
      </c>
      <c r="AO129" s="62">
        <f t="shared" si="90"/>
        <v>234.41212418619125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0</v>
      </c>
      <c r="AV129" s="23">
        <f>EXP(-LN(2)/25)*AV128+(1-EXP(-LN(2)/25))/(LN(2)/25)*Calculateur!AQ129*Calculateur!AS129*VLOOKUP('Données projet'!$B$10,Paramètres!$A$1:$I$89,3,0)*0.475*44/12</f>
        <v>0</v>
      </c>
      <c r="AW129" s="23">
        <f>EXP(-LN(2)/2)*AW128+(1-EXP(-LN(2)/2))/(LN(2)/2)*AQ129*AT129*VLOOKUP('Données projet'!$B$10,Paramètres!$A$1:$I$89,3,0)*0.475*44/12</f>
        <v>0</v>
      </c>
      <c r="AX129" s="23">
        <f t="shared" si="60"/>
        <v>0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5.6843418860808015E-14</v>
      </c>
      <c r="BE129" s="14">
        <f>BD129*VLOOKUP('Données projet'!$B$11,Paramètres!$A$1:$I$89,3,0)*VLOOKUP('Données projet'!$B$11,Paramètres!$A$1:$I$89,5,0)</f>
        <v>2.6602720026858149E-14</v>
      </c>
      <c r="BF129" s="14">
        <f t="shared" si="91"/>
        <v>4.6624771586320878E-13</v>
      </c>
      <c r="BG129" s="22">
        <f t="shared" si="61"/>
        <v>8.583811758418665E-13</v>
      </c>
      <c r="BH129" s="62">
        <f t="shared" si="62"/>
        <v>293.33333333333417</v>
      </c>
      <c r="BI129" s="62">
        <f ca="1">AVERAGE(OFFSET($BH$3,0,0,'Données projet'!$E$11+1,1))-AVERAGE(OFFSET($H$3,0,0,'Données projet'!$E$11+1,1))</f>
        <v>152.72674713084456</v>
      </c>
      <c r="BJ129" s="62">
        <f t="shared" si="92"/>
        <v>203.90215120562164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2.2958286386684352</v>
      </c>
      <c r="BQ129" s="23">
        <f>EXP(-LN(2)/25)*BQ128+(1-EXP(-LN(2)/25))/(LN(2)/25)*Calculateur!BL129*Calculateur!BN129*VLOOKUP('Données projet'!$B$11,Paramètres!$A$1:$I$89,3,0)*0.475*44/12</f>
        <v>0</v>
      </c>
      <c r="BR129" s="23">
        <f>EXP(-LN(2)/2)*BR128+(1-EXP(-LN(2)/2))/(LN(2)/2)*BL129*BO129*VLOOKUP('Données projet'!$B$11,Paramètres!$A$1:$I$89,3,0)*0.475*44/12</f>
        <v>5.5116583056627868E-14</v>
      </c>
      <c r="BS129" s="24">
        <f t="shared" si="63"/>
        <v>2.2958286386684903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3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35.459517599999934</v>
      </c>
      <c r="D130" s="12">
        <f t="shared" si="86"/>
        <v>10.786883475438062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112.09478548390375</v>
      </c>
      <c r="H130" s="70">
        <f t="shared" si="56"/>
        <v>337.21248187305451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0</v>
      </c>
      <c r="O130" s="14">
        <f>N130*VLOOKUP('Données projet'!$B$9,Paramètres!$A$1:$I$89,3,0)*VLOOKUP('Données projet'!$B$9,Paramètres!$A$1:$I$89,5,0)</f>
        <v>0</v>
      </c>
      <c r="P130" s="14" t="e">
        <f t="shared" si="8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327.25473597900725</v>
      </c>
      <c r="T130" s="62">
        <f t="shared" si="88"/>
        <v>211.5313580973322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0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0</v>
      </c>
      <c r="AC130" s="24">
        <f t="shared" si="57"/>
        <v>0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>
        <f>AI130*VLOOKUP('Données projet'!$B$10,Paramètres!$A$1:$I$89,3,0)*VLOOKUP('Données projet'!$B$10,Paramètres!$A$1:$I$89,5,0)</f>
        <v>0</v>
      </c>
      <c r="AK130" s="14" t="e">
        <f t="shared" si="89"/>
        <v>#NUM!</v>
      </c>
      <c r="AL130" s="22" t="e">
        <f t="shared" si="58"/>
        <v>#NUM!</v>
      </c>
      <c r="AM130" s="62" t="e">
        <f t="shared" si="59"/>
        <v>#NUM!</v>
      </c>
      <c r="AN130" s="62">
        <f ca="1">AVERAGE(OFFSET($AM$3,0,0,'Données projet'!$E$10+1,1))-AVERAGE(OFFSET($H$3,0,0,'Données projet'!$E$10+1,1))</f>
        <v>366.41072413829329</v>
      </c>
      <c r="AO130" s="62">
        <f t="shared" si="90"/>
        <v>234.41212418619125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0</v>
      </c>
      <c r="AV130" s="23">
        <f>EXP(-LN(2)/25)*AV129+(1-EXP(-LN(2)/25))/(LN(2)/25)*Calculateur!AQ130*Calculateur!AS130*VLOOKUP('Données projet'!$B$10,Paramètres!$A$1:$I$89,3,0)*0.475*44/12</f>
        <v>0</v>
      </c>
      <c r="AW130" s="23">
        <f>EXP(-LN(2)/2)*AW129+(1-EXP(-LN(2)/2))/(LN(2)/2)*AQ130*AT130*VLOOKUP('Données projet'!$B$10,Paramètres!$A$1:$I$89,3,0)*0.475*44/12</f>
        <v>0</v>
      </c>
      <c r="AX130" s="23">
        <f t="shared" si="60"/>
        <v>0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5.6843418860808015E-14</v>
      </c>
      <c r="BE130" s="14">
        <f>BD130*VLOOKUP('Données projet'!$B$11,Paramètres!$A$1:$I$89,3,0)*VLOOKUP('Données projet'!$B$11,Paramètres!$A$1:$I$89,5,0)</f>
        <v>2.6602720026858149E-14</v>
      </c>
      <c r="BF130" s="14">
        <f t="shared" si="91"/>
        <v>4.6624771586320878E-13</v>
      </c>
      <c r="BG130" s="22">
        <f t="shared" si="61"/>
        <v>8.583811758418665E-13</v>
      </c>
      <c r="BH130" s="62">
        <f t="shared" si="62"/>
        <v>293.33333333333417</v>
      </c>
      <c r="BI130" s="62">
        <f ca="1">AVERAGE(OFFSET($BH$3,0,0,'Données projet'!$E$11+1,1))-AVERAGE(OFFSET($H$3,0,0,'Données projet'!$E$11+1,1))</f>
        <v>152.72674713084456</v>
      </c>
      <c r="BJ130" s="62">
        <f t="shared" si="92"/>
        <v>203.90215120562164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2.2508088393813468</v>
      </c>
      <c r="BQ130" s="23">
        <f>EXP(-LN(2)/25)*BQ129+(1-EXP(-LN(2)/25))/(LN(2)/25)*Calculateur!BL130*Calculateur!BN130*VLOOKUP('Données projet'!$B$11,Paramètres!$A$1:$I$89,3,0)*0.475*44/12</f>
        <v>0</v>
      </c>
      <c r="BR130" s="23">
        <f>EXP(-LN(2)/2)*BR129+(1-EXP(-LN(2)/2))/(LN(2)/2)*BL130*BO130*VLOOKUP('Données projet'!$B$11,Paramètres!$A$1:$I$89,3,0)*0.475*44/12</f>
        <v>3.8973309635173138E-14</v>
      </c>
      <c r="BS130" s="24">
        <f t="shared" si="63"/>
        <v>2.2508088393813859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3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35.738726399999933</v>
      </c>
      <c r="D131" s="12">
        <f t="shared" si="86"/>
        <v>10.861898712461063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112.95337483399318</v>
      </c>
      <c r="H131" s="70">
        <f t="shared" si="56"/>
        <v>337.82942207086955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0</v>
      </c>
      <c r="O131" s="14">
        <f>N131*VLOOKUP('Données projet'!$B$9,Paramètres!$A$1:$I$89,3,0)*VLOOKUP('Données projet'!$B$9,Paramètres!$A$1:$I$89,5,0)</f>
        <v>0</v>
      </c>
      <c r="P131" s="14" t="e">
        <f t="shared" si="8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327.25473597900725</v>
      </c>
      <c r="T131" s="62">
        <f t="shared" si="88"/>
        <v>211.5313580973322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0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0</v>
      </c>
      <c r="AC131" s="24">
        <f t="shared" si="57"/>
        <v>0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>
        <f>AI131*VLOOKUP('Données projet'!$B$10,Paramètres!$A$1:$I$89,3,0)*VLOOKUP('Données projet'!$B$10,Paramètres!$A$1:$I$89,5,0)</f>
        <v>0</v>
      </c>
      <c r="AK131" s="14" t="e">
        <f t="shared" si="89"/>
        <v>#NUM!</v>
      </c>
      <c r="AL131" s="22" t="e">
        <f t="shared" si="58"/>
        <v>#NUM!</v>
      </c>
      <c r="AM131" s="62" t="e">
        <f t="shared" si="59"/>
        <v>#NUM!</v>
      </c>
      <c r="AN131" s="62">
        <f ca="1">AVERAGE(OFFSET($AM$3,0,0,'Données projet'!$E$10+1,1))-AVERAGE(OFFSET($H$3,0,0,'Données projet'!$E$10+1,1))</f>
        <v>366.41072413829329</v>
      </c>
      <c r="AO131" s="62">
        <f t="shared" si="90"/>
        <v>234.41212418619125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0</v>
      </c>
      <c r="AV131" s="23">
        <f>EXP(-LN(2)/25)*AV130+(1-EXP(-LN(2)/25))/(LN(2)/25)*Calculateur!AQ131*Calculateur!AS131*VLOOKUP('Données projet'!$B$10,Paramètres!$A$1:$I$89,3,0)*0.475*44/12</f>
        <v>0</v>
      </c>
      <c r="AW131" s="23">
        <f>EXP(-LN(2)/2)*AW130+(1-EXP(-LN(2)/2))/(LN(2)/2)*AQ131*AT131*VLOOKUP('Données projet'!$B$10,Paramètres!$A$1:$I$89,3,0)*0.475*44/12</f>
        <v>0</v>
      </c>
      <c r="AX131" s="23">
        <f t="shared" si="60"/>
        <v>0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5.6843418860808015E-14</v>
      </c>
      <c r="BE131" s="14">
        <f>BD131*VLOOKUP('Données projet'!$B$11,Paramètres!$A$1:$I$89,3,0)*VLOOKUP('Données projet'!$B$11,Paramètres!$A$1:$I$89,5,0)</f>
        <v>2.6602720026858149E-14</v>
      </c>
      <c r="BF131" s="14">
        <f t="shared" si="91"/>
        <v>4.6624771586320878E-13</v>
      </c>
      <c r="BG131" s="22">
        <f t="shared" si="61"/>
        <v>8.583811758418665E-13</v>
      </c>
      <c r="BH131" s="62">
        <f t="shared" si="62"/>
        <v>293.33333333333417</v>
      </c>
      <c r="BI131" s="62">
        <f ca="1">AVERAGE(OFFSET($BH$3,0,0,'Données projet'!$E$11+1,1))-AVERAGE(OFFSET($H$3,0,0,'Données projet'!$E$11+1,1))</f>
        <v>152.72674713084456</v>
      </c>
      <c r="BJ131" s="62">
        <f t="shared" si="92"/>
        <v>203.90215120562164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2.2066718508989123</v>
      </c>
      <c r="BQ131" s="23">
        <f>EXP(-LN(2)/25)*BQ130+(1-EXP(-LN(2)/25))/(LN(2)/25)*Calculateur!BL131*Calculateur!BN131*VLOOKUP('Données projet'!$B$11,Paramètres!$A$1:$I$89,3,0)*0.475*44/12</f>
        <v>0</v>
      </c>
      <c r="BR131" s="23">
        <f>EXP(-LN(2)/2)*BR130+(1-EXP(-LN(2)/2))/(LN(2)/2)*BL131*BO131*VLOOKUP('Données projet'!$B$11,Paramètres!$A$1:$I$89,3,0)*0.475*44/12</f>
        <v>2.7558291528313937E-14</v>
      </c>
      <c r="BS131" s="24">
        <f t="shared" si="63"/>
        <v>2.2066718508989398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3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36.017935199999933</v>
      </c>
      <c r="D132" s="12">
        <f t="shared" si="86"/>
        <v>10.93684576277723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113.81179890907532</v>
      </c>
      <c r="H132" s="70">
        <f t="shared" ref="H132:H195" si="110">(B132+E132+F132)*44/12+(C132+D132)*0.475*44/12</f>
        <v>338.44624351017023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0</v>
      </c>
      <c r="O132" s="14">
        <f>N132*VLOOKUP('Données projet'!$B$9,Paramètres!$A$1:$I$89,3,0)*VLOOKUP('Données projet'!$B$9,Paramètres!$A$1:$I$89,5,0)</f>
        <v>0</v>
      </c>
      <c r="P132" s="14" t="e">
        <f t="shared" si="8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327.25473597900725</v>
      </c>
      <c r="T132" s="62">
        <f t="shared" si="88"/>
        <v>211.5313580973322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0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0</v>
      </c>
      <c r="AC132" s="24">
        <f t="shared" ref="AC132:AC153" si="111">SUM(Z132:AB132)</f>
        <v>0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>
        <f>AI132*VLOOKUP('Données projet'!$B$10,Paramètres!$A$1:$I$89,3,0)*VLOOKUP('Données projet'!$B$10,Paramètres!$A$1:$I$89,5,0)</f>
        <v>0</v>
      </c>
      <c r="AK132" s="14" t="e">
        <f t="shared" si="89"/>
        <v>#NUM!</v>
      </c>
      <c r="AL132" s="22" t="e">
        <f t="shared" ref="AL132:AL153" si="112">(AJ132+AK132)*0.475*44/12</f>
        <v>#NUM!</v>
      </c>
      <c r="AM132" s="62" t="e">
        <f t="shared" ref="AM132:AM195" si="113">AL132+(AD132+AE132)*44/12</f>
        <v>#NUM!</v>
      </c>
      <c r="AN132" s="62">
        <f ca="1">AVERAGE(OFFSET($AM$3,0,0,'Données projet'!$E$10+1,1))-AVERAGE(OFFSET($H$3,0,0,'Données projet'!$E$10+1,1))</f>
        <v>366.41072413829329</v>
      </c>
      <c r="AO132" s="62">
        <f t="shared" si="90"/>
        <v>234.41212418619125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0</v>
      </c>
      <c r="AV132" s="23">
        <f>EXP(-LN(2)/25)*AV131+(1-EXP(-LN(2)/25))/(LN(2)/25)*Calculateur!AQ132*Calculateur!AS132*VLOOKUP('Données projet'!$B$10,Paramètres!$A$1:$I$89,3,0)*0.475*44/12</f>
        <v>0</v>
      </c>
      <c r="AW132" s="23">
        <f>EXP(-LN(2)/2)*AW131+(1-EXP(-LN(2)/2))/(LN(2)/2)*AQ132*AT132*VLOOKUP('Données projet'!$B$10,Paramètres!$A$1:$I$89,3,0)*0.475*44/12</f>
        <v>0</v>
      </c>
      <c r="AX132" s="23">
        <f t="shared" ref="AX132:AX153" si="114">SUM(AU132:AW132)</f>
        <v>0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5.6843418860808015E-14</v>
      </c>
      <c r="BE132" s="14">
        <f>BD132*VLOOKUP('Données projet'!$B$11,Paramètres!$A$1:$I$89,3,0)*VLOOKUP('Données projet'!$B$11,Paramètres!$A$1:$I$89,5,0)</f>
        <v>2.6602720026858149E-14</v>
      </c>
      <c r="BF132" s="14">
        <f t="shared" si="91"/>
        <v>4.6624771586320878E-13</v>
      </c>
      <c r="BG132" s="22">
        <f t="shared" ref="BG132:BG153" si="115">(BE132+BF132)*0.475*44/12</f>
        <v>8.583811758418665E-13</v>
      </c>
      <c r="BH132" s="62">
        <f t="shared" ref="BH132:BH195" si="116">BG132+(AY132+AZ132)*44/12</f>
        <v>293.33333333333417</v>
      </c>
      <c r="BI132" s="62">
        <f ca="1">AVERAGE(OFFSET($BH$3,0,0,'Données projet'!$E$11+1,1))-AVERAGE(OFFSET($H$3,0,0,'Données projet'!$E$11+1,1))</f>
        <v>152.72674713084456</v>
      </c>
      <c r="BJ132" s="62">
        <f t="shared" si="92"/>
        <v>203.90215120562164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2.1634003618397135</v>
      </c>
      <c r="BQ132" s="23">
        <f>EXP(-LN(2)/25)*BQ131+(1-EXP(-LN(2)/25))/(LN(2)/25)*Calculateur!BL132*Calculateur!BN132*VLOOKUP('Données projet'!$B$11,Paramètres!$A$1:$I$89,3,0)*0.475*44/12</f>
        <v>0</v>
      </c>
      <c r="BR132" s="23">
        <f>EXP(-LN(2)/2)*BR131+(1-EXP(-LN(2)/2))/(LN(2)/2)*BL132*BO132*VLOOKUP('Données projet'!$B$11,Paramètres!$A$1:$I$89,3,0)*0.475*44/12</f>
        <v>1.9486654817586572E-14</v>
      </c>
      <c r="BS132" s="24">
        <f t="shared" ref="BS132:BS153" si="117">SUM(BP132:BR132)</f>
        <v>2.1634003618397331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3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36.297143999999932</v>
      </c>
      <c r="D133" s="12">
        <f t="shared" ref="D133:D196" si="140">IFERROR(EXP(-1.0587+0.8836*LN(C133)+0.284),0)</f>
        <v>11.011725216237989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114.67005913886722</v>
      </c>
      <c r="H133" s="70">
        <f t="shared" si="110"/>
        <v>339.06294721828107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0</v>
      </c>
      <c r="O133" s="14">
        <f>N133*VLOOKUP('Données projet'!$B$9,Paramètres!$A$1:$I$89,3,0)*VLOOKUP('Données projet'!$B$9,Paramètres!$A$1:$I$89,5,0)</f>
        <v>0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327.25473597900725</v>
      </c>
      <c r="T133" s="62">
        <f t="shared" ref="T133:T196" si="142">$T$3</f>
        <v>211.5313580973322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0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0</v>
      </c>
      <c r="AC133" s="24">
        <f t="shared" si="111"/>
        <v>0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>
        <f>AI133*VLOOKUP('Données projet'!$B$10,Paramètres!$A$1:$I$89,3,0)*VLOOKUP('Données projet'!$B$10,Paramètres!$A$1:$I$89,5,0)</f>
        <v>0</v>
      </c>
      <c r="AK133" s="14" t="e">
        <f t="shared" ref="AK133:AK153" si="143">EXP(-1.0587+0.8836*LN(AJ133)+0.284)</f>
        <v>#NUM!</v>
      </c>
      <c r="AL133" s="22" t="e">
        <f t="shared" si="112"/>
        <v>#NUM!</v>
      </c>
      <c r="AM133" s="62" t="e">
        <f t="shared" si="113"/>
        <v>#NUM!</v>
      </c>
      <c r="AN133" s="62">
        <f ca="1">AVERAGE(OFFSET($AM$3,0,0,'Données projet'!$E$10+1,1))-AVERAGE(OFFSET($H$3,0,0,'Données projet'!$E$10+1,1))</f>
        <v>366.41072413829329</v>
      </c>
      <c r="AO133" s="62">
        <f t="shared" ref="AO133:AO196" si="144">$AO$3</f>
        <v>234.41212418619125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0</v>
      </c>
      <c r="AV133" s="23">
        <f>EXP(-LN(2)/25)*AV132+(1-EXP(-LN(2)/25))/(LN(2)/25)*Calculateur!AQ133*Calculateur!AS133*VLOOKUP('Données projet'!$B$10,Paramètres!$A$1:$I$89,3,0)*0.475*44/12</f>
        <v>0</v>
      </c>
      <c r="AW133" s="23">
        <f>EXP(-LN(2)/2)*AW132+(1-EXP(-LN(2)/2))/(LN(2)/2)*AQ133*AT133*VLOOKUP('Données projet'!$B$10,Paramètres!$A$1:$I$89,3,0)*0.475*44/12</f>
        <v>0</v>
      </c>
      <c r="AX133" s="23">
        <f t="shared" si="114"/>
        <v>0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5.6843418860808015E-14</v>
      </c>
      <c r="BE133" s="14">
        <f>BD133*VLOOKUP('Données projet'!$B$11,Paramètres!$A$1:$I$89,3,0)*VLOOKUP('Données projet'!$B$11,Paramètres!$A$1:$I$89,5,0)</f>
        <v>2.6602720026858149E-14</v>
      </c>
      <c r="BF133" s="14">
        <f t="shared" ref="BF133:BF153" si="145">EXP(-1.0587+0.8836*LN(BE133)+0.284)</f>
        <v>4.6624771586320878E-13</v>
      </c>
      <c r="BG133" s="22">
        <f t="shared" si="115"/>
        <v>8.583811758418665E-13</v>
      </c>
      <c r="BH133" s="62">
        <f t="shared" si="116"/>
        <v>293.33333333333417</v>
      </c>
      <c r="BI133" s="62">
        <f ca="1">AVERAGE(OFFSET($BH$3,0,0,'Données projet'!$E$11+1,1))-AVERAGE(OFFSET($H$3,0,0,'Données projet'!$E$11+1,1))</f>
        <v>152.72674713084456</v>
      </c>
      <c r="BJ133" s="62">
        <f t="shared" ref="BJ133:BJ196" si="146">$BJ$3</f>
        <v>203.90215120562164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2.1209774002879631</v>
      </c>
      <c r="BQ133" s="23">
        <f>EXP(-LN(2)/25)*BQ132+(1-EXP(-LN(2)/25))/(LN(2)/25)*Calculateur!BL133*Calculateur!BN133*VLOOKUP('Données projet'!$B$11,Paramètres!$A$1:$I$89,3,0)*0.475*44/12</f>
        <v>0</v>
      </c>
      <c r="BR133" s="23">
        <f>EXP(-LN(2)/2)*BR132+(1-EXP(-LN(2)/2))/(LN(2)/2)*BL133*BO133*VLOOKUP('Données projet'!$B$11,Paramètres!$A$1:$I$89,3,0)*0.475*44/12</f>
        <v>1.3779145764156972E-14</v>
      </c>
      <c r="BS133" s="24">
        <f t="shared" si="117"/>
        <v>2.1209774002879769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3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36.576352799999931</v>
      </c>
      <c r="D134" s="12">
        <f t="shared" si="140"/>
        <v>11.086537653096023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115.52815692981996</v>
      </c>
      <c r="H134" s="70">
        <f t="shared" si="110"/>
        <v>339.67953420580881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0</v>
      </c>
      <c r="O134" s="14">
        <f>N134*VLOOKUP('Données projet'!$B$9,Paramètres!$A$1:$I$89,3,0)*VLOOKUP('Données projet'!$B$9,Paramètres!$A$1:$I$89,5,0)</f>
        <v>0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327.25473597900725</v>
      </c>
      <c r="T134" s="62">
        <f t="shared" si="142"/>
        <v>211.5313580973322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0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0</v>
      </c>
      <c r="AC134" s="24">
        <f t="shared" si="111"/>
        <v>0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>
        <f>AI134*VLOOKUP('Données projet'!$B$10,Paramètres!$A$1:$I$89,3,0)*VLOOKUP('Données projet'!$B$10,Paramètres!$A$1:$I$89,5,0)</f>
        <v>0</v>
      </c>
      <c r="AK134" s="14" t="e">
        <f t="shared" si="143"/>
        <v>#NUM!</v>
      </c>
      <c r="AL134" s="22" t="e">
        <f t="shared" si="112"/>
        <v>#NUM!</v>
      </c>
      <c r="AM134" s="62" t="e">
        <f t="shared" si="113"/>
        <v>#NUM!</v>
      </c>
      <c r="AN134" s="62">
        <f ca="1">AVERAGE(OFFSET($AM$3,0,0,'Données projet'!$E$10+1,1))-AVERAGE(OFFSET($H$3,0,0,'Données projet'!$E$10+1,1))</f>
        <v>366.41072413829329</v>
      </c>
      <c r="AO134" s="62">
        <f t="shared" si="144"/>
        <v>234.41212418619125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0</v>
      </c>
      <c r="AV134" s="23">
        <f>EXP(-LN(2)/25)*AV133+(1-EXP(-LN(2)/25))/(LN(2)/25)*Calculateur!AQ134*Calculateur!AS134*VLOOKUP('Données projet'!$B$10,Paramètres!$A$1:$I$89,3,0)*0.475*44/12</f>
        <v>0</v>
      </c>
      <c r="AW134" s="23">
        <f>EXP(-LN(2)/2)*AW133+(1-EXP(-LN(2)/2))/(LN(2)/2)*AQ134*AT134*VLOOKUP('Données projet'!$B$10,Paramètres!$A$1:$I$89,3,0)*0.475*44/12</f>
        <v>0</v>
      </c>
      <c r="AX134" s="23">
        <f t="shared" si="114"/>
        <v>0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5.6843418860808015E-14</v>
      </c>
      <c r="BE134" s="14">
        <f>BD134*VLOOKUP('Données projet'!$B$11,Paramètres!$A$1:$I$89,3,0)*VLOOKUP('Données projet'!$B$11,Paramètres!$A$1:$I$89,5,0)</f>
        <v>2.6602720026858149E-14</v>
      </c>
      <c r="BF134" s="14">
        <f t="shared" si="145"/>
        <v>4.6624771586320878E-13</v>
      </c>
      <c r="BG134" s="22">
        <f t="shared" si="115"/>
        <v>8.583811758418665E-13</v>
      </c>
      <c r="BH134" s="62">
        <f t="shared" si="116"/>
        <v>293.33333333333417</v>
      </c>
      <c r="BI134" s="62">
        <f ca="1">AVERAGE(OFFSET($BH$3,0,0,'Données projet'!$E$11+1,1))-AVERAGE(OFFSET($H$3,0,0,'Données projet'!$E$11+1,1))</f>
        <v>152.72674713084456</v>
      </c>
      <c r="BJ134" s="62">
        <f t="shared" si="146"/>
        <v>203.90215120562164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2.0793863271367914</v>
      </c>
      <c r="BQ134" s="23">
        <f>EXP(-LN(2)/25)*BQ133+(1-EXP(-LN(2)/25))/(LN(2)/25)*Calculateur!BL134*Calculateur!BN134*VLOOKUP('Données projet'!$B$11,Paramètres!$A$1:$I$89,3,0)*0.475*44/12</f>
        <v>0</v>
      </c>
      <c r="BR134" s="23">
        <f>EXP(-LN(2)/2)*BR133+(1-EXP(-LN(2)/2))/(LN(2)/2)*BL134*BO134*VLOOKUP('Données projet'!$B$11,Paramètres!$A$1:$I$89,3,0)*0.475*44/12</f>
        <v>9.7433274087932875E-15</v>
      </c>
      <c r="BS134" s="24">
        <f t="shared" si="117"/>
        <v>2.0793863271368012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3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36.85556159999993</v>
      </c>
      <c r="D135" s="12">
        <f t="shared" si="140"/>
        <v>11.161283644233487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116.38609366567175</v>
      </c>
      <c r="H135" s="70">
        <f t="shared" si="110"/>
        <v>340.29600546703989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0</v>
      </c>
      <c r="O135" s="14">
        <f>N135*VLOOKUP('Données projet'!$B$9,Paramètres!$A$1:$I$89,3,0)*VLOOKUP('Données projet'!$B$9,Paramètres!$A$1:$I$89,5,0)</f>
        <v>0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327.25473597900725</v>
      </c>
      <c r="T135" s="62">
        <f t="shared" si="142"/>
        <v>211.5313580973322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0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0</v>
      </c>
      <c r="AC135" s="24">
        <f t="shared" si="111"/>
        <v>0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>
        <f>AI135*VLOOKUP('Données projet'!$B$10,Paramètres!$A$1:$I$89,3,0)*VLOOKUP('Données projet'!$B$10,Paramètres!$A$1:$I$89,5,0)</f>
        <v>0</v>
      </c>
      <c r="AK135" s="14" t="e">
        <f t="shared" si="143"/>
        <v>#NUM!</v>
      </c>
      <c r="AL135" s="22" t="e">
        <f t="shared" si="112"/>
        <v>#NUM!</v>
      </c>
      <c r="AM135" s="62" t="e">
        <f t="shared" si="113"/>
        <v>#NUM!</v>
      </c>
      <c r="AN135" s="62">
        <f ca="1">AVERAGE(OFFSET($AM$3,0,0,'Données projet'!$E$10+1,1))-AVERAGE(OFFSET($H$3,0,0,'Données projet'!$E$10+1,1))</f>
        <v>366.41072413829329</v>
      </c>
      <c r="AO135" s="62">
        <f t="shared" si="144"/>
        <v>234.41212418619125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0</v>
      </c>
      <c r="AV135" s="23">
        <f>EXP(-LN(2)/25)*AV134+(1-EXP(-LN(2)/25))/(LN(2)/25)*Calculateur!AQ135*Calculateur!AS135*VLOOKUP('Données projet'!$B$10,Paramètres!$A$1:$I$89,3,0)*0.475*44/12</f>
        <v>0</v>
      </c>
      <c r="AW135" s="23">
        <f>EXP(-LN(2)/2)*AW134+(1-EXP(-LN(2)/2))/(LN(2)/2)*AQ135*AT135*VLOOKUP('Données projet'!$B$10,Paramètres!$A$1:$I$89,3,0)*0.475*44/12</f>
        <v>0</v>
      </c>
      <c r="AX135" s="23">
        <f t="shared" si="114"/>
        <v>0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5.6843418860808015E-14</v>
      </c>
      <c r="BE135" s="14">
        <f>BD135*VLOOKUP('Données projet'!$B$11,Paramètres!$A$1:$I$89,3,0)*VLOOKUP('Données projet'!$B$11,Paramètres!$A$1:$I$89,5,0)</f>
        <v>2.6602720026858149E-14</v>
      </c>
      <c r="BF135" s="14">
        <f t="shared" si="145"/>
        <v>4.6624771586320878E-13</v>
      </c>
      <c r="BG135" s="22">
        <f t="shared" si="115"/>
        <v>8.583811758418665E-13</v>
      </c>
      <c r="BH135" s="62">
        <f t="shared" si="116"/>
        <v>293.33333333333417</v>
      </c>
      <c r="BI135" s="62">
        <f ca="1">AVERAGE(OFFSET($BH$3,0,0,'Données projet'!$E$11+1,1))-AVERAGE(OFFSET($H$3,0,0,'Données projet'!$E$11+1,1))</f>
        <v>152.72674713084456</v>
      </c>
      <c r="BJ135" s="62">
        <f t="shared" si="146"/>
        <v>203.90215120562164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2.0386108295620642</v>
      </c>
      <c r="BQ135" s="23">
        <f>EXP(-LN(2)/25)*BQ134+(1-EXP(-LN(2)/25))/(LN(2)/25)*Calculateur!BL135*Calculateur!BN135*VLOOKUP('Données projet'!$B$11,Paramètres!$A$1:$I$89,3,0)*0.475*44/12</f>
        <v>0</v>
      </c>
      <c r="BR135" s="23">
        <f>EXP(-LN(2)/2)*BR134+(1-EXP(-LN(2)/2))/(LN(2)/2)*BL135*BO135*VLOOKUP('Données projet'!$B$11,Paramètres!$A$1:$I$89,3,0)*0.475*44/12</f>
        <v>6.8895728820784867E-15</v>
      </c>
      <c r="BS135" s="24">
        <f t="shared" si="117"/>
        <v>2.0386108295620713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3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37.13477039999993</v>
      </c>
      <c r="D136" s="12">
        <f t="shared" si="140"/>
        <v>11.23596375138318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117.24387070798404</v>
      </c>
      <c r="H136" s="70">
        <f t="shared" si="110"/>
        <v>340.91236198032561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0</v>
      </c>
      <c r="O136" s="14">
        <f>N136*VLOOKUP('Données projet'!$B$9,Paramètres!$A$1:$I$89,3,0)*VLOOKUP('Données projet'!$B$9,Paramètres!$A$1:$I$89,5,0)</f>
        <v>0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327.25473597900725</v>
      </c>
      <c r="T136" s="62">
        <f t="shared" si="142"/>
        <v>211.5313580973322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0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0</v>
      </c>
      <c r="AC136" s="24">
        <f t="shared" si="111"/>
        <v>0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>
        <f>AI136*VLOOKUP('Données projet'!$B$10,Paramètres!$A$1:$I$89,3,0)*VLOOKUP('Données projet'!$B$10,Paramètres!$A$1:$I$89,5,0)</f>
        <v>0</v>
      </c>
      <c r="AK136" s="14" t="e">
        <f t="shared" si="143"/>
        <v>#NUM!</v>
      </c>
      <c r="AL136" s="22" t="e">
        <f t="shared" si="112"/>
        <v>#NUM!</v>
      </c>
      <c r="AM136" s="62" t="e">
        <f t="shared" si="113"/>
        <v>#NUM!</v>
      </c>
      <c r="AN136" s="62">
        <f ca="1">AVERAGE(OFFSET($AM$3,0,0,'Données projet'!$E$10+1,1))-AVERAGE(OFFSET($H$3,0,0,'Données projet'!$E$10+1,1))</f>
        <v>366.41072413829329</v>
      </c>
      <c r="AO136" s="62">
        <f t="shared" si="144"/>
        <v>234.41212418619125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0</v>
      </c>
      <c r="AV136" s="23">
        <f>EXP(-LN(2)/25)*AV135+(1-EXP(-LN(2)/25))/(LN(2)/25)*Calculateur!AQ136*Calculateur!AS136*VLOOKUP('Données projet'!$B$10,Paramètres!$A$1:$I$89,3,0)*0.475*44/12</f>
        <v>0</v>
      </c>
      <c r="AW136" s="23">
        <f>EXP(-LN(2)/2)*AW135+(1-EXP(-LN(2)/2))/(LN(2)/2)*AQ136*AT136*VLOOKUP('Données projet'!$B$10,Paramètres!$A$1:$I$89,3,0)*0.475*44/12</f>
        <v>0</v>
      </c>
      <c r="AX136" s="23">
        <f t="shared" si="114"/>
        <v>0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5.6843418860808015E-14</v>
      </c>
      <c r="BE136" s="14">
        <f>BD136*VLOOKUP('Données projet'!$B$11,Paramètres!$A$1:$I$89,3,0)*VLOOKUP('Données projet'!$B$11,Paramètres!$A$1:$I$89,5,0)</f>
        <v>2.6602720026858149E-14</v>
      </c>
      <c r="BF136" s="14">
        <f t="shared" si="145"/>
        <v>4.6624771586320878E-13</v>
      </c>
      <c r="BG136" s="22">
        <f t="shared" si="115"/>
        <v>8.583811758418665E-13</v>
      </c>
      <c r="BH136" s="62">
        <f t="shared" si="116"/>
        <v>293.33333333333417</v>
      </c>
      <c r="BI136" s="62">
        <f ca="1">AVERAGE(OFFSET($BH$3,0,0,'Données projet'!$E$11+1,1))-AVERAGE(OFFSET($H$3,0,0,'Données projet'!$E$11+1,1))</f>
        <v>152.72674713084456</v>
      </c>
      <c r="BJ136" s="62">
        <f t="shared" si="146"/>
        <v>203.90215120562164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1.9986349146241797</v>
      </c>
      <c r="BQ136" s="23">
        <f>EXP(-LN(2)/25)*BQ135+(1-EXP(-LN(2)/25))/(LN(2)/25)*Calculateur!BL136*Calculateur!BN136*VLOOKUP('Données projet'!$B$11,Paramètres!$A$1:$I$89,3,0)*0.475*44/12</f>
        <v>0</v>
      </c>
      <c r="BR136" s="23">
        <f>EXP(-LN(2)/2)*BR135+(1-EXP(-LN(2)/2))/(LN(2)/2)*BL136*BO136*VLOOKUP('Données projet'!$B$11,Paramètres!$A$1:$I$89,3,0)*0.475*44/12</f>
        <v>4.8716637043966446E-15</v>
      </c>
      <c r="BS136" s="24">
        <f t="shared" si="117"/>
        <v>1.9986349146241846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3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37.413979199999929</v>
      </c>
      <c r="D137" s="12">
        <f t="shared" si="140"/>
        <v>11.310578527342818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118.10148939666095</v>
      </c>
      <c r="H137" s="70">
        <f t="shared" si="110"/>
        <v>341.5286047084553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0</v>
      </c>
      <c r="O137" s="14">
        <f>N137*VLOOKUP('Données projet'!$B$9,Paramètres!$A$1:$I$89,3,0)*VLOOKUP('Données projet'!$B$9,Paramètres!$A$1:$I$89,5,0)</f>
        <v>0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327.25473597900725</v>
      </c>
      <c r="T137" s="62">
        <f t="shared" si="142"/>
        <v>211.5313580973322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0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0</v>
      </c>
      <c r="AC137" s="24">
        <f t="shared" si="111"/>
        <v>0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>
        <f>AI137*VLOOKUP('Données projet'!$B$10,Paramètres!$A$1:$I$89,3,0)*VLOOKUP('Données projet'!$B$10,Paramètres!$A$1:$I$89,5,0)</f>
        <v>0</v>
      </c>
      <c r="AK137" s="14" t="e">
        <f t="shared" si="143"/>
        <v>#NUM!</v>
      </c>
      <c r="AL137" s="22" t="e">
        <f t="shared" si="112"/>
        <v>#NUM!</v>
      </c>
      <c r="AM137" s="62" t="e">
        <f t="shared" si="113"/>
        <v>#NUM!</v>
      </c>
      <c r="AN137" s="62">
        <f ca="1">AVERAGE(OFFSET($AM$3,0,0,'Données projet'!$E$10+1,1))-AVERAGE(OFFSET($H$3,0,0,'Données projet'!$E$10+1,1))</f>
        <v>366.41072413829329</v>
      </c>
      <c r="AO137" s="62">
        <f t="shared" si="144"/>
        <v>234.41212418619125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0</v>
      </c>
      <c r="AV137" s="23">
        <f>EXP(-LN(2)/25)*AV136+(1-EXP(-LN(2)/25))/(LN(2)/25)*Calculateur!AQ137*Calculateur!AS137*VLOOKUP('Données projet'!$B$10,Paramètres!$A$1:$I$89,3,0)*0.475*44/12</f>
        <v>0</v>
      </c>
      <c r="AW137" s="23">
        <f>EXP(-LN(2)/2)*AW136+(1-EXP(-LN(2)/2))/(LN(2)/2)*AQ137*AT137*VLOOKUP('Données projet'!$B$10,Paramètres!$A$1:$I$89,3,0)*0.475*44/12</f>
        <v>0</v>
      </c>
      <c r="AX137" s="23">
        <f t="shared" si="114"/>
        <v>0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5.6843418860808015E-14</v>
      </c>
      <c r="BE137" s="14">
        <f>BD137*VLOOKUP('Données projet'!$B$11,Paramètres!$A$1:$I$89,3,0)*VLOOKUP('Données projet'!$B$11,Paramètres!$A$1:$I$89,5,0)</f>
        <v>2.6602720026858149E-14</v>
      </c>
      <c r="BF137" s="14">
        <f t="shared" si="145"/>
        <v>4.6624771586320878E-13</v>
      </c>
      <c r="BG137" s="22">
        <f t="shared" si="115"/>
        <v>8.583811758418665E-13</v>
      </c>
      <c r="BH137" s="62">
        <f t="shared" si="116"/>
        <v>293.33333333333417</v>
      </c>
      <c r="BI137" s="62">
        <f ca="1">AVERAGE(OFFSET($BH$3,0,0,'Données projet'!$E$11+1,1))-AVERAGE(OFFSET($H$3,0,0,'Données projet'!$E$11+1,1))</f>
        <v>152.72674713084456</v>
      </c>
      <c r="BJ137" s="62">
        <f t="shared" si="146"/>
        <v>203.90215120562164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1.9594429029953266</v>
      </c>
      <c r="BQ137" s="23">
        <f>EXP(-LN(2)/25)*BQ136+(1-EXP(-LN(2)/25))/(LN(2)/25)*Calculateur!BL137*Calculateur!BN137*VLOOKUP('Données projet'!$B$11,Paramètres!$A$1:$I$89,3,0)*0.475*44/12</f>
        <v>0</v>
      </c>
      <c r="BR137" s="23">
        <f>EXP(-LN(2)/2)*BR136+(1-EXP(-LN(2)/2))/(LN(2)/2)*BL137*BO137*VLOOKUP('Données projet'!$B$11,Paramètres!$A$1:$I$89,3,0)*0.475*44/12</f>
        <v>3.4447864410392437E-15</v>
      </c>
      <c r="BS137" s="24">
        <f t="shared" si="117"/>
        <v>1.9594429029953302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3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37.693187999999928</v>
      </c>
      <c r="D138" s="12">
        <f t="shared" si="140"/>
        <v>11.385128516182773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118.95895105045265</v>
      </c>
      <c r="H138" s="70">
        <f t="shared" si="110"/>
        <v>342.14473459901819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0</v>
      </c>
      <c r="O138" s="14">
        <f>N138*VLOOKUP('Données projet'!$B$9,Paramètres!$A$1:$I$89,3,0)*VLOOKUP('Données projet'!$B$9,Paramètres!$A$1:$I$89,5,0)</f>
        <v>0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327.25473597900725</v>
      </c>
      <c r="T138" s="62">
        <f t="shared" si="142"/>
        <v>211.5313580973322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0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0</v>
      </c>
      <c r="AC138" s="24">
        <f t="shared" si="111"/>
        <v>0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>
        <f>AI138*VLOOKUP('Données projet'!$B$10,Paramètres!$A$1:$I$89,3,0)*VLOOKUP('Données projet'!$B$10,Paramètres!$A$1:$I$89,5,0)</f>
        <v>0</v>
      </c>
      <c r="AK138" s="14" t="e">
        <f t="shared" si="143"/>
        <v>#NUM!</v>
      </c>
      <c r="AL138" s="22" t="e">
        <f t="shared" si="112"/>
        <v>#NUM!</v>
      </c>
      <c r="AM138" s="62" t="e">
        <f t="shared" si="113"/>
        <v>#NUM!</v>
      </c>
      <c r="AN138" s="62">
        <f ca="1">AVERAGE(OFFSET($AM$3,0,0,'Données projet'!$E$10+1,1))-AVERAGE(OFFSET($H$3,0,0,'Données projet'!$E$10+1,1))</f>
        <v>366.41072413829329</v>
      </c>
      <c r="AO138" s="62">
        <f t="shared" si="144"/>
        <v>234.41212418619125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0</v>
      </c>
      <c r="AV138" s="23">
        <f>EXP(-LN(2)/25)*AV137+(1-EXP(-LN(2)/25))/(LN(2)/25)*Calculateur!AQ138*Calculateur!AS138*VLOOKUP('Données projet'!$B$10,Paramètres!$A$1:$I$89,3,0)*0.475*44/12</f>
        <v>0</v>
      </c>
      <c r="AW138" s="23">
        <f>EXP(-LN(2)/2)*AW137+(1-EXP(-LN(2)/2))/(LN(2)/2)*AQ138*AT138*VLOOKUP('Données projet'!$B$10,Paramètres!$A$1:$I$89,3,0)*0.475*44/12</f>
        <v>0</v>
      </c>
      <c r="AX138" s="23">
        <f t="shared" si="114"/>
        <v>0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5.6843418860808015E-14</v>
      </c>
      <c r="BE138" s="14">
        <f>BD138*VLOOKUP('Données projet'!$B$11,Paramètres!$A$1:$I$89,3,0)*VLOOKUP('Données projet'!$B$11,Paramètres!$A$1:$I$89,5,0)</f>
        <v>2.6602720026858149E-14</v>
      </c>
      <c r="BF138" s="14">
        <f t="shared" si="145"/>
        <v>4.6624771586320878E-13</v>
      </c>
      <c r="BG138" s="22">
        <f t="shared" si="115"/>
        <v>8.583811758418665E-13</v>
      </c>
      <c r="BH138" s="62">
        <f t="shared" si="116"/>
        <v>293.33333333333417</v>
      </c>
      <c r="BI138" s="62">
        <f ca="1">AVERAGE(OFFSET($BH$3,0,0,'Données projet'!$E$11+1,1))-AVERAGE(OFFSET($H$3,0,0,'Données projet'!$E$11+1,1))</f>
        <v>152.72674713084456</v>
      </c>
      <c r="BJ138" s="62">
        <f t="shared" si="146"/>
        <v>203.90215120562164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1.9210194228097486</v>
      </c>
      <c r="BQ138" s="23">
        <f>EXP(-LN(2)/25)*BQ137+(1-EXP(-LN(2)/25))/(LN(2)/25)*Calculateur!BL138*Calculateur!BN138*VLOOKUP('Données projet'!$B$11,Paramètres!$A$1:$I$89,3,0)*0.475*44/12</f>
        <v>0</v>
      </c>
      <c r="BR138" s="23">
        <f>EXP(-LN(2)/2)*BR137+(1-EXP(-LN(2)/2))/(LN(2)/2)*BL138*BO138*VLOOKUP('Données projet'!$B$11,Paramètres!$A$1:$I$89,3,0)*0.475*44/12</f>
        <v>2.4358318521983227E-15</v>
      </c>
      <c r="BS138" s="24">
        <f t="shared" si="117"/>
        <v>1.921019422809751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3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37.972396799999927</v>
      </c>
      <c r="D139" s="12">
        <f t="shared" si="140"/>
        <v>11.459614253447452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119.81625696744369</v>
      </c>
      <c r="H139" s="70">
        <f t="shared" si="110"/>
        <v>342.76075258475419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0</v>
      </c>
      <c r="O139" s="14">
        <f>N139*VLOOKUP('Données projet'!$B$9,Paramètres!$A$1:$I$89,3,0)*VLOOKUP('Données projet'!$B$9,Paramètres!$A$1:$I$89,5,0)</f>
        <v>0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327.25473597900725</v>
      </c>
      <c r="T139" s="62">
        <f t="shared" si="142"/>
        <v>211.5313580973322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0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0</v>
      </c>
      <c r="AC139" s="24">
        <f t="shared" si="111"/>
        <v>0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>
        <f>AI139*VLOOKUP('Données projet'!$B$10,Paramètres!$A$1:$I$89,3,0)*VLOOKUP('Données projet'!$B$10,Paramètres!$A$1:$I$89,5,0)</f>
        <v>0</v>
      </c>
      <c r="AK139" s="14" t="e">
        <f t="shared" si="143"/>
        <v>#NUM!</v>
      </c>
      <c r="AL139" s="22" t="e">
        <f t="shared" si="112"/>
        <v>#NUM!</v>
      </c>
      <c r="AM139" s="62" t="e">
        <f t="shared" si="113"/>
        <v>#NUM!</v>
      </c>
      <c r="AN139" s="62">
        <f ca="1">AVERAGE(OFFSET($AM$3,0,0,'Données projet'!$E$10+1,1))-AVERAGE(OFFSET($H$3,0,0,'Données projet'!$E$10+1,1))</f>
        <v>366.41072413829329</v>
      </c>
      <c r="AO139" s="62">
        <f t="shared" si="144"/>
        <v>234.41212418619125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0</v>
      </c>
      <c r="AV139" s="23">
        <f>EXP(-LN(2)/25)*AV138+(1-EXP(-LN(2)/25))/(LN(2)/25)*Calculateur!AQ139*Calculateur!AS139*VLOOKUP('Données projet'!$B$10,Paramètres!$A$1:$I$89,3,0)*0.475*44/12</f>
        <v>0</v>
      </c>
      <c r="AW139" s="23">
        <f>EXP(-LN(2)/2)*AW138+(1-EXP(-LN(2)/2))/(LN(2)/2)*AQ139*AT139*VLOOKUP('Données projet'!$B$10,Paramètres!$A$1:$I$89,3,0)*0.475*44/12</f>
        <v>0</v>
      </c>
      <c r="AX139" s="23">
        <f t="shared" si="114"/>
        <v>0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5.6843418860808015E-14</v>
      </c>
      <c r="BE139" s="14">
        <f>BD139*VLOOKUP('Données projet'!$B$11,Paramètres!$A$1:$I$89,3,0)*VLOOKUP('Données projet'!$B$11,Paramètres!$A$1:$I$89,5,0)</f>
        <v>2.6602720026858149E-14</v>
      </c>
      <c r="BF139" s="14">
        <f t="shared" si="145"/>
        <v>4.6624771586320878E-13</v>
      </c>
      <c r="BG139" s="22">
        <f t="shared" si="115"/>
        <v>8.583811758418665E-13</v>
      </c>
      <c r="BH139" s="62">
        <f t="shared" si="116"/>
        <v>293.33333333333417</v>
      </c>
      <c r="BI139" s="62">
        <f ca="1">AVERAGE(OFFSET($BH$3,0,0,'Données projet'!$E$11+1,1))-AVERAGE(OFFSET($H$3,0,0,'Données projet'!$E$11+1,1))</f>
        <v>152.72674713084456</v>
      </c>
      <c r="BJ139" s="62">
        <f t="shared" si="146"/>
        <v>203.90215120562164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1.883349403634601</v>
      </c>
      <c r="BQ139" s="23">
        <f>EXP(-LN(2)/25)*BQ138+(1-EXP(-LN(2)/25))/(LN(2)/25)*Calculateur!BL139*Calculateur!BN139*VLOOKUP('Données projet'!$B$11,Paramètres!$A$1:$I$89,3,0)*0.475*44/12</f>
        <v>0</v>
      </c>
      <c r="BR139" s="23">
        <f>EXP(-LN(2)/2)*BR138+(1-EXP(-LN(2)/2))/(LN(2)/2)*BL139*BO139*VLOOKUP('Données projet'!$B$11,Paramètres!$A$1:$I$89,3,0)*0.475*44/12</f>
        <v>1.7223932205196223E-15</v>
      </c>
      <c r="BS139" s="24">
        <f t="shared" si="117"/>
        <v>1.8833494036346028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3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38.251605599999927</v>
      </c>
      <c r="D140" s="12">
        <f t="shared" si="140"/>
        <v>11.534036266350578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120.67340842552608</v>
      </c>
      <c r="H140" s="70">
        <f t="shared" si="110"/>
        <v>343.3766595838938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0</v>
      </c>
      <c r="O140" s="14">
        <f>N140*VLOOKUP('Données projet'!$B$9,Paramètres!$A$1:$I$89,3,0)*VLOOKUP('Données projet'!$B$9,Paramètres!$A$1:$I$89,5,0)</f>
        <v>0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327.25473597900725</v>
      </c>
      <c r="T140" s="62">
        <f t="shared" si="142"/>
        <v>211.5313580973322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0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0</v>
      </c>
      <c r="AC140" s="24">
        <f t="shared" si="111"/>
        <v>0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>
        <f>AI140*VLOOKUP('Données projet'!$B$10,Paramètres!$A$1:$I$89,3,0)*VLOOKUP('Données projet'!$B$10,Paramètres!$A$1:$I$89,5,0)</f>
        <v>0</v>
      </c>
      <c r="AK140" s="14" t="e">
        <f t="shared" si="143"/>
        <v>#NUM!</v>
      </c>
      <c r="AL140" s="22" t="e">
        <f t="shared" si="112"/>
        <v>#NUM!</v>
      </c>
      <c r="AM140" s="62" t="e">
        <f t="shared" si="113"/>
        <v>#NUM!</v>
      </c>
      <c r="AN140" s="62">
        <f ca="1">AVERAGE(OFFSET($AM$3,0,0,'Données projet'!$E$10+1,1))-AVERAGE(OFFSET($H$3,0,0,'Données projet'!$E$10+1,1))</f>
        <v>366.41072413829329</v>
      </c>
      <c r="AO140" s="62">
        <f t="shared" si="144"/>
        <v>234.41212418619125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0</v>
      </c>
      <c r="AV140" s="23">
        <f>EXP(-LN(2)/25)*AV139+(1-EXP(-LN(2)/25))/(LN(2)/25)*Calculateur!AQ140*Calculateur!AS140*VLOOKUP('Données projet'!$B$10,Paramètres!$A$1:$I$89,3,0)*0.475*44/12</f>
        <v>0</v>
      </c>
      <c r="AW140" s="23">
        <f>EXP(-LN(2)/2)*AW139+(1-EXP(-LN(2)/2))/(LN(2)/2)*AQ140*AT140*VLOOKUP('Données projet'!$B$10,Paramètres!$A$1:$I$89,3,0)*0.475*44/12</f>
        <v>0</v>
      </c>
      <c r="AX140" s="23">
        <f t="shared" si="114"/>
        <v>0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5.6843418860808015E-14</v>
      </c>
      <c r="BE140" s="14">
        <f>BD140*VLOOKUP('Données projet'!$B$11,Paramètres!$A$1:$I$89,3,0)*VLOOKUP('Données projet'!$B$11,Paramètres!$A$1:$I$89,5,0)</f>
        <v>2.6602720026858149E-14</v>
      </c>
      <c r="BF140" s="14">
        <f t="shared" si="145"/>
        <v>4.6624771586320878E-13</v>
      </c>
      <c r="BG140" s="22">
        <f t="shared" si="115"/>
        <v>8.583811758418665E-13</v>
      </c>
      <c r="BH140" s="62">
        <f t="shared" si="116"/>
        <v>293.33333333333417</v>
      </c>
      <c r="BI140" s="62">
        <f ca="1">AVERAGE(OFFSET($BH$3,0,0,'Données projet'!$E$11+1,1))-AVERAGE(OFFSET($H$3,0,0,'Données projet'!$E$11+1,1))</f>
        <v>152.72674713084456</v>
      </c>
      <c r="BJ140" s="62">
        <f t="shared" si="146"/>
        <v>203.90215120562164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1.8464180705590352</v>
      </c>
      <c r="BQ140" s="23">
        <f>EXP(-LN(2)/25)*BQ139+(1-EXP(-LN(2)/25))/(LN(2)/25)*Calculateur!BL140*Calculateur!BN140*VLOOKUP('Données projet'!$B$11,Paramètres!$A$1:$I$89,3,0)*0.475*44/12</f>
        <v>0</v>
      </c>
      <c r="BR140" s="23">
        <f>EXP(-LN(2)/2)*BR139+(1-EXP(-LN(2)/2))/(LN(2)/2)*BL140*BO140*VLOOKUP('Données projet'!$B$11,Paramètres!$A$1:$I$89,3,0)*0.475*44/12</f>
        <v>1.2179159260991615E-15</v>
      </c>
      <c r="BS140" s="24">
        <f t="shared" si="117"/>
        <v>1.8464180705590363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3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38.530814399999926</v>
      </c>
      <c r="D141" s="12">
        <f t="shared" si="140"/>
        <v>11.608395073964644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121.53040668285871</v>
      </c>
      <c r="H141" s="70">
        <f t="shared" si="110"/>
        <v>343.99245650048829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0</v>
      </c>
      <c r="O141" s="14">
        <f>N141*VLOOKUP('Données projet'!$B$9,Paramètres!$A$1:$I$89,3,0)*VLOOKUP('Données projet'!$B$9,Paramètres!$A$1:$I$89,5,0)</f>
        <v>0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327.25473597900725</v>
      </c>
      <c r="T141" s="62">
        <f t="shared" si="142"/>
        <v>211.5313580973322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0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0</v>
      </c>
      <c r="AC141" s="24">
        <f t="shared" si="111"/>
        <v>0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>
        <f>AI141*VLOOKUP('Données projet'!$B$10,Paramètres!$A$1:$I$89,3,0)*VLOOKUP('Données projet'!$B$10,Paramètres!$A$1:$I$89,5,0)</f>
        <v>0</v>
      </c>
      <c r="AK141" s="14" t="e">
        <f t="shared" si="143"/>
        <v>#NUM!</v>
      </c>
      <c r="AL141" s="22" t="e">
        <f t="shared" si="112"/>
        <v>#NUM!</v>
      </c>
      <c r="AM141" s="62" t="e">
        <f t="shared" si="113"/>
        <v>#NUM!</v>
      </c>
      <c r="AN141" s="62">
        <f ca="1">AVERAGE(OFFSET($AM$3,0,0,'Données projet'!$E$10+1,1))-AVERAGE(OFFSET($H$3,0,0,'Données projet'!$E$10+1,1))</f>
        <v>366.41072413829329</v>
      </c>
      <c r="AO141" s="62">
        <f t="shared" si="144"/>
        <v>234.41212418619125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0</v>
      </c>
      <c r="AV141" s="23">
        <f>EXP(-LN(2)/25)*AV140+(1-EXP(-LN(2)/25))/(LN(2)/25)*Calculateur!AQ141*Calculateur!AS141*VLOOKUP('Données projet'!$B$10,Paramètres!$A$1:$I$89,3,0)*0.475*44/12</f>
        <v>0</v>
      </c>
      <c r="AW141" s="23">
        <f>EXP(-LN(2)/2)*AW140+(1-EXP(-LN(2)/2))/(LN(2)/2)*AQ141*AT141*VLOOKUP('Données projet'!$B$10,Paramètres!$A$1:$I$89,3,0)*0.475*44/12</f>
        <v>0</v>
      </c>
      <c r="AX141" s="23">
        <f t="shared" si="114"/>
        <v>0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5.6843418860808015E-14</v>
      </c>
      <c r="BE141" s="14">
        <f>BD141*VLOOKUP('Données projet'!$B$11,Paramètres!$A$1:$I$89,3,0)*VLOOKUP('Données projet'!$B$11,Paramètres!$A$1:$I$89,5,0)</f>
        <v>2.6602720026858149E-14</v>
      </c>
      <c r="BF141" s="14">
        <f t="shared" si="145"/>
        <v>4.6624771586320878E-13</v>
      </c>
      <c r="BG141" s="22">
        <f t="shared" si="115"/>
        <v>8.583811758418665E-13</v>
      </c>
      <c r="BH141" s="62">
        <f t="shared" si="116"/>
        <v>293.33333333333417</v>
      </c>
      <c r="BI141" s="62">
        <f ca="1">AVERAGE(OFFSET($BH$3,0,0,'Données projet'!$E$11+1,1))-AVERAGE(OFFSET($H$3,0,0,'Données projet'!$E$11+1,1))</f>
        <v>152.72674713084456</v>
      </c>
      <c r="BJ141" s="62">
        <f t="shared" si="146"/>
        <v>203.90215120562164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1.8102109383991922</v>
      </c>
      <c r="BQ141" s="23">
        <f>EXP(-LN(2)/25)*BQ140+(1-EXP(-LN(2)/25))/(LN(2)/25)*Calculateur!BL141*Calculateur!BN141*VLOOKUP('Données projet'!$B$11,Paramètres!$A$1:$I$89,3,0)*0.475*44/12</f>
        <v>0</v>
      </c>
      <c r="BR141" s="23">
        <f>EXP(-LN(2)/2)*BR140+(1-EXP(-LN(2)/2))/(LN(2)/2)*BL141*BO141*VLOOKUP('Données projet'!$B$11,Paramètres!$A$1:$I$89,3,0)*0.475*44/12</f>
        <v>8.6119661025981123E-16</v>
      </c>
      <c r="BS141" s="24">
        <f t="shared" si="117"/>
        <v>1.8102109383991931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3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38.810023199999925</v>
      </c>
      <c r="D142" s="12">
        <f t="shared" si="140"/>
        <v>11.682691187404673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122.38725297831263</v>
      </c>
      <c r="H142" s="70">
        <f t="shared" si="110"/>
        <v>344.6081442247297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0</v>
      </c>
      <c r="O142" s="14">
        <f>N142*VLOOKUP('Données projet'!$B$9,Paramètres!$A$1:$I$89,3,0)*VLOOKUP('Données projet'!$B$9,Paramètres!$A$1:$I$89,5,0)</f>
        <v>0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327.25473597900725</v>
      </c>
      <c r="T142" s="62">
        <f t="shared" si="142"/>
        <v>211.5313580973322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0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0</v>
      </c>
      <c r="AC142" s="24">
        <f t="shared" si="111"/>
        <v>0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>
        <f>AI142*VLOOKUP('Données projet'!$B$10,Paramètres!$A$1:$I$89,3,0)*VLOOKUP('Données projet'!$B$10,Paramètres!$A$1:$I$89,5,0)</f>
        <v>0</v>
      </c>
      <c r="AK142" s="14" t="e">
        <f t="shared" si="143"/>
        <v>#NUM!</v>
      </c>
      <c r="AL142" s="22" t="e">
        <f t="shared" si="112"/>
        <v>#NUM!</v>
      </c>
      <c r="AM142" s="62" t="e">
        <f t="shared" si="113"/>
        <v>#NUM!</v>
      </c>
      <c r="AN142" s="62">
        <f ca="1">AVERAGE(OFFSET($AM$3,0,0,'Données projet'!$E$10+1,1))-AVERAGE(OFFSET($H$3,0,0,'Données projet'!$E$10+1,1))</f>
        <v>366.41072413829329</v>
      </c>
      <c r="AO142" s="62">
        <f t="shared" si="144"/>
        <v>234.41212418619125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0</v>
      </c>
      <c r="AV142" s="23">
        <f>EXP(-LN(2)/25)*AV141+(1-EXP(-LN(2)/25))/(LN(2)/25)*Calculateur!AQ142*Calculateur!AS142*VLOOKUP('Données projet'!$B$10,Paramètres!$A$1:$I$89,3,0)*0.475*44/12</f>
        <v>0</v>
      </c>
      <c r="AW142" s="23">
        <f>EXP(-LN(2)/2)*AW141+(1-EXP(-LN(2)/2))/(LN(2)/2)*AQ142*AT142*VLOOKUP('Données projet'!$B$10,Paramètres!$A$1:$I$89,3,0)*0.475*44/12</f>
        <v>0</v>
      </c>
      <c r="AX142" s="23">
        <f t="shared" si="114"/>
        <v>0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5.6843418860808015E-14</v>
      </c>
      <c r="BE142" s="14">
        <f>BD142*VLOOKUP('Données projet'!$B$11,Paramètres!$A$1:$I$89,3,0)*VLOOKUP('Données projet'!$B$11,Paramètres!$A$1:$I$89,5,0)</f>
        <v>2.6602720026858149E-14</v>
      </c>
      <c r="BF142" s="14">
        <f t="shared" si="145"/>
        <v>4.6624771586320878E-13</v>
      </c>
      <c r="BG142" s="22">
        <f t="shared" si="115"/>
        <v>8.583811758418665E-13</v>
      </c>
      <c r="BH142" s="62">
        <f t="shared" si="116"/>
        <v>293.33333333333417</v>
      </c>
      <c r="BI142" s="62">
        <f ca="1">AVERAGE(OFFSET($BH$3,0,0,'Données projet'!$E$11+1,1))-AVERAGE(OFFSET($H$3,0,0,'Données projet'!$E$11+1,1))</f>
        <v>152.72674713084456</v>
      </c>
      <c r="BJ142" s="62">
        <f t="shared" si="146"/>
        <v>203.90215120562164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1.7747138060168337</v>
      </c>
      <c r="BQ142" s="23">
        <f>EXP(-LN(2)/25)*BQ141+(1-EXP(-LN(2)/25))/(LN(2)/25)*Calculateur!BL142*Calculateur!BN142*VLOOKUP('Données projet'!$B$11,Paramètres!$A$1:$I$89,3,0)*0.475*44/12</f>
        <v>0</v>
      </c>
      <c r="BR142" s="23">
        <f>EXP(-LN(2)/2)*BR141+(1-EXP(-LN(2)/2))/(LN(2)/2)*BL142*BO142*VLOOKUP('Données projet'!$B$11,Paramètres!$A$1:$I$89,3,0)*0.475*44/12</f>
        <v>6.0895796304958087E-16</v>
      </c>
      <c r="BS142" s="24">
        <f t="shared" si="117"/>
        <v>1.7747138060168344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3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39.089231999999924</v>
      </c>
      <c r="D143" s="12">
        <f t="shared" si="140"/>
        <v>11.756925110006547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123.24394853190343</v>
      </c>
      <c r="H143" s="70">
        <f t="shared" si="110"/>
        <v>345.22372363326127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0</v>
      </c>
      <c r="O143" s="14">
        <f>N143*VLOOKUP('Données projet'!$B$9,Paramètres!$A$1:$I$89,3,0)*VLOOKUP('Données projet'!$B$9,Paramètres!$A$1:$I$89,5,0)</f>
        <v>0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327.25473597900725</v>
      </c>
      <c r="T143" s="62">
        <f t="shared" si="142"/>
        <v>211.5313580973322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0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0</v>
      </c>
      <c r="AC143" s="24">
        <f t="shared" si="111"/>
        <v>0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>
        <f>AI143*VLOOKUP('Données projet'!$B$10,Paramètres!$A$1:$I$89,3,0)*VLOOKUP('Données projet'!$B$10,Paramètres!$A$1:$I$89,5,0)</f>
        <v>0</v>
      </c>
      <c r="AK143" s="14" t="e">
        <f t="shared" si="143"/>
        <v>#NUM!</v>
      </c>
      <c r="AL143" s="22" t="e">
        <f t="shared" si="112"/>
        <v>#NUM!</v>
      </c>
      <c r="AM143" s="62" t="e">
        <f t="shared" si="113"/>
        <v>#NUM!</v>
      </c>
      <c r="AN143" s="62">
        <f ca="1">AVERAGE(OFFSET($AM$3,0,0,'Données projet'!$E$10+1,1))-AVERAGE(OFFSET($H$3,0,0,'Données projet'!$E$10+1,1))</f>
        <v>366.41072413829329</v>
      </c>
      <c r="AO143" s="62">
        <f t="shared" si="144"/>
        <v>234.41212418619125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0</v>
      </c>
      <c r="AV143" s="23">
        <f>EXP(-LN(2)/25)*AV142+(1-EXP(-LN(2)/25))/(LN(2)/25)*Calculateur!AQ143*Calculateur!AS143*VLOOKUP('Données projet'!$B$10,Paramètres!$A$1:$I$89,3,0)*0.475*44/12</f>
        <v>0</v>
      </c>
      <c r="AW143" s="23">
        <f>EXP(-LN(2)/2)*AW142+(1-EXP(-LN(2)/2))/(LN(2)/2)*AQ143*AT143*VLOOKUP('Données projet'!$B$10,Paramètres!$A$1:$I$89,3,0)*0.475*44/12</f>
        <v>0</v>
      </c>
      <c r="AX143" s="23">
        <f t="shared" si="114"/>
        <v>0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5.6843418860808015E-14</v>
      </c>
      <c r="BE143" s="14">
        <f>BD143*VLOOKUP('Données projet'!$B$11,Paramètres!$A$1:$I$89,3,0)*VLOOKUP('Données projet'!$B$11,Paramètres!$A$1:$I$89,5,0)</f>
        <v>2.6602720026858149E-14</v>
      </c>
      <c r="BF143" s="14">
        <f t="shared" si="145"/>
        <v>4.6624771586320878E-13</v>
      </c>
      <c r="BG143" s="22">
        <f t="shared" si="115"/>
        <v>8.583811758418665E-13</v>
      </c>
      <c r="BH143" s="62">
        <f t="shared" si="116"/>
        <v>293.33333333333417</v>
      </c>
      <c r="BI143" s="62">
        <f ca="1">AVERAGE(OFFSET($BH$3,0,0,'Données projet'!$E$11+1,1))-AVERAGE(OFFSET($H$3,0,0,'Données projet'!$E$11+1,1))</f>
        <v>152.72674713084456</v>
      </c>
      <c r="BJ143" s="62">
        <f t="shared" si="146"/>
        <v>203.90215120562164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1.7399127507493803</v>
      </c>
      <c r="BQ143" s="23">
        <f>EXP(-LN(2)/25)*BQ142+(1-EXP(-LN(2)/25))/(LN(2)/25)*Calculateur!BL143*Calculateur!BN143*VLOOKUP('Données projet'!$B$11,Paramètres!$A$1:$I$89,3,0)*0.475*44/12</f>
        <v>0</v>
      </c>
      <c r="BR143" s="23">
        <f>EXP(-LN(2)/2)*BR142+(1-EXP(-LN(2)/2))/(LN(2)/2)*BL143*BO143*VLOOKUP('Données projet'!$B$11,Paramètres!$A$1:$I$89,3,0)*0.475*44/12</f>
        <v>4.3059830512990571E-16</v>
      </c>
      <c r="BS143" s="24">
        <f t="shared" si="117"/>
        <v>1.7399127507493808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3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39.368440799999924</v>
      </c>
      <c r="D144" s="12">
        <f t="shared" si="140"/>
        <v>11.831097337500143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124.10049454521068</v>
      </c>
      <c r="H144" s="70">
        <f t="shared" si="110"/>
        <v>345.83919558947929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0</v>
      </c>
      <c r="O144" s="14">
        <f>N144*VLOOKUP('Données projet'!$B$9,Paramètres!$A$1:$I$89,3,0)*VLOOKUP('Données projet'!$B$9,Paramètres!$A$1:$I$89,5,0)</f>
        <v>0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327.25473597900725</v>
      </c>
      <c r="T144" s="62">
        <f t="shared" si="142"/>
        <v>211.5313580973322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0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0</v>
      </c>
      <c r="AC144" s="24">
        <f t="shared" si="111"/>
        <v>0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>
        <f>AI144*VLOOKUP('Données projet'!$B$10,Paramètres!$A$1:$I$89,3,0)*VLOOKUP('Données projet'!$B$10,Paramètres!$A$1:$I$89,5,0)</f>
        <v>0</v>
      </c>
      <c r="AK144" s="14" t="e">
        <f t="shared" si="143"/>
        <v>#NUM!</v>
      </c>
      <c r="AL144" s="22" t="e">
        <f t="shared" si="112"/>
        <v>#NUM!</v>
      </c>
      <c r="AM144" s="62" t="e">
        <f t="shared" si="113"/>
        <v>#NUM!</v>
      </c>
      <c r="AN144" s="62">
        <f ca="1">AVERAGE(OFFSET($AM$3,0,0,'Données projet'!$E$10+1,1))-AVERAGE(OFFSET($H$3,0,0,'Données projet'!$E$10+1,1))</f>
        <v>366.41072413829329</v>
      </c>
      <c r="AO144" s="62">
        <f t="shared" si="144"/>
        <v>234.41212418619125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0</v>
      </c>
      <c r="AV144" s="23">
        <f>EXP(-LN(2)/25)*AV143+(1-EXP(-LN(2)/25))/(LN(2)/25)*Calculateur!AQ144*Calculateur!AS144*VLOOKUP('Données projet'!$B$10,Paramètres!$A$1:$I$89,3,0)*0.475*44/12</f>
        <v>0</v>
      </c>
      <c r="AW144" s="23">
        <f>EXP(-LN(2)/2)*AW143+(1-EXP(-LN(2)/2))/(LN(2)/2)*AQ144*AT144*VLOOKUP('Données projet'!$B$10,Paramètres!$A$1:$I$89,3,0)*0.475*44/12</f>
        <v>0</v>
      </c>
      <c r="AX144" s="23">
        <f t="shared" si="114"/>
        <v>0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5.6843418860808015E-14</v>
      </c>
      <c r="BE144" s="14">
        <f>BD144*VLOOKUP('Données projet'!$B$11,Paramètres!$A$1:$I$89,3,0)*VLOOKUP('Données projet'!$B$11,Paramètres!$A$1:$I$89,5,0)</f>
        <v>2.6602720026858149E-14</v>
      </c>
      <c r="BF144" s="14">
        <f t="shared" si="145"/>
        <v>4.6624771586320878E-13</v>
      </c>
      <c r="BG144" s="22">
        <f t="shared" si="115"/>
        <v>8.583811758418665E-13</v>
      </c>
      <c r="BH144" s="62">
        <f t="shared" si="116"/>
        <v>293.33333333333417</v>
      </c>
      <c r="BI144" s="62">
        <f ca="1">AVERAGE(OFFSET($BH$3,0,0,'Données projet'!$E$11+1,1))-AVERAGE(OFFSET($H$3,0,0,'Données projet'!$E$11+1,1))</f>
        <v>152.72674713084456</v>
      </c>
      <c r="BJ144" s="62">
        <f t="shared" si="146"/>
        <v>203.90215120562164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1.705794122949174</v>
      </c>
      <c r="BQ144" s="23">
        <f>EXP(-LN(2)/25)*BQ143+(1-EXP(-LN(2)/25))/(LN(2)/25)*Calculateur!BL144*Calculateur!BN144*VLOOKUP('Données projet'!$B$11,Paramètres!$A$1:$I$89,3,0)*0.475*44/12</f>
        <v>0</v>
      </c>
      <c r="BR144" s="23">
        <f>EXP(-LN(2)/2)*BR143+(1-EXP(-LN(2)/2))/(LN(2)/2)*BL144*BO144*VLOOKUP('Données projet'!$B$11,Paramètres!$A$1:$I$89,3,0)*0.475*44/12</f>
        <v>3.0447898152479048E-16</v>
      </c>
      <c r="BS144" s="24">
        <f t="shared" si="117"/>
        <v>1.7057941229491742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3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39.647649599999923</v>
      </c>
      <c r="D145" s="12">
        <f t="shared" si="140"/>
        <v>11.905208358177324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124.95689220178541</v>
      </c>
      <c r="H145" s="70">
        <f t="shared" si="110"/>
        <v>346.45456094382541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0</v>
      </c>
      <c r="O145" s="14">
        <f>N145*VLOOKUP('Données projet'!$B$9,Paramètres!$A$1:$I$89,3,0)*VLOOKUP('Données projet'!$B$9,Paramètres!$A$1:$I$89,5,0)</f>
        <v>0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327.25473597900725</v>
      </c>
      <c r="T145" s="62">
        <f t="shared" si="142"/>
        <v>211.5313580973322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0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0</v>
      </c>
      <c r="AC145" s="24">
        <f t="shared" si="111"/>
        <v>0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>
        <f>AI145*VLOOKUP('Données projet'!$B$10,Paramètres!$A$1:$I$89,3,0)*VLOOKUP('Données projet'!$B$10,Paramètres!$A$1:$I$89,5,0)</f>
        <v>0</v>
      </c>
      <c r="AK145" s="14" t="e">
        <f t="shared" si="143"/>
        <v>#NUM!</v>
      </c>
      <c r="AL145" s="22" t="e">
        <f t="shared" si="112"/>
        <v>#NUM!</v>
      </c>
      <c r="AM145" s="62" t="e">
        <f t="shared" si="113"/>
        <v>#NUM!</v>
      </c>
      <c r="AN145" s="62">
        <f ca="1">AVERAGE(OFFSET($AM$3,0,0,'Données projet'!$E$10+1,1))-AVERAGE(OFFSET($H$3,0,0,'Données projet'!$E$10+1,1))</f>
        <v>366.41072413829329</v>
      </c>
      <c r="AO145" s="62">
        <f t="shared" si="144"/>
        <v>234.41212418619125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0</v>
      </c>
      <c r="AV145" s="23">
        <f>EXP(-LN(2)/25)*AV144+(1-EXP(-LN(2)/25))/(LN(2)/25)*Calculateur!AQ145*Calculateur!AS145*VLOOKUP('Données projet'!$B$10,Paramètres!$A$1:$I$89,3,0)*0.475*44/12</f>
        <v>0</v>
      </c>
      <c r="AW145" s="23">
        <f>EXP(-LN(2)/2)*AW144+(1-EXP(-LN(2)/2))/(LN(2)/2)*AQ145*AT145*VLOOKUP('Données projet'!$B$10,Paramètres!$A$1:$I$89,3,0)*0.475*44/12</f>
        <v>0</v>
      </c>
      <c r="AX145" s="23">
        <f t="shared" si="114"/>
        <v>0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5.6843418860808015E-14</v>
      </c>
      <c r="BE145" s="14">
        <f>BD145*VLOOKUP('Données projet'!$B$11,Paramètres!$A$1:$I$89,3,0)*VLOOKUP('Données projet'!$B$11,Paramètres!$A$1:$I$89,5,0)</f>
        <v>2.6602720026858149E-14</v>
      </c>
      <c r="BF145" s="14">
        <f t="shared" si="145"/>
        <v>4.6624771586320878E-13</v>
      </c>
      <c r="BG145" s="22">
        <f t="shared" si="115"/>
        <v>8.583811758418665E-13</v>
      </c>
      <c r="BH145" s="62">
        <f t="shared" si="116"/>
        <v>293.33333333333417</v>
      </c>
      <c r="BI145" s="62">
        <f ca="1">AVERAGE(OFFSET($BH$3,0,0,'Données projet'!$E$11+1,1))-AVERAGE(OFFSET($H$3,0,0,'Données projet'!$E$11+1,1))</f>
        <v>152.72674713084456</v>
      </c>
      <c r="BJ145" s="62">
        <f t="shared" si="146"/>
        <v>203.90215120562164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1.6723445406298216</v>
      </c>
      <c r="BQ145" s="23">
        <f>EXP(-LN(2)/25)*BQ144+(1-EXP(-LN(2)/25))/(LN(2)/25)*Calculateur!BL145*Calculateur!BN145*VLOOKUP('Données projet'!$B$11,Paramètres!$A$1:$I$89,3,0)*0.475*44/12</f>
        <v>0</v>
      </c>
      <c r="BR145" s="23">
        <f>EXP(-LN(2)/2)*BR144+(1-EXP(-LN(2)/2))/(LN(2)/2)*BL145*BO145*VLOOKUP('Données projet'!$B$11,Paramètres!$A$1:$I$89,3,0)*0.475*44/12</f>
        <v>2.1529915256495288E-16</v>
      </c>
      <c r="BS145" s="24">
        <f t="shared" si="117"/>
        <v>1.6723445406298219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3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39.926858399999922</v>
      </c>
      <c r="D146" s="12">
        <f t="shared" si="140"/>
        <v>11.979258653055172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125.81314266754548</v>
      </c>
      <c r="H146" s="70">
        <f t="shared" si="110"/>
        <v>347.06982053407097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0</v>
      </c>
      <c r="O146" s="14">
        <f>N146*VLOOKUP('Données projet'!$B$9,Paramètres!$A$1:$I$89,3,0)*VLOOKUP('Données projet'!$B$9,Paramètres!$A$1:$I$89,5,0)</f>
        <v>0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327.25473597900725</v>
      </c>
      <c r="T146" s="62">
        <f t="shared" si="142"/>
        <v>211.5313580973322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0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0</v>
      </c>
      <c r="AC146" s="24">
        <f t="shared" si="111"/>
        <v>0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>
        <f>AI146*VLOOKUP('Données projet'!$B$10,Paramètres!$A$1:$I$89,3,0)*VLOOKUP('Données projet'!$B$10,Paramètres!$A$1:$I$89,5,0)</f>
        <v>0</v>
      </c>
      <c r="AK146" s="14" t="e">
        <f t="shared" si="143"/>
        <v>#NUM!</v>
      </c>
      <c r="AL146" s="22" t="e">
        <f t="shared" si="112"/>
        <v>#NUM!</v>
      </c>
      <c r="AM146" s="62" t="e">
        <f t="shared" si="113"/>
        <v>#NUM!</v>
      </c>
      <c r="AN146" s="62">
        <f ca="1">AVERAGE(OFFSET($AM$3,0,0,'Données projet'!$E$10+1,1))-AVERAGE(OFFSET($H$3,0,0,'Données projet'!$E$10+1,1))</f>
        <v>366.41072413829329</v>
      </c>
      <c r="AO146" s="62">
        <f t="shared" si="144"/>
        <v>234.41212418619125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0</v>
      </c>
      <c r="AV146" s="23">
        <f>EXP(-LN(2)/25)*AV145+(1-EXP(-LN(2)/25))/(LN(2)/25)*Calculateur!AQ146*Calculateur!AS146*VLOOKUP('Données projet'!$B$10,Paramètres!$A$1:$I$89,3,0)*0.475*44/12</f>
        <v>0</v>
      </c>
      <c r="AW146" s="23">
        <f>EXP(-LN(2)/2)*AW145+(1-EXP(-LN(2)/2))/(LN(2)/2)*AQ146*AT146*VLOOKUP('Données projet'!$B$10,Paramètres!$A$1:$I$89,3,0)*0.475*44/12</f>
        <v>0</v>
      </c>
      <c r="AX146" s="23">
        <f t="shared" si="114"/>
        <v>0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5.6843418860808015E-14</v>
      </c>
      <c r="BE146" s="14">
        <f>BD146*VLOOKUP('Données projet'!$B$11,Paramètres!$A$1:$I$89,3,0)*VLOOKUP('Données projet'!$B$11,Paramètres!$A$1:$I$89,5,0)</f>
        <v>2.6602720026858149E-14</v>
      </c>
      <c r="BF146" s="14">
        <f t="shared" si="145"/>
        <v>4.6624771586320878E-13</v>
      </c>
      <c r="BG146" s="22">
        <f t="shared" si="115"/>
        <v>8.583811758418665E-13</v>
      </c>
      <c r="BH146" s="62">
        <f t="shared" si="116"/>
        <v>293.33333333333417</v>
      </c>
      <c r="BI146" s="62">
        <f ca="1">AVERAGE(OFFSET($BH$3,0,0,'Données projet'!$E$11+1,1))-AVERAGE(OFFSET($H$3,0,0,'Données projet'!$E$11+1,1))</f>
        <v>152.72674713084456</v>
      </c>
      <c r="BJ146" s="62">
        <f t="shared" si="146"/>
        <v>203.90215120562164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1.639550884217521</v>
      </c>
      <c r="BQ146" s="23">
        <f>EXP(-LN(2)/25)*BQ145+(1-EXP(-LN(2)/25))/(LN(2)/25)*Calculateur!BL146*Calculateur!BN146*VLOOKUP('Données projet'!$B$11,Paramètres!$A$1:$I$89,3,0)*0.475*44/12</f>
        <v>0</v>
      </c>
      <c r="BR146" s="23">
        <f>EXP(-LN(2)/2)*BR145+(1-EXP(-LN(2)/2))/(LN(2)/2)*BL146*BO146*VLOOKUP('Données projet'!$B$11,Paramètres!$A$1:$I$89,3,0)*0.475*44/12</f>
        <v>1.5223949076239527E-16</v>
      </c>
      <c r="BS146" s="24">
        <f t="shared" si="117"/>
        <v>1.6395508842175213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3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40.206067199999922</v>
      </c>
      <c r="D147" s="12">
        <f t="shared" si="140"/>
        <v>12.053248696034418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126.66924709115972</v>
      </c>
      <c r="H147" s="70">
        <f t="shared" si="110"/>
        <v>347.68497518559315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0</v>
      </c>
      <c r="O147" s="14">
        <f>N147*VLOOKUP('Données projet'!$B$9,Paramètres!$A$1:$I$89,3,0)*VLOOKUP('Données projet'!$B$9,Paramètres!$A$1:$I$89,5,0)</f>
        <v>0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327.25473597900725</v>
      </c>
      <c r="T147" s="62">
        <f t="shared" si="142"/>
        <v>211.5313580973322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0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0</v>
      </c>
      <c r="AC147" s="24">
        <f t="shared" si="111"/>
        <v>0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>
        <f>AI147*VLOOKUP('Données projet'!$B$10,Paramètres!$A$1:$I$89,3,0)*VLOOKUP('Données projet'!$B$10,Paramètres!$A$1:$I$89,5,0)</f>
        <v>0</v>
      </c>
      <c r="AK147" s="14" t="e">
        <f t="shared" si="143"/>
        <v>#NUM!</v>
      </c>
      <c r="AL147" s="22" t="e">
        <f t="shared" si="112"/>
        <v>#NUM!</v>
      </c>
      <c r="AM147" s="62" t="e">
        <f t="shared" si="113"/>
        <v>#NUM!</v>
      </c>
      <c r="AN147" s="62">
        <f ca="1">AVERAGE(OFFSET($AM$3,0,0,'Données projet'!$E$10+1,1))-AVERAGE(OFFSET($H$3,0,0,'Données projet'!$E$10+1,1))</f>
        <v>366.41072413829329</v>
      </c>
      <c r="AO147" s="62">
        <f t="shared" si="144"/>
        <v>234.41212418619125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0</v>
      </c>
      <c r="AV147" s="23">
        <f>EXP(-LN(2)/25)*AV146+(1-EXP(-LN(2)/25))/(LN(2)/25)*Calculateur!AQ147*Calculateur!AS147*VLOOKUP('Données projet'!$B$10,Paramètres!$A$1:$I$89,3,0)*0.475*44/12</f>
        <v>0</v>
      </c>
      <c r="AW147" s="23">
        <f>EXP(-LN(2)/2)*AW146+(1-EXP(-LN(2)/2))/(LN(2)/2)*AQ147*AT147*VLOOKUP('Données projet'!$B$10,Paramètres!$A$1:$I$89,3,0)*0.475*44/12</f>
        <v>0</v>
      </c>
      <c r="AX147" s="23">
        <f t="shared" si="114"/>
        <v>0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5.6843418860808015E-14</v>
      </c>
      <c r="BE147" s="14">
        <f>BD147*VLOOKUP('Données projet'!$B$11,Paramètres!$A$1:$I$89,3,0)*VLOOKUP('Données projet'!$B$11,Paramètres!$A$1:$I$89,5,0)</f>
        <v>2.6602720026858149E-14</v>
      </c>
      <c r="BF147" s="14">
        <f t="shared" si="145"/>
        <v>4.6624771586320878E-13</v>
      </c>
      <c r="BG147" s="22">
        <f t="shared" si="115"/>
        <v>8.583811758418665E-13</v>
      </c>
      <c r="BH147" s="62">
        <f t="shared" si="116"/>
        <v>293.33333333333417</v>
      </c>
      <c r="BI147" s="62">
        <f ca="1">AVERAGE(OFFSET($BH$3,0,0,'Données projet'!$E$11+1,1))-AVERAGE(OFFSET($H$3,0,0,'Données projet'!$E$11+1,1))</f>
        <v>152.72674713084456</v>
      </c>
      <c r="BJ147" s="62">
        <f t="shared" si="146"/>
        <v>203.90215120562164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1.6074002914053103</v>
      </c>
      <c r="BQ147" s="23">
        <f>EXP(-LN(2)/25)*BQ146+(1-EXP(-LN(2)/25))/(LN(2)/25)*Calculateur!BL147*Calculateur!BN147*VLOOKUP('Données projet'!$B$11,Paramètres!$A$1:$I$89,3,0)*0.475*44/12</f>
        <v>0</v>
      </c>
      <c r="BR147" s="23">
        <f>EXP(-LN(2)/2)*BR146+(1-EXP(-LN(2)/2))/(LN(2)/2)*BL147*BO147*VLOOKUP('Données projet'!$B$11,Paramètres!$A$1:$I$89,3,0)*0.475*44/12</f>
        <v>1.0764957628247647E-16</v>
      </c>
      <c r="BS147" s="24">
        <f t="shared" si="117"/>
        <v>1.6074002914053103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3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40.485275999999921</v>
      </c>
      <c r="D148" s="12">
        <f t="shared" si="140"/>
        <v>12.127178954053445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127.52520660442129</v>
      </c>
      <c r="H148" s="70">
        <f t="shared" si="110"/>
        <v>348.30002571164295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0</v>
      </c>
      <c r="O148" s="14">
        <f>N148*VLOOKUP('Données projet'!$B$9,Paramètres!$A$1:$I$89,3,0)*VLOOKUP('Données projet'!$B$9,Paramètres!$A$1:$I$89,5,0)</f>
        <v>0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327.25473597900725</v>
      </c>
      <c r="T148" s="62">
        <f t="shared" si="142"/>
        <v>211.5313580973322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0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0</v>
      </c>
      <c r="AC148" s="24">
        <f t="shared" si="111"/>
        <v>0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>
        <f>AI148*VLOOKUP('Données projet'!$B$10,Paramètres!$A$1:$I$89,3,0)*VLOOKUP('Données projet'!$B$10,Paramètres!$A$1:$I$89,5,0)</f>
        <v>0</v>
      </c>
      <c r="AK148" s="14" t="e">
        <f t="shared" si="143"/>
        <v>#NUM!</v>
      </c>
      <c r="AL148" s="22" t="e">
        <f t="shared" si="112"/>
        <v>#NUM!</v>
      </c>
      <c r="AM148" s="62" t="e">
        <f t="shared" si="113"/>
        <v>#NUM!</v>
      </c>
      <c r="AN148" s="62">
        <f ca="1">AVERAGE(OFFSET($AM$3,0,0,'Données projet'!$E$10+1,1))-AVERAGE(OFFSET($H$3,0,0,'Données projet'!$E$10+1,1))</f>
        <v>366.41072413829329</v>
      </c>
      <c r="AO148" s="62">
        <f t="shared" si="144"/>
        <v>234.41212418619125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0</v>
      </c>
      <c r="AV148" s="23">
        <f>EXP(-LN(2)/25)*AV147+(1-EXP(-LN(2)/25))/(LN(2)/25)*Calculateur!AQ148*Calculateur!AS148*VLOOKUP('Données projet'!$B$10,Paramètres!$A$1:$I$89,3,0)*0.475*44/12</f>
        <v>0</v>
      </c>
      <c r="AW148" s="23">
        <f>EXP(-LN(2)/2)*AW147+(1-EXP(-LN(2)/2))/(LN(2)/2)*AQ148*AT148*VLOOKUP('Données projet'!$B$10,Paramètres!$A$1:$I$89,3,0)*0.475*44/12</f>
        <v>0</v>
      </c>
      <c r="AX148" s="23">
        <f t="shared" si="114"/>
        <v>0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5.6843418860808015E-14</v>
      </c>
      <c r="BE148" s="14">
        <f>BD148*VLOOKUP('Données projet'!$B$11,Paramètres!$A$1:$I$89,3,0)*VLOOKUP('Données projet'!$B$11,Paramètres!$A$1:$I$89,5,0)</f>
        <v>2.6602720026858149E-14</v>
      </c>
      <c r="BF148" s="14">
        <f t="shared" si="145"/>
        <v>4.6624771586320878E-13</v>
      </c>
      <c r="BG148" s="22">
        <f t="shared" si="115"/>
        <v>8.583811758418665E-13</v>
      </c>
      <c r="BH148" s="62">
        <f t="shared" si="116"/>
        <v>293.33333333333417</v>
      </c>
      <c r="BI148" s="62">
        <f ca="1">AVERAGE(OFFSET($BH$3,0,0,'Données projet'!$E$11+1,1))-AVERAGE(OFFSET($H$3,0,0,'Données projet'!$E$11+1,1))</f>
        <v>152.72674713084456</v>
      </c>
      <c r="BJ148" s="62">
        <f t="shared" si="146"/>
        <v>203.90215120562164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1.5758801521082217</v>
      </c>
      <c r="BQ148" s="23">
        <f>EXP(-LN(2)/25)*BQ147+(1-EXP(-LN(2)/25))/(LN(2)/25)*Calculateur!BL148*Calculateur!BN148*VLOOKUP('Données projet'!$B$11,Paramètres!$A$1:$I$89,3,0)*0.475*44/12</f>
        <v>0</v>
      </c>
      <c r="BR148" s="23">
        <f>EXP(-LN(2)/2)*BR147+(1-EXP(-LN(2)/2))/(LN(2)/2)*BL148*BO148*VLOOKUP('Données projet'!$B$11,Paramètres!$A$1:$I$89,3,0)*0.475*44/12</f>
        <v>7.6119745381197645E-17</v>
      </c>
      <c r="BS148" s="24">
        <f t="shared" si="117"/>
        <v>1.5758801521082217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3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40.76448479999992</v>
      </c>
      <c r="D149" s="12">
        <f t="shared" si="140"/>
        <v>12.201049887237806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128.38102232260991</v>
      </c>
      <c r="H149" s="70">
        <f t="shared" si="110"/>
        <v>348.91497291360571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0</v>
      </c>
      <c r="O149" s="14">
        <f>N149*VLOOKUP('Données projet'!$B$9,Paramètres!$A$1:$I$89,3,0)*VLOOKUP('Données projet'!$B$9,Paramètres!$A$1:$I$89,5,0)</f>
        <v>0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327.25473597900725</v>
      </c>
      <c r="T149" s="62">
        <f t="shared" si="142"/>
        <v>211.5313580973322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0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0</v>
      </c>
      <c r="AC149" s="24">
        <f t="shared" si="111"/>
        <v>0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>
        <f>AI149*VLOOKUP('Données projet'!$B$10,Paramètres!$A$1:$I$89,3,0)*VLOOKUP('Données projet'!$B$10,Paramètres!$A$1:$I$89,5,0)</f>
        <v>0</v>
      </c>
      <c r="AK149" s="14" t="e">
        <f t="shared" si="143"/>
        <v>#NUM!</v>
      </c>
      <c r="AL149" s="22" t="e">
        <f t="shared" si="112"/>
        <v>#NUM!</v>
      </c>
      <c r="AM149" s="62" t="e">
        <f t="shared" si="113"/>
        <v>#NUM!</v>
      </c>
      <c r="AN149" s="62">
        <f ca="1">AVERAGE(OFFSET($AM$3,0,0,'Données projet'!$E$10+1,1))-AVERAGE(OFFSET($H$3,0,0,'Données projet'!$E$10+1,1))</f>
        <v>366.41072413829329</v>
      </c>
      <c r="AO149" s="62">
        <f t="shared" si="144"/>
        <v>234.41212418619125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0</v>
      </c>
      <c r="AV149" s="23">
        <f>EXP(-LN(2)/25)*AV148+(1-EXP(-LN(2)/25))/(LN(2)/25)*Calculateur!AQ149*Calculateur!AS149*VLOOKUP('Données projet'!$B$10,Paramètres!$A$1:$I$89,3,0)*0.475*44/12</f>
        <v>0</v>
      </c>
      <c r="AW149" s="23">
        <f>EXP(-LN(2)/2)*AW148+(1-EXP(-LN(2)/2))/(LN(2)/2)*AQ149*AT149*VLOOKUP('Données projet'!$B$10,Paramètres!$A$1:$I$89,3,0)*0.475*44/12</f>
        <v>0</v>
      </c>
      <c r="AX149" s="23">
        <f t="shared" si="114"/>
        <v>0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5.6843418860808015E-14</v>
      </c>
      <c r="BE149" s="14">
        <f>BD149*VLOOKUP('Données projet'!$B$11,Paramètres!$A$1:$I$89,3,0)*VLOOKUP('Données projet'!$B$11,Paramètres!$A$1:$I$89,5,0)</f>
        <v>2.6602720026858149E-14</v>
      </c>
      <c r="BF149" s="14">
        <f t="shared" si="145"/>
        <v>4.6624771586320878E-13</v>
      </c>
      <c r="BG149" s="22">
        <f t="shared" si="115"/>
        <v>8.583811758418665E-13</v>
      </c>
      <c r="BH149" s="62">
        <f t="shared" si="116"/>
        <v>293.33333333333417</v>
      </c>
      <c r="BI149" s="62">
        <f ca="1">AVERAGE(OFFSET($BH$3,0,0,'Données projet'!$E$11+1,1))-AVERAGE(OFFSET($H$3,0,0,'Données projet'!$E$11+1,1))</f>
        <v>152.72674713084456</v>
      </c>
      <c r="BJ149" s="62">
        <f t="shared" si="146"/>
        <v>203.90215120562164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1.5449781035173624</v>
      </c>
      <c r="BQ149" s="23">
        <f>EXP(-LN(2)/25)*BQ148+(1-EXP(-LN(2)/25))/(LN(2)/25)*Calculateur!BL149*Calculateur!BN149*VLOOKUP('Données projet'!$B$11,Paramètres!$A$1:$I$89,3,0)*0.475*44/12</f>
        <v>0</v>
      </c>
      <c r="BR149" s="23">
        <f>EXP(-LN(2)/2)*BR148+(1-EXP(-LN(2)/2))/(LN(2)/2)*BL149*BO149*VLOOKUP('Données projet'!$B$11,Paramètres!$A$1:$I$89,3,0)*0.475*44/12</f>
        <v>5.3824788141238239E-17</v>
      </c>
      <c r="BS149" s="24">
        <f t="shared" si="117"/>
        <v>1.5449781035173624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3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41.043693599999919</v>
      </c>
      <c r="D150" s="12">
        <f t="shared" si="140"/>
        <v>12.274861949045665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129.23669534484455</v>
      </c>
      <c r="H150" s="70">
        <f t="shared" si="110"/>
        <v>349.52981758125441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0</v>
      </c>
      <c r="O150" s="14">
        <f>N150*VLOOKUP('Données projet'!$B$9,Paramètres!$A$1:$I$89,3,0)*VLOOKUP('Données projet'!$B$9,Paramètres!$A$1:$I$89,5,0)</f>
        <v>0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327.25473597900725</v>
      </c>
      <c r="T150" s="62">
        <f t="shared" si="142"/>
        <v>211.5313580973322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0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0</v>
      </c>
      <c r="AC150" s="24">
        <f t="shared" si="111"/>
        <v>0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>
        <f>AI150*VLOOKUP('Données projet'!$B$10,Paramètres!$A$1:$I$89,3,0)*VLOOKUP('Données projet'!$B$10,Paramètres!$A$1:$I$89,5,0)</f>
        <v>0</v>
      </c>
      <c r="AK150" s="14" t="e">
        <f t="shared" si="143"/>
        <v>#NUM!</v>
      </c>
      <c r="AL150" s="22" t="e">
        <f t="shared" si="112"/>
        <v>#NUM!</v>
      </c>
      <c r="AM150" s="62" t="e">
        <f t="shared" si="113"/>
        <v>#NUM!</v>
      </c>
      <c r="AN150" s="62">
        <f ca="1">AVERAGE(OFFSET($AM$3,0,0,'Données projet'!$E$10+1,1))-AVERAGE(OFFSET($H$3,0,0,'Données projet'!$E$10+1,1))</f>
        <v>366.41072413829329</v>
      </c>
      <c r="AO150" s="62">
        <f t="shared" si="144"/>
        <v>234.41212418619125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0</v>
      </c>
      <c r="AV150" s="23">
        <f>EXP(-LN(2)/25)*AV149+(1-EXP(-LN(2)/25))/(LN(2)/25)*Calculateur!AQ150*Calculateur!AS150*VLOOKUP('Données projet'!$B$10,Paramètres!$A$1:$I$89,3,0)*0.475*44/12</f>
        <v>0</v>
      </c>
      <c r="AW150" s="23">
        <f>EXP(-LN(2)/2)*AW149+(1-EXP(-LN(2)/2))/(LN(2)/2)*AQ150*AT150*VLOOKUP('Données projet'!$B$10,Paramètres!$A$1:$I$89,3,0)*0.475*44/12</f>
        <v>0</v>
      </c>
      <c r="AX150" s="23">
        <f t="shared" si="114"/>
        <v>0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5.6843418860808015E-14</v>
      </c>
      <c r="BE150" s="14">
        <f>BD150*VLOOKUP('Données projet'!$B$11,Paramètres!$A$1:$I$89,3,0)*VLOOKUP('Données projet'!$B$11,Paramètres!$A$1:$I$89,5,0)</f>
        <v>2.6602720026858149E-14</v>
      </c>
      <c r="BF150" s="14">
        <f t="shared" si="145"/>
        <v>4.6624771586320878E-13</v>
      </c>
      <c r="BG150" s="22">
        <f t="shared" si="115"/>
        <v>8.583811758418665E-13</v>
      </c>
      <c r="BH150" s="62">
        <f t="shared" si="116"/>
        <v>293.33333333333417</v>
      </c>
      <c r="BI150" s="62">
        <f ca="1">AVERAGE(OFFSET($BH$3,0,0,'Données projet'!$E$11+1,1))-AVERAGE(OFFSET($H$3,0,0,'Données projet'!$E$11+1,1))</f>
        <v>152.72674713084456</v>
      </c>
      <c r="BJ150" s="62">
        <f t="shared" si="146"/>
        <v>203.90215120562164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1.5146820252509814</v>
      </c>
      <c r="BQ150" s="23">
        <f>EXP(-LN(2)/25)*BQ149+(1-EXP(-LN(2)/25))/(LN(2)/25)*Calculateur!BL150*Calculateur!BN150*VLOOKUP('Données projet'!$B$11,Paramètres!$A$1:$I$89,3,0)*0.475*44/12</f>
        <v>0</v>
      </c>
      <c r="BR150" s="23">
        <f>EXP(-LN(2)/2)*BR149+(1-EXP(-LN(2)/2))/(LN(2)/2)*BL150*BO150*VLOOKUP('Données projet'!$B$11,Paramètres!$A$1:$I$89,3,0)*0.475*44/12</f>
        <v>3.8059872690598829E-17</v>
      </c>
      <c r="BS150" s="24">
        <f t="shared" si="117"/>
        <v>1.5146820252509814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3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41.322902399999919</v>
      </c>
      <c r="D151" s="12">
        <f t="shared" si="140"/>
        <v>12.348615586409036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130.09222675442564</v>
      </c>
      <c r="H151" s="70">
        <f t="shared" si="110"/>
        <v>350.14456049299559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0</v>
      </c>
      <c r="O151" s="14">
        <f>N151*VLOOKUP('Données projet'!$B$9,Paramètres!$A$1:$I$89,3,0)*VLOOKUP('Données projet'!$B$9,Paramètres!$A$1:$I$89,5,0)</f>
        <v>0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327.25473597900725</v>
      </c>
      <c r="T151" s="62">
        <f t="shared" si="142"/>
        <v>211.5313580973322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0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0</v>
      </c>
      <c r="AC151" s="24">
        <f t="shared" si="111"/>
        <v>0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>
        <f>AI151*VLOOKUP('Données projet'!$B$10,Paramètres!$A$1:$I$89,3,0)*VLOOKUP('Données projet'!$B$10,Paramètres!$A$1:$I$89,5,0)</f>
        <v>0</v>
      </c>
      <c r="AK151" s="14" t="e">
        <f t="shared" si="143"/>
        <v>#NUM!</v>
      </c>
      <c r="AL151" s="22" t="e">
        <f t="shared" si="112"/>
        <v>#NUM!</v>
      </c>
      <c r="AM151" s="62" t="e">
        <f t="shared" si="113"/>
        <v>#NUM!</v>
      </c>
      <c r="AN151" s="62">
        <f ca="1">AVERAGE(OFFSET($AM$3,0,0,'Données projet'!$E$10+1,1))-AVERAGE(OFFSET($H$3,0,0,'Données projet'!$E$10+1,1))</f>
        <v>366.41072413829329</v>
      </c>
      <c r="AO151" s="62">
        <f t="shared" si="144"/>
        <v>234.41212418619125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0</v>
      </c>
      <c r="AV151" s="23">
        <f>EXP(-LN(2)/25)*AV150+(1-EXP(-LN(2)/25))/(LN(2)/25)*Calculateur!AQ151*Calculateur!AS151*VLOOKUP('Données projet'!$B$10,Paramètres!$A$1:$I$89,3,0)*0.475*44/12</f>
        <v>0</v>
      </c>
      <c r="AW151" s="23">
        <f>EXP(-LN(2)/2)*AW150+(1-EXP(-LN(2)/2))/(LN(2)/2)*AQ151*AT151*VLOOKUP('Données projet'!$B$10,Paramètres!$A$1:$I$89,3,0)*0.475*44/12</f>
        <v>0</v>
      </c>
      <c r="AX151" s="23">
        <f t="shared" si="114"/>
        <v>0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5.6843418860808015E-14</v>
      </c>
      <c r="BE151" s="14">
        <f>BD151*VLOOKUP('Données projet'!$B$11,Paramètres!$A$1:$I$89,3,0)*VLOOKUP('Données projet'!$B$11,Paramètres!$A$1:$I$89,5,0)</f>
        <v>2.6602720026858149E-14</v>
      </c>
      <c r="BF151" s="14">
        <f t="shared" si="145"/>
        <v>4.6624771586320878E-13</v>
      </c>
      <c r="BG151" s="22">
        <f t="shared" si="115"/>
        <v>8.583811758418665E-13</v>
      </c>
      <c r="BH151" s="62">
        <f t="shared" si="116"/>
        <v>293.33333333333417</v>
      </c>
      <c r="BI151" s="62">
        <f ca="1">AVERAGE(OFFSET($BH$3,0,0,'Données projet'!$E$11+1,1))-AVERAGE(OFFSET($H$3,0,0,'Données projet'!$E$11+1,1))</f>
        <v>152.72674713084456</v>
      </c>
      <c r="BJ151" s="62">
        <f t="shared" si="146"/>
        <v>203.90215120562164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1.484980034600621</v>
      </c>
      <c r="BQ151" s="23">
        <f>EXP(-LN(2)/25)*BQ150+(1-EXP(-LN(2)/25))/(LN(2)/25)*Calculateur!BL151*Calculateur!BN151*VLOOKUP('Données projet'!$B$11,Paramètres!$A$1:$I$89,3,0)*0.475*44/12</f>
        <v>0</v>
      </c>
      <c r="BR151" s="23">
        <f>EXP(-LN(2)/2)*BR150+(1-EXP(-LN(2)/2))/(LN(2)/2)*BL151*BO151*VLOOKUP('Données projet'!$B$11,Paramètres!$A$1:$I$89,3,0)*0.475*44/12</f>
        <v>2.6912394070619123E-17</v>
      </c>
      <c r="BS151" s="24">
        <f t="shared" si="117"/>
        <v>1.484980034600621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3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41.602111199999918</v>
      </c>
      <c r="D152" s="12">
        <f t="shared" si="140"/>
        <v>12.422311239871178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130.94761761916826</v>
      </c>
      <c r="H152" s="70">
        <f t="shared" si="110"/>
        <v>350.75920241610885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0</v>
      </c>
      <c r="O152" s="14">
        <f>N152*VLOOKUP('Données projet'!$B$9,Paramètres!$A$1:$I$89,3,0)*VLOOKUP('Données projet'!$B$9,Paramètres!$A$1:$I$89,5,0)</f>
        <v>0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327.25473597900725</v>
      </c>
      <c r="T152" s="62">
        <f t="shared" si="142"/>
        <v>211.5313580973322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0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0</v>
      </c>
      <c r="AC152" s="24">
        <f t="shared" si="111"/>
        <v>0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>
        <f>AI152*VLOOKUP('Données projet'!$B$10,Paramètres!$A$1:$I$89,3,0)*VLOOKUP('Données projet'!$B$10,Paramètres!$A$1:$I$89,5,0)</f>
        <v>0</v>
      </c>
      <c r="AK152" s="14" t="e">
        <f t="shared" si="143"/>
        <v>#NUM!</v>
      </c>
      <c r="AL152" s="22" t="e">
        <f t="shared" si="112"/>
        <v>#NUM!</v>
      </c>
      <c r="AM152" s="62" t="e">
        <f t="shared" si="113"/>
        <v>#NUM!</v>
      </c>
      <c r="AN152" s="62">
        <f ca="1">AVERAGE(OFFSET($AM$3,0,0,'Données projet'!$E$10+1,1))-AVERAGE(OFFSET($H$3,0,0,'Données projet'!$E$10+1,1))</f>
        <v>366.41072413829329</v>
      </c>
      <c r="AO152" s="62">
        <f t="shared" si="144"/>
        <v>234.41212418619125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0</v>
      </c>
      <c r="AV152" s="23">
        <f>EXP(-LN(2)/25)*AV151+(1-EXP(-LN(2)/25))/(LN(2)/25)*Calculateur!AQ152*Calculateur!AS152*VLOOKUP('Données projet'!$B$10,Paramètres!$A$1:$I$89,3,0)*0.475*44/12</f>
        <v>0</v>
      </c>
      <c r="AW152" s="23">
        <f>EXP(-LN(2)/2)*AW151+(1-EXP(-LN(2)/2))/(LN(2)/2)*AQ152*AT152*VLOOKUP('Données projet'!$B$10,Paramètres!$A$1:$I$89,3,0)*0.475*44/12</f>
        <v>0</v>
      </c>
      <c r="AX152" s="23">
        <f t="shared" si="114"/>
        <v>0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5.6843418860808015E-14</v>
      </c>
      <c r="BE152" s="14">
        <f>BD152*VLOOKUP('Données projet'!$B$11,Paramètres!$A$1:$I$89,3,0)*VLOOKUP('Données projet'!$B$11,Paramètres!$A$1:$I$89,5,0)</f>
        <v>2.6602720026858149E-14</v>
      </c>
      <c r="BF152" s="14">
        <f t="shared" si="145"/>
        <v>4.6624771586320878E-13</v>
      </c>
      <c r="BG152" s="22">
        <f t="shared" si="115"/>
        <v>8.583811758418665E-13</v>
      </c>
      <c r="BH152" s="62">
        <f t="shared" si="116"/>
        <v>293.33333333333417</v>
      </c>
      <c r="BI152" s="62">
        <f ca="1">AVERAGE(OFFSET($BH$3,0,0,'Données projet'!$E$11+1,1))-AVERAGE(OFFSET($H$3,0,0,'Données projet'!$E$11+1,1))</f>
        <v>152.72674713084456</v>
      </c>
      <c r="BJ152" s="62">
        <f t="shared" si="146"/>
        <v>203.90215120562164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1.4558604818704888</v>
      </c>
      <c r="BQ152" s="23">
        <f>EXP(-LN(2)/25)*BQ151+(1-EXP(-LN(2)/25))/(LN(2)/25)*Calculateur!BL152*Calculateur!BN152*VLOOKUP('Données projet'!$B$11,Paramètres!$A$1:$I$89,3,0)*0.475*44/12</f>
        <v>0</v>
      </c>
      <c r="BR152" s="23">
        <f>EXP(-LN(2)/2)*BR151+(1-EXP(-LN(2)/2))/(LN(2)/2)*BL152*BO152*VLOOKUP('Données projet'!$B$11,Paramètres!$A$1:$I$89,3,0)*0.475*44/12</f>
        <v>1.9029936345299417E-17</v>
      </c>
      <c r="BS152" s="24">
        <f t="shared" si="117"/>
        <v>1.4558604818704888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3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41.881319999999917</v>
      </c>
      <c r="D153" s="12">
        <f t="shared" si="140"/>
        <v>12.495949343720165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131.80286899172575</v>
      </c>
      <c r="H153" s="70">
        <f t="shared" si="110"/>
        <v>351.37374410697913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0</v>
      </c>
      <c r="O153" s="14">
        <f>N153*VLOOKUP('Données projet'!$B$9,Paramètres!$A$1:$I$89,3,0)*VLOOKUP('Données projet'!$B$9,Paramètres!$A$1:$I$89,5,0)</f>
        <v>0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327.25473597900725</v>
      </c>
      <c r="T153" s="62">
        <f t="shared" si="142"/>
        <v>211.5313580973322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0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0</v>
      </c>
      <c r="AC153" s="24">
        <f t="shared" si="111"/>
        <v>0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>
        <f>AI153*VLOOKUP('Données projet'!$B$10,Paramètres!$A$1:$I$89,3,0)*VLOOKUP('Données projet'!$B$10,Paramètres!$A$1:$I$89,5,0)</f>
        <v>0</v>
      </c>
      <c r="AK153" s="14" t="e">
        <f t="shared" si="143"/>
        <v>#NUM!</v>
      </c>
      <c r="AL153" s="22" t="e">
        <f t="shared" si="112"/>
        <v>#NUM!</v>
      </c>
      <c r="AM153" s="62" t="e">
        <f t="shared" si="113"/>
        <v>#NUM!</v>
      </c>
      <c r="AN153" s="62">
        <f ca="1">AVERAGE(OFFSET($AM$3,0,0,'Données projet'!$E$10+1,1))-AVERAGE(OFFSET($H$3,0,0,'Données projet'!$E$10+1,1))</f>
        <v>366.41072413829329</v>
      </c>
      <c r="AO153" s="62">
        <f t="shared" si="144"/>
        <v>234.41212418619125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0</v>
      </c>
      <c r="AV153" s="23">
        <f>EXP(-LN(2)/25)*AV152+(1-EXP(-LN(2)/25))/(LN(2)/25)*Calculateur!AQ153*Calculateur!AS153*VLOOKUP('Données projet'!$B$10,Paramètres!$A$1:$I$89,3,0)*0.475*44/12</f>
        <v>0</v>
      </c>
      <c r="AW153" s="23">
        <f>EXP(-LN(2)/2)*AW152+(1-EXP(-LN(2)/2))/(LN(2)/2)*AQ153*AT153*VLOOKUP('Données projet'!$B$10,Paramètres!$A$1:$I$89,3,0)*0.475*44/12</f>
        <v>0</v>
      </c>
      <c r="AX153" s="23">
        <f t="shared" si="114"/>
        <v>0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5.6843418860808015E-14</v>
      </c>
      <c r="BE153" s="14">
        <f>BD153*VLOOKUP('Données projet'!$B$11,Paramètres!$A$1:$I$89,3,0)*VLOOKUP('Données projet'!$B$11,Paramètres!$A$1:$I$89,5,0)</f>
        <v>2.6602720026858149E-14</v>
      </c>
      <c r="BF153" s="14">
        <f t="shared" si="145"/>
        <v>4.6624771586320878E-13</v>
      </c>
      <c r="BG153" s="22">
        <f t="shared" si="115"/>
        <v>8.583811758418665E-13</v>
      </c>
      <c r="BH153" s="62">
        <f t="shared" si="116"/>
        <v>293.33333333333417</v>
      </c>
      <c r="BI153" s="62">
        <f ca="1">AVERAGE(OFFSET($BH$3,0,0,'Données projet'!$E$11+1,1))-AVERAGE(OFFSET($H$3,0,0,'Données projet'!$E$11+1,1))</f>
        <v>152.72674713084456</v>
      </c>
      <c r="BJ153" s="62">
        <f t="shared" si="146"/>
        <v>203.90215120562164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1.4273119458082211</v>
      </c>
      <c r="BQ153" s="23">
        <f>EXP(-LN(2)/25)*BQ152+(1-EXP(-LN(2)/25))/(LN(2)/25)*Calculateur!BL153*Calculateur!BN153*VLOOKUP('Données projet'!$B$11,Paramètres!$A$1:$I$89,3,0)*0.475*44/12</f>
        <v>0</v>
      </c>
      <c r="BR153" s="23">
        <f>EXP(-LN(2)/2)*BR152+(1-EXP(-LN(2)/2))/(LN(2)/2)*BL153*BO153*VLOOKUP('Données projet'!$B$11,Paramètres!$A$1:$I$89,3,0)*0.475*44/12</f>
        <v>1.3456197035309564E-17</v>
      </c>
      <c r="BS153" s="24">
        <f t="shared" si="117"/>
        <v>1.4273119458082211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3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42.160528799999916</v>
      </c>
      <c r="D154" s="12">
        <f t="shared" si="140"/>
        <v>12.5695303261188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132.65798190990461</v>
      </c>
      <c r="H154" s="70">
        <f t="shared" si="110"/>
        <v>351.98818631132343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0</v>
      </c>
      <c r="O154" s="14">
        <f>N154*VLOOKUP('Données projet'!$B$9,Paramètres!$A$1:$I$89,3,0)*VLOOKUP('Données projet'!$B$9,Paramètres!$A$1:$I$89,5,0)</f>
        <v>0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327.25473597900725</v>
      </c>
      <c r="T154" s="62">
        <f t="shared" si="142"/>
        <v>211.5313580973322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0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0</v>
      </c>
      <c r="AC154" s="24">
        <f t="shared" ref="AC154:AC203" si="163">SUM(Z154:AB154)</f>
        <v>0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>
        <f>AI154*VLOOKUP('Données projet'!$B$10,Paramètres!$A$1:$I$89,3,0)*VLOOKUP('Données projet'!$B$10,Paramètres!$A$1:$I$89,5,0)</f>
        <v>0</v>
      </c>
      <c r="AK154" s="14" t="e">
        <f t="shared" ref="AK154:AK203" si="164">EXP(-1.0587+0.8836*LN(AJ154)+0.284)</f>
        <v>#NUM!</v>
      </c>
      <c r="AL154" s="22" t="e">
        <f t="shared" ref="AL154:AL203" si="165">(AJ154+AK154)*0.475*44/12</f>
        <v>#NUM!</v>
      </c>
      <c r="AM154" s="62" t="e">
        <f t="shared" si="113"/>
        <v>#NUM!</v>
      </c>
      <c r="AN154" s="62">
        <f ca="1">AVERAGE(OFFSET($AM$3,0,0,'Données projet'!$E$10+1,1))-AVERAGE(OFFSET($H$3,0,0,'Données projet'!$E$10+1,1))</f>
        <v>366.41072413829329</v>
      </c>
      <c r="AO154" s="62">
        <f t="shared" si="144"/>
        <v>234.41212418619125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0</v>
      </c>
      <c r="AV154" s="23">
        <f>EXP(-LN(2)/25)*AV153+(1-EXP(-LN(2)/25))/(LN(2)/25)*Calculateur!AQ154*Calculateur!AS154*VLOOKUP('Données projet'!$B$10,Paramètres!$A$1:$I$89,3,0)*0.475*44/12</f>
        <v>0</v>
      </c>
      <c r="AW154" s="23">
        <f>EXP(-LN(2)/2)*AW153+(1-EXP(-LN(2)/2))/(LN(2)/2)*AQ154*AT154*VLOOKUP('Données projet'!$B$10,Paramètres!$A$1:$I$89,3,0)*0.475*44/12</f>
        <v>0</v>
      </c>
      <c r="AX154" s="23">
        <f t="shared" ref="AX154:AX203" si="166">SUM(AU154:AW154)</f>
        <v>0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5.6843418860808015E-14</v>
      </c>
      <c r="BE154" s="14">
        <f>BD154*VLOOKUP('Données projet'!$B$11,Paramètres!$A$1:$I$89,3,0)*VLOOKUP('Données projet'!$B$11,Paramètres!$A$1:$I$89,5,0)</f>
        <v>2.6602720026858149E-14</v>
      </c>
      <c r="BF154" s="14">
        <f t="shared" ref="BF154:BF203" si="167">EXP(-1.0587+0.8836*LN(BE154)+0.284)</f>
        <v>4.6624771586320878E-13</v>
      </c>
      <c r="BG154" s="22">
        <f t="shared" ref="BG154:BG203" si="168">(BE154+BF154)*0.475*44/12</f>
        <v>8.583811758418665E-13</v>
      </c>
      <c r="BH154" s="62">
        <f t="shared" si="116"/>
        <v>293.33333333333417</v>
      </c>
      <c r="BI154" s="62">
        <f ca="1">AVERAGE(OFFSET($BH$3,0,0,'Données projet'!$E$11+1,1))-AVERAGE(OFFSET($H$3,0,0,'Données projet'!$E$11+1,1))</f>
        <v>152.72674713084456</v>
      </c>
      <c r="BJ154" s="62">
        <f t="shared" si="146"/>
        <v>203.90215120562164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1.3993232291252466</v>
      </c>
      <c r="BQ154" s="23">
        <f>EXP(-LN(2)/25)*BQ153+(1-EXP(-LN(2)/25))/(LN(2)/25)*Calculateur!BL154*Calculateur!BN154*VLOOKUP('Données projet'!$B$11,Paramètres!$A$1:$I$89,3,0)*0.475*44/12</f>
        <v>0</v>
      </c>
      <c r="BR154" s="23">
        <f>EXP(-LN(2)/2)*BR153+(1-EXP(-LN(2)/2))/(LN(2)/2)*BL154*BO154*VLOOKUP('Données projet'!$B$11,Paramètres!$A$1:$I$89,3,0)*0.475*44/12</f>
        <v>9.5149681726497103E-18</v>
      </c>
      <c r="BS154" s="24">
        <f t="shared" ref="BS154:BS203" si="169">SUM(BP154:BR154)</f>
        <v>1.3993232291252466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3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42.439737599999916</v>
      </c>
      <c r="D155" s="12">
        <f t="shared" si="140"/>
        <v>12.64305460923099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133.5129573969709</v>
      </c>
      <c r="H155" s="70">
        <f t="shared" si="110"/>
        <v>352.60252976441052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0</v>
      </c>
      <c r="O155" s="14">
        <f>N155*VLOOKUP('Données projet'!$B$9,Paramètres!$A$1:$I$89,3,0)*VLOOKUP('Données projet'!$B$9,Paramètres!$A$1:$I$89,5,0)</f>
        <v>0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327.25473597900725</v>
      </c>
      <c r="T155" s="62">
        <f t="shared" si="142"/>
        <v>211.5313580973322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0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0</v>
      </c>
      <c r="AC155" s="24">
        <f t="shared" si="163"/>
        <v>0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>
        <f>AI155*VLOOKUP('Données projet'!$B$10,Paramètres!$A$1:$I$89,3,0)*VLOOKUP('Données projet'!$B$10,Paramètres!$A$1:$I$89,5,0)</f>
        <v>0</v>
      </c>
      <c r="AK155" s="14" t="e">
        <f t="shared" si="164"/>
        <v>#NUM!</v>
      </c>
      <c r="AL155" s="22" t="e">
        <f t="shared" si="165"/>
        <v>#NUM!</v>
      </c>
      <c r="AM155" s="62" t="e">
        <f t="shared" si="113"/>
        <v>#NUM!</v>
      </c>
      <c r="AN155" s="62">
        <f ca="1">AVERAGE(OFFSET($AM$3,0,0,'Données projet'!$E$10+1,1))-AVERAGE(OFFSET($H$3,0,0,'Données projet'!$E$10+1,1))</f>
        <v>366.41072413829329</v>
      </c>
      <c r="AO155" s="62">
        <f t="shared" si="144"/>
        <v>234.41212418619125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0</v>
      </c>
      <c r="AV155" s="23">
        <f>EXP(-LN(2)/25)*AV154+(1-EXP(-LN(2)/25))/(LN(2)/25)*Calculateur!AQ155*Calculateur!AS155*VLOOKUP('Données projet'!$B$10,Paramètres!$A$1:$I$89,3,0)*0.475*44/12</f>
        <v>0</v>
      </c>
      <c r="AW155" s="23">
        <f>EXP(-LN(2)/2)*AW154+(1-EXP(-LN(2)/2))/(LN(2)/2)*AQ155*AT155*VLOOKUP('Données projet'!$B$10,Paramètres!$A$1:$I$89,3,0)*0.475*44/12</f>
        <v>0</v>
      </c>
      <c r="AX155" s="23">
        <f t="shared" si="166"/>
        <v>0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5.6843418860808015E-14</v>
      </c>
      <c r="BE155" s="14">
        <f>BD155*VLOOKUP('Données projet'!$B$11,Paramètres!$A$1:$I$89,3,0)*VLOOKUP('Données projet'!$B$11,Paramètres!$A$1:$I$89,5,0)</f>
        <v>2.6602720026858149E-14</v>
      </c>
      <c r="BF155" s="14">
        <f t="shared" si="167"/>
        <v>4.6624771586320878E-13</v>
      </c>
      <c r="BG155" s="22">
        <f t="shared" si="168"/>
        <v>8.583811758418665E-13</v>
      </c>
      <c r="BH155" s="62">
        <f t="shared" si="116"/>
        <v>293.33333333333417</v>
      </c>
      <c r="BI155" s="62">
        <f ca="1">AVERAGE(OFFSET($BH$3,0,0,'Données projet'!$E$11+1,1))-AVERAGE(OFFSET($H$3,0,0,'Données projet'!$E$11+1,1))</f>
        <v>152.72674713084456</v>
      </c>
      <c r="BJ155" s="62">
        <f t="shared" si="146"/>
        <v>203.90215120562164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1.371883354104994</v>
      </c>
      <c r="BQ155" s="23">
        <f>EXP(-LN(2)/25)*BQ154+(1-EXP(-LN(2)/25))/(LN(2)/25)*Calculateur!BL155*Calculateur!BN155*VLOOKUP('Données projet'!$B$11,Paramètres!$A$1:$I$89,3,0)*0.475*44/12</f>
        <v>0</v>
      </c>
      <c r="BR155" s="23">
        <f>EXP(-LN(2)/2)*BR154+(1-EXP(-LN(2)/2))/(LN(2)/2)*BL155*BO155*VLOOKUP('Données projet'!$B$11,Paramètres!$A$1:$I$89,3,0)*0.475*44/12</f>
        <v>6.7280985176547829E-18</v>
      </c>
      <c r="BS155" s="24">
        <f t="shared" si="169"/>
        <v>1.371883354104994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3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42.718946399999915</v>
      </c>
      <c r="D156" s="12">
        <f t="shared" si="140"/>
        <v>12.716522609344681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134.36779646194822</v>
      </c>
      <c r="H156" s="70">
        <f t="shared" si="110"/>
        <v>353.21677519127519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0</v>
      </c>
      <c r="O156" s="14">
        <f>N156*VLOOKUP('Données projet'!$B$9,Paramètres!$A$1:$I$89,3,0)*VLOOKUP('Données projet'!$B$9,Paramètres!$A$1:$I$89,5,0)</f>
        <v>0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327.25473597900725</v>
      </c>
      <c r="T156" s="62">
        <f t="shared" si="142"/>
        <v>211.5313580973322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0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0</v>
      </c>
      <c r="AC156" s="24">
        <f t="shared" si="163"/>
        <v>0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>
        <f>AI156*VLOOKUP('Données projet'!$B$10,Paramètres!$A$1:$I$89,3,0)*VLOOKUP('Données projet'!$B$10,Paramètres!$A$1:$I$89,5,0)</f>
        <v>0</v>
      </c>
      <c r="AK156" s="14" t="e">
        <f t="shared" si="164"/>
        <v>#NUM!</v>
      </c>
      <c r="AL156" s="22" t="e">
        <f t="shared" si="165"/>
        <v>#NUM!</v>
      </c>
      <c r="AM156" s="62" t="e">
        <f t="shared" si="113"/>
        <v>#NUM!</v>
      </c>
      <c r="AN156" s="62">
        <f ca="1">AVERAGE(OFFSET($AM$3,0,0,'Données projet'!$E$10+1,1))-AVERAGE(OFFSET($H$3,0,0,'Données projet'!$E$10+1,1))</f>
        <v>366.41072413829329</v>
      </c>
      <c r="AO156" s="62">
        <f t="shared" si="144"/>
        <v>234.41212418619125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0</v>
      </c>
      <c r="AV156" s="23">
        <f>EXP(-LN(2)/25)*AV155+(1-EXP(-LN(2)/25))/(LN(2)/25)*Calculateur!AQ156*Calculateur!AS156*VLOOKUP('Données projet'!$B$10,Paramètres!$A$1:$I$89,3,0)*0.475*44/12</f>
        <v>0</v>
      </c>
      <c r="AW156" s="23">
        <f>EXP(-LN(2)/2)*AW155+(1-EXP(-LN(2)/2))/(LN(2)/2)*AQ156*AT156*VLOOKUP('Données projet'!$B$10,Paramètres!$A$1:$I$89,3,0)*0.475*44/12</f>
        <v>0</v>
      </c>
      <c r="AX156" s="23">
        <f t="shared" si="166"/>
        <v>0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5.6843418860808015E-14</v>
      </c>
      <c r="BE156" s="14">
        <f>BD156*VLOOKUP('Données projet'!$B$11,Paramètres!$A$1:$I$89,3,0)*VLOOKUP('Données projet'!$B$11,Paramètres!$A$1:$I$89,5,0)</f>
        <v>2.6602720026858149E-14</v>
      </c>
      <c r="BF156" s="14">
        <f t="shared" si="167"/>
        <v>4.6624771586320878E-13</v>
      </c>
      <c r="BG156" s="22">
        <f t="shared" si="168"/>
        <v>8.583811758418665E-13</v>
      </c>
      <c r="BH156" s="62">
        <f t="shared" si="116"/>
        <v>293.33333333333417</v>
      </c>
      <c r="BI156" s="62">
        <f ca="1">AVERAGE(OFFSET($BH$3,0,0,'Données projet'!$E$11+1,1))-AVERAGE(OFFSET($H$3,0,0,'Données projet'!$E$11+1,1))</f>
        <v>152.72674713084456</v>
      </c>
      <c r="BJ156" s="62">
        <f t="shared" si="146"/>
        <v>203.90215120562164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1.3449815582972173</v>
      </c>
      <c r="BQ156" s="23">
        <f>EXP(-LN(2)/25)*BQ155+(1-EXP(-LN(2)/25))/(LN(2)/25)*Calculateur!BL156*Calculateur!BN156*VLOOKUP('Données projet'!$B$11,Paramètres!$A$1:$I$89,3,0)*0.475*44/12</f>
        <v>0</v>
      </c>
      <c r="BR156" s="23">
        <f>EXP(-LN(2)/2)*BR155+(1-EXP(-LN(2)/2))/(LN(2)/2)*BL156*BO156*VLOOKUP('Données projet'!$B$11,Paramètres!$A$1:$I$89,3,0)*0.475*44/12</f>
        <v>4.7574840863248559E-18</v>
      </c>
      <c r="BS156" s="24">
        <f t="shared" si="169"/>
        <v>1.3449815582972173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3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42.998155199999914</v>
      </c>
      <c r="D157" s="12">
        <f t="shared" si="140"/>
        <v>12.789934736991507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135.22250009990765</v>
      </c>
      <c r="H157" s="70">
        <f t="shared" si="110"/>
        <v>353.83092330692676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0</v>
      </c>
      <c r="O157" s="14">
        <f>N157*VLOOKUP('Données projet'!$B$9,Paramètres!$A$1:$I$89,3,0)*VLOOKUP('Données projet'!$B$9,Paramètres!$A$1:$I$89,5,0)</f>
        <v>0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327.25473597900725</v>
      </c>
      <c r="T157" s="62">
        <f t="shared" si="142"/>
        <v>211.5313580973322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0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0</v>
      </c>
      <c r="AC157" s="24">
        <f t="shared" si="163"/>
        <v>0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>
        <f>AI157*VLOOKUP('Données projet'!$B$10,Paramètres!$A$1:$I$89,3,0)*VLOOKUP('Données projet'!$B$10,Paramètres!$A$1:$I$89,5,0)</f>
        <v>0</v>
      </c>
      <c r="AK157" s="14" t="e">
        <f t="shared" si="164"/>
        <v>#NUM!</v>
      </c>
      <c r="AL157" s="22" t="e">
        <f t="shared" si="165"/>
        <v>#NUM!</v>
      </c>
      <c r="AM157" s="62" t="e">
        <f t="shared" si="113"/>
        <v>#NUM!</v>
      </c>
      <c r="AN157" s="62">
        <f ca="1">AVERAGE(OFFSET($AM$3,0,0,'Données projet'!$E$10+1,1))-AVERAGE(OFFSET($H$3,0,0,'Données projet'!$E$10+1,1))</f>
        <v>366.41072413829329</v>
      </c>
      <c r="AO157" s="62">
        <f t="shared" si="144"/>
        <v>234.41212418619125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0</v>
      </c>
      <c r="AV157" s="23">
        <f>EXP(-LN(2)/25)*AV156+(1-EXP(-LN(2)/25))/(LN(2)/25)*Calculateur!AQ157*Calculateur!AS157*VLOOKUP('Données projet'!$B$10,Paramètres!$A$1:$I$89,3,0)*0.475*44/12</f>
        <v>0</v>
      </c>
      <c r="AW157" s="23">
        <f>EXP(-LN(2)/2)*AW156+(1-EXP(-LN(2)/2))/(LN(2)/2)*AQ157*AT157*VLOOKUP('Données projet'!$B$10,Paramètres!$A$1:$I$89,3,0)*0.475*44/12</f>
        <v>0</v>
      </c>
      <c r="AX157" s="23">
        <f t="shared" si="166"/>
        <v>0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5.6843418860808015E-14</v>
      </c>
      <c r="BE157" s="14">
        <f>BD157*VLOOKUP('Données projet'!$B$11,Paramètres!$A$1:$I$89,3,0)*VLOOKUP('Données projet'!$B$11,Paramètres!$A$1:$I$89,5,0)</f>
        <v>2.6602720026858149E-14</v>
      </c>
      <c r="BF157" s="14">
        <f t="shared" si="167"/>
        <v>4.6624771586320878E-13</v>
      </c>
      <c r="BG157" s="22">
        <f t="shared" si="168"/>
        <v>8.583811758418665E-13</v>
      </c>
      <c r="BH157" s="62">
        <f t="shared" si="116"/>
        <v>293.33333333333417</v>
      </c>
      <c r="BI157" s="62">
        <f ca="1">AVERAGE(OFFSET($BH$3,0,0,'Données projet'!$E$11+1,1))-AVERAGE(OFFSET($H$3,0,0,'Données projet'!$E$11+1,1))</f>
        <v>152.72674713084456</v>
      </c>
      <c r="BJ157" s="62">
        <f t="shared" si="146"/>
        <v>203.90215120562164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1.3186072902967558</v>
      </c>
      <c r="BQ157" s="23">
        <f>EXP(-LN(2)/25)*BQ156+(1-EXP(-LN(2)/25))/(LN(2)/25)*Calculateur!BL157*Calculateur!BN157*VLOOKUP('Données projet'!$B$11,Paramètres!$A$1:$I$89,3,0)*0.475*44/12</f>
        <v>0</v>
      </c>
      <c r="BR157" s="23">
        <f>EXP(-LN(2)/2)*BR156+(1-EXP(-LN(2)/2))/(LN(2)/2)*BL157*BO157*VLOOKUP('Données projet'!$B$11,Paramètres!$A$1:$I$89,3,0)*0.475*44/12</f>
        <v>3.3640492588273922E-18</v>
      </c>
      <c r="BS157" s="24">
        <f t="shared" si="169"/>
        <v>1.3186072902967558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3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43.277363999999913</v>
      </c>
      <c r="D158" s="12">
        <f t="shared" si="140"/>
        <v>12.863291397063254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136.07706929225</v>
      </c>
      <c r="H158" s="70">
        <f t="shared" si="110"/>
        <v>354.44497481655173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0</v>
      </c>
      <c r="O158" s="14">
        <f>N158*VLOOKUP('Données projet'!$B$9,Paramètres!$A$1:$I$89,3,0)*VLOOKUP('Données projet'!$B$9,Paramètres!$A$1:$I$89,5,0)</f>
        <v>0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327.25473597900725</v>
      </c>
      <c r="T158" s="62">
        <f t="shared" si="142"/>
        <v>211.5313580973322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0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0</v>
      </c>
      <c r="AC158" s="24">
        <f t="shared" si="163"/>
        <v>0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>
        <f>AI158*VLOOKUP('Données projet'!$B$10,Paramètres!$A$1:$I$89,3,0)*VLOOKUP('Données projet'!$B$10,Paramètres!$A$1:$I$89,5,0)</f>
        <v>0</v>
      </c>
      <c r="AK158" s="14" t="e">
        <f t="shared" si="164"/>
        <v>#NUM!</v>
      </c>
      <c r="AL158" s="22" t="e">
        <f t="shared" si="165"/>
        <v>#NUM!</v>
      </c>
      <c r="AM158" s="62" t="e">
        <f t="shared" si="113"/>
        <v>#NUM!</v>
      </c>
      <c r="AN158" s="62">
        <f ca="1">AVERAGE(OFFSET($AM$3,0,0,'Données projet'!$E$10+1,1))-AVERAGE(OFFSET($H$3,0,0,'Données projet'!$E$10+1,1))</f>
        <v>366.41072413829329</v>
      </c>
      <c r="AO158" s="62">
        <f t="shared" si="144"/>
        <v>234.41212418619125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0</v>
      </c>
      <c r="AV158" s="23">
        <f>EXP(-LN(2)/25)*AV157+(1-EXP(-LN(2)/25))/(LN(2)/25)*Calculateur!AQ158*Calculateur!AS158*VLOOKUP('Données projet'!$B$10,Paramètres!$A$1:$I$89,3,0)*0.475*44/12</f>
        <v>0</v>
      </c>
      <c r="AW158" s="23">
        <f>EXP(-LN(2)/2)*AW157+(1-EXP(-LN(2)/2))/(LN(2)/2)*AQ158*AT158*VLOOKUP('Données projet'!$B$10,Paramètres!$A$1:$I$89,3,0)*0.475*44/12</f>
        <v>0</v>
      </c>
      <c r="AX158" s="23">
        <f t="shared" si="166"/>
        <v>0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5.6843418860808015E-14</v>
      </c>
      <c r="BE158" s="14">
        <f>BD158*VLOOKUP('Données projet'!$B$11,Paramètres!$A$1:$I$89,3,0)*VLOOKUP('Données projet'!$B$11,Paramètres!$A$1:$I$89,5,0)</f>
        <v>2.6602720026858149E-14</v>
      </c>
      <c r="BF158" s="14">
        <f t="shared" si="167"/>
        <v>4.6624771586320878E-13</v>
      </c>
      <c r="BG158" s="22">
        <f t="shared" si="168"/>
        <v>8.583811758418665E-13</v>
      </c>
      <c r="BH158" s="62">
        <f t="shared" si="116"/>
        <v>293.33333333333417</v>
      </c>
      <c r="BI158" s="62">
        <f ca="1">AVERAGE(OFFSET($BH$3,0,0,'Données projet'!$E$11+1,1))-AVERAGE(OFFSET($H$3,0,0,'Données projet'!$E$11+1,1))</f>
        <v>152.72674713084456</v>
      </c>
      <c r="BJ158" s="62">
        <f t="shared" si="146"/>
        <v>203.90215120562164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1.2927502056050684</v>
      </c>
      <c r="BQ158" s="23">
        <f>EXP(-LN(2)/25)*BQ157+(1-EXP(-LN(2)/25))/(LN(2)/25)*Calculateur!BL158*Calculateur!BN158*VLOOKUP('Données projet'!$B$11,Paramètres!$A$1:$I$89,3,0)*0.475*44/12</f>
        <v>0</v>
      </c>
      <c r="BR158" s="23">
        <f>EXP(-LN(2)/2)*BR157+(1-EXP(-LN(2)/2))/(LN(2)/2)*BL158*BO158*VLOOKUP('Données projet'!$B$11,Paramètres!$A$1:$I$89,3,0)*0.475*44/12</f>
        <v>2.3787420431624283E-18</v>
      </c>
      <c r="BS158" s="24">
        <f t="shared" si="169"/>
        <v>1.2927502056050684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3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43.556572799999913</v>
      </c>
      <c r="D159" s="12">
        <f t="shared" si="140"/>
        <v>12.936592988925184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136.93150500698056</v>
      </c>
      <c r="H159" s="70">
        <f t="shared" si="110"/>
        <v>355.05893041571125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0</v>
      </c>
      <c r="O159" s="14">
        <f>N159*VLOOKUP('Données projet'!$B$9,Paramètres!$A$1:$I$89,3,0)*VLOOKUP('Données projet'!$B$9,Paramètres!$A$1:$I$89,5,0)</f>
        <v>0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327.25473597900725</v>
      </c>
      <c r="T159" s="62">
        <f t="shared" si="142"/>
        <v>211.5313580973322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0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0</v>
      </c>
      <c r="AC159" s="24">
        <f t="shared" si="163"/>
        <v>0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>
        <f>AI159*VLOOKUP('Données projet'!$B$10,Paramètres!$A$1:$I$89,3,0)*VLOOKUP('Données projet'!$B$10,Paramètres!$A$1:$I$89,5,0)</f>
        <v>0</v>
      </c>
      <c r="AK159" s="14" t="e">
        <f t="shared" si="164"/>
        <v>#NUM!</v>
      </c>
      <c r="AL159" s="22" t="e">
        <f t="shared" si="165"/>
        <v>#NUM!</v>
      </c>
      <c r="AM159" s="62" t="e">
        <f t="shared" si="113"/>
        <v>#NUM!</v>
      </c>
      <c r="AN159" s="62">
        <f ca="1">AVERAGE(OFFSET($AM$3,0,0,'Données projet'!$E$10+1,1))-AVERAGE(OFFSET($H$3,0,0,'Données projet'!$E$10+1,1))</f>
        <v>366.41072413829329</v>
      </c>
      <c r="AO159" s="62">
        <f t="shared" si="144"/>
        <v>234.41212418619125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0</v>
      </c>
      <c r="AV159" s="23">
        <f>EXP(-LN(2)/25)*AV158+(1-EXP(-LN(2)/25))/(LN(2)/25)*Calculateur!AQ159*Calculateur!AS159*VLOOKUP('Données projet'!$B$10,Paramètres!$A$1:$I$89,3,0)*0.475*44/12</f>
        <v>0</v>
      </c>
      <c r="AW159" s="23">
        <f>EXP(-LN(2)/2)*AW158+(1-EXP(-LN(2)/2))/(LN(2)/2)*AQ159*AT159*VLOOKUP('Données projet'!$B$10,Paramètres!$A$1:$I$89,3,0)*0.475*44/12</f>
        <v>0</v>
      </c>
      <c r="AX159" s="23">
        <f t="shared" si="166"/>
        <v>0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5.6843418860808015E-14</v>
      </c>
      <c r="BE159" s="14">
        <f>BD159*VLOOKUP('Données projet'!$B$11,Paramètres!$A$1:$I$89,3,0)*VLOOKUP('Données projet'!$B$11,Paramètres!$A$1:$I$89,5,0)</f>
        <v>2.6602720026858149E-14</v>
      </c>
      <c r="BF159" s="14">
        <f t="shared" si="167"/>
        <v>4.6624771586320878E-13</v>
      </c>
      <c r="BG159" s="22">
        <f t="shared" si="168"/>
        <v>8.583811758418665E-13</v>
      </c>
      <c r="BH159" s="62">
        <f t="shared" si="116"/>
        <v>293.33333333333417</v>
      </c>
      <c r="BI159" s="62">
        <f ca="1">AVERAGE(OFFSET($BH$3,0,0,'Données projet'!$E$11+1,1))-AVERAGE(OFFSET($H$3,0,0,'Données projet'!$E$11+1,1))</f>
        <v>152.72674713084456</v>
      </c>
      <c r="BJ159" s="62">
        <f t="shared" si="146"/>
        <v>203.90215120562164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1.2674001625729205</v>
      </c>
      <c r="BQ159" s="23">
        <f>EXP(-LN(2)/25)*BQ158+(1-EXP(-LN(2)/25))/(LN(2)/25)*Calculateur!BL159*Calculateur!BN159*VLOOKUP('Données projet'!$B$11,Paramètres!$A$1:$I$89,3,0)*0.475*44/12</f>
        <v>0</v>
      </c>
      <c r="BR159" s="23">
        <f>EXP(-LN(2)/2)*BR158+(1-EXP(-LN(2)/2))/(LN(2)/2)*BL159*BO159*VLOOKUP('Données projet'!$B$11,Paramètres!$A$1:$I$89,3,0)*0.475*44/12</f>
        <v>1.6820246294136963E-18</v>
      </c>
      <c r="BS159" s="24">
        <f t="shared" si="169"/>
        <v>1.2674001625729205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3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43.835781599999912</v>
      </c>
      <c r="D160" s="12">
        <f t="shared" si="140"/>
        <v>13.009839906526425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137.78580819897684</v>
      </c>
      <c r="H160" s="70">
        <f t="shared" si="110"/>
        <v>355.67279079053338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0</v>
      </c>
      <c r="O160" s="14">
        <f>N160*VLOOKUP('Données projet'!$B$9,Paramètres!$A$1:$I$89,3,0)*VLOOKUP('Données projet'!$B$9,Paramètres!$A$1:$I$89,5,0)</f>
        <v>0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327.25473597900725</v>
      </c>
      <c r="T160" s="62">
        <f t="shared" si="142"/>
        <v>211.5313580973322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0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0</v>
      </c>
      <c r="AC160" s="24">
        <f t="shared" si="163"/>
        <v>0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>
        <f>AI160*VLOOKUP('Données projet'!$B$10,Paramètres!$A$1:$I$89,3,0)*VLOOKUP('Données projet'!$B$10,Paramètres!$A$1:$I$89,5,0)</f>
        <v>0</v>
      </c>
      <c r="AK160" s="14" t="e">
        <f t="shared" si="164"/>
        <v>#NUM!</v>
      </c>
      <c r="AL160" s="22" t="e">
        <f t="shared" si="165"/>
        <v>#NUM!</v>
      </c>
      <c r="AM160" s="62" t="e">
        <f t="shared" si="113"/>
        <v>#NUM!</v>
      </c>
      <c r="AN160" s="62">
        <f ca="1">AVERAGE(OFFSET($AM$3,0,0,'Données projet'!$E$10+1,1))-AVERAGE(OFFSET($H$3,0,0,'Données projet'!$E$10+1,1))</f>
        <v>366.41072413829329</v>
      </c>
      <c r="AO160" s="62">
        <f t="shared" si="144"/>
        <v>234.41212418619125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0</v>
      </c>
      <c r="AV160" s="23">
        <f>EXP(-LN(2)/25)*AV159+(1-EXP(-LN(2)/25))/(LN(2)/25)*Calculateur!AQ160*Calculateur!AS160*VLOOKUP('Données projet'!$B$10,Paramètres!$A$1:$I$89,3,0)*0.475*44/12</f>
        <v>0</v>
      </c>
      <c r="AW160" s="23">
        <f>EXP(-LN(2)/2)*AW159+(1-EXP(-LN(2)/2))/(LN(2)/2)*AQ160*AT160*VLOOKUP('Données projet'!$B$10,Paramètres!$A$1:$I$89,3,0)*0.475*44/12</f>
        <v>0</v>
      </c>
      <c r="AX160" s="23">
        <f t="shared" si="166"/>
        <v>0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5.6843418860808015E-14</v>
      </c>
      <c r="BE160" s="14">
        <f>BD160*VLOOKUP('Données projet'!$B$11,Paramètres!$A$1:$I$89,3,0)*VLOOKUP('Données projet'!$B$11,Paramètres!$A$1:$I$89,5,0)</f>
        <v>2.6602720026858149E-14</v>
      </c>
      <c r="BF160" s="14">
        <f t="shared" si="167"/>
        <v>4.6624771586320878E-13</v>
      </c>
      <c r="BG160" s="22">
        <f t="shared" si="168"/>
        <v>8.583811758418665E-13</v>
      </c>
      <c r="BH160" s="62">
        <f t="shared" si="116"/>
        <v>293.33333333333417</v>
      </c>
      <c r="BI160" s="62">
        <f ca="1">AVERAGE(OFFSET($BH$3,0,0,'Données projet'!$E$11+1,1))-AVERAGE(OFFSET($H$3,0,0,'Données projet'!$E$11+1,1))</f>
        <v>152.72674713084456</v>
      </c>
      <c r="BJ160" s="62">
        <f t="shared" si="146"/>
        <v>203.90215120562164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1.2425472184226336</v>
      </c>
      <c r="BQ160" s="23">
        <f>EXP(-LN(2)/25)*BQ159+(1-EXP(-LN(2)/25))/(LN(2)/25)*Calculateur!BL160*Calculateur!BN160*VLOOKUP('Données projet'!$B$11,Paramètres!$A$1:$I$89,3,0)*0.475*44/12</f>
        <v>0</v>
      </c>
      <c r="BR160" s="23">
        <f>EXP(-LN(2)/2)*BR159+(1-EXP(-LN(2)/2))/(LN(2)/2)*BL160*BO160*VLOOKUP('Données projet'!$B$11,Paramètres!$A$1:$I$89,3,0)*0.475*44/12</f>
        <v>1.1893710215812144E-18</v>
      </c>
      <c r="BS160" s="24">
        <f t="shared" si="169"/>
        <v>1.2425472184226336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3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44.114990399999911</v>
      </c>
      <c r="D161" s="12">
        <f t="shared" si="140"/>
        <v>13.083032538507423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138.63997981024866</v>
      </c>
      <c r="H161" s="70">
        <f t="shared" si="110"/>
        <v>356.28655661790032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0</v>
      </c>
      <c r="O161" s="14">
        <f>N161*VLOOKUP('Données projet'!$B$9,Paramètres!$A$1:$I$89,3,0)*VLOOKUP('Données projet'!$B$9,Paramètres!$A$1:$I$89,5,0)</f>
        <v>0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327.25473597900725</v>
      </c>
      <c r="T161" s="62">
        <f t="shared" si="142"/>
        <v>211.5313580973322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0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0</v>
      </c>
      <c r="AC161" s="24">
        <f t="shared" si="163"/>
        <v>0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>
        <f>AI161*VLOOKUP('Données projet'!$B$10,Paramètres!$A$1:$I$89,3,0)*VLOOKUP('Données projet'!$B$10,Paramètres!$A$1:$I$89,5,0)</f>
        <v>0</v>
      </c>
      <c r="AK161" s="14" t="e">
        <f t="shared" si="164"/>
        <v>#NUM!</v>
      </c>
      <c r="AL161" s="22" t="e">
        <f t="shared" si="165"/>
        <v>#NUM!</v>
      </c>
      <c r="AM161" s="62" t="e">
        <f t="shared" si="113"/>
        <v>#NUM!</v>
      </c>
      <c r="AN161" s="62">
        <f ca="1">AVERAGE(OFFSET($AM$3,0,0,'Données projet'!$E$10+1,1))-AVERAGE(OFFSET($H$3,0,0,'Données projet'!$E$10+1,1))</f>
        <v>366.41072413829329</v>
      </c>
      <c r="AO161" s="62">
        <f t="shared" si="144"/>
        <v>234.41212418619125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0</v>
      </c>
      <c r="AV161" s="23">
        <f>EXP(-LN(2)/25)*AV160+(1-EXP(-LN(2)/25))/(LN(2)/25)*Calculateur!AQ161*Calculateur!AS161*VLOOKUP('Données projet'!$B$10,Paramètres!$A$1:$I$89,3,0)*0.475*44/12</f>
        <v>0</v>
      </c>
      <c r="AW161" s="23">
        <f>EXP(-LN(2)/2)*AW160+(1-EXP(-LN(2)/2))/(LN(2)/2)*AQ161*AT161*VLOOKUP('Données projet'!$B$10,Paramètres!$A$1:$I$89,3,0)*0.475*44/12</f>
        <v>0</v>
      </c>
      <c r="AX161" s="23">
        <f t="shared" si="166"/>
        <v>0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5.6843418860808015E-14</v>
      </c>
      <c r="BE161" s="14">
        <f>BD161*VLOOKUP('Données projet'!$B$11,Paramètres!$A$1:$I$89,3,0)*VLOOKUP('Données projet'!$B$11,Paramètres!$A$1:$I$89,5,0)</f>
        <v>2.6602720026858149E-14</v>
      </c>
      <c r="BF161" s="14">
        <f t="shared" si="167"/>
        <v>4.6624771586320878E-13</v>
      </c>
      <c r="BG161" s="22">
        <f t="shared" si="168"/>
        <v>8.583811758418665E-13</v>
      </c>
      <c r="BH161" s="62">
        <f t="shared" si="116"/>
        <v>293.33333333333417</v>
      </c>
      <c r="BI161" s="62">
        <f ca="1">AVERAGE(OFFSET($BH$3,0,0,'Données projet'!$E$11+1,1))-AVERAGE(OFFSET($H$3,0,0,'Données projet'!$E$11+1,1))</f>
        <v>152.72674713084456</v>
      </c>
      <c r="BJ161" s="62">
        <f t="shared" si="146"/>
        <v>203.90215120562164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1.2181816253483346</v>
      </c>
      <c r="BQ161" s="23">
        <f>EXP(-LN(2)/25)*BQ160+(1-EXP(-LN(2)/25))/(LN(2)/25)*Calculateur!BL161*Calculateur!BN161*VLOOKUP('Données projet'!$B$11,Paramètres!$A$1:$I$89,3,0)*0.475*44/12</f>
        <v>0</v>
      </c>
      <c r="BR161" s="23">
        <f>EXP(-LN(2)/2)*BR160+(1-EXP(-LN(2)/2))/(LN(2)/2)*BL161*BO161*VLOOKUP('Données projet'!$B$11,Paramètres!$A$1:$I$89,3,0)*0.475*44/12</f>
        <v>8.4101231470684825E-19</v>
      </c>
      <c r="BS161" s="24">
        <f t="shared" si="169"/>
        <v>1.2181816253483346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3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44.39419919999991</v>
      </c>
      <c r="D162" s="12">
        <f t="shared" si="140"/>
        <v>13.156171268304623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139.49402077019218</v>
      </c>
      <c r="H162" s="70">
        <f t="shared" si="110"/>
        <v>356.90022856563041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0</v>
      </c>
      <c r="O162" s="14">
        <f>N162*VLOOKUP('Données projet'!$B$9,Paramètres!$A$1:$I$89,3,0)*VLOOKUP('Données projet'!$B$9,Paramètres!$A$1:$I$89,5,0)</f>
        <v>0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327.25473597900725</v>
      </c>
      <c r="T162" s="62">
        <f t="shared" si="142"/>
        <v>211.5313580973322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0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0</v>
      </c>
      <c r="AC162" s="24">
        <f t="shared" si="163"/>
        <v>0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>
        <f>AI162*VLOOKUP('Données projet'!$B$10,Paramètres!$A$1:$I$89,3,0)*VLOOKUP('Données projet'!$B$10,Paramètres!$A$1:$I$89,5,0)</f>
        <v>0</v>
      </c>
      <c r="AK162" s="14" t="e">
        <f t="shared" si="164"/>
        <v>#NUM!</v>
      </c>
      <c r="AL162" s="22" t="e">
        <f t="shared" si="165"/>
        <v>#NUM!</v>
      </c>
      <c r="AM162" s="62" t="e">
        <f t="shared" si="113"/>
        <v>#NUM!</v>
      </c>
      <c r="AN162" s="62">
        <f ca="1">AVERAGE(OFFSET($AM$3,0,0,'Données projet'!$E$10+1,1))-AVERAGE(OFFSET($H$3,0,0,'Données projet'!$E$10+1,1))</f>
        <v>366.41072413829329</v>
      </c>
      <c r="AO162" s="62">
        <f t="shared" si="144"/>
        <v>234.41212418619125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0</v>
      </c>
      <c r="AV162" s="23">
        <f>EXP(-LN(2)/25)*AV161+(1-EXP(-LN(2)/25))/(LN(2)/25)*Calculateur!AQ162*Calculateur!AS162*VLOOKUP('Données projet'!$B$10,Paramètres!$A$1:$I$89,3,0)*0.475*44/12</f>
        <v>0</v>
      </c>
      <c r="AW162" s="23">
        <f>EXP(-LN(2)/2)*AW161+(1-EXP(-LN(2)/2))/(LN(2)/2)*AQ162*AT162*VLOOKUP('Données projet'!$B$10,Paramètres!$A$1:$I$89,3,0)*0.475*44/12</f>
        <v>0</v>
      </c>
      <c r="AX162" s="23">
        <f t="shared" si="166"/>
        <v>0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5.6843418860808015E-14</v>
      </c>
      <c r="BE162" s="14">
        <f>BD162*VLOOKUP('Données projet'!$B$11,Paramètres!$A$1:$I$89,3,0)*VLOOKUP('Données projet'!$B$11,Paramètres!$A$1:$I$89,5,0)</f>
        <v>2.6602720026858149E-14</v>
      </c>
      <c r="BF162" s="14">
        <f t="shared" si="167"/>
        <v>4.6624771586320878E-13</v>
      </c>
      <c r="BG162" s="22">
        <f t="shared" si="168"/>
        <v>8.583811758418665E-13</v>
      </c>
      <c r="BH162" s="62">
        <f t="shared" si="116"/>
        <v>293.33333333333417</v>
      </c>
      <c r="BI162" s="62">
        <f ca="1">AVERAGE(OFFSET($BH$3,0,0,'Données projet'!$E$11+1,1))-AVERAGE(OFFSET($H$3,0,0,'Données projet'!$E$11+1,1))</f>
        <v>152.72674713084456</v>
      </c>
      <c r="BJ162" s="62">
        <f t="shared" si="146"/>
        <v>203.90215120562164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1.1942938266926784</v>
      </c>
      <c r="BQ162" s="23">
        <f>EXP(-LN(2)/25)*BQ161+(1-EXP(-LN(2)/25))/(LN(2)/25)*Calculateur!BL162*Calculateur!BN162*VLOOKUP('Données projet'!$B$11,Paramètres!$A$1:$I$89,3,0)*0.475*44/12</f>
        <v>0</v>
      </c>
      <c r="BR162" s="23">
        <f>EXP(-LN(2)/2)*BR161+(1-EXP(-LN(2)/2))/(LN(2)/2)*BL162*BO162*VLOOKUP('Données projet'!$B$11,Paramètres!$A$1:$I$89,3,0)*0.475*44/12</f>
        <v>5.9468551079060728E-19</v>
      </c>
      <c r="BS162" s="24">
        <f t="shared" si="169"/>
        <v>1.1942938266926784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3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44.67340799999991</v>
      </c>
      <c r="D163" s="12">
        <f t="shared" si="140"/>
        <v>13.229256474252463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140.34793199583697</v>
      </c>
      <c r="H163" s="70">
        <f t="shared" si="110"/>
        <v>357.51380729265622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0</v>
      </c>
      <c r="O163" s="14">
        <f>N163*VLOOKUP('Données projet'!$B$9,Paramètres!$A$1:$I$89,3,0)*VLOOKUP('Données projet'!$B$9,Paramètres!$A$1:$I$89,5,0)</f>
        <v>0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327.25473597900725</v>
      </c>
      <c r="T163" s="62">
        <f t="shared" si="142"/>
        <v>211.5313580973322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0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0</v>
      </c>
      <c r="AC163" s="24">
        <f t="shared" si="163"/>
        <v>0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>
        <f>AI163*VLOOKUP('Données projet'!$B$10,Paramètres!$A$1:$I$89,3,0)*VLOOKUP('Données projet'!$B$10,Paramètres!$A$1:$I$89,5,0)</f>
        <v>0</v>
      </c>
      <c r="AK163" s="14" t="e">
        <f t="shared" si="164"/>
        <v>#NUM!</v>
      </c>
      <c r="AL163" s="22" t="e">
        <f t="shared" si="165"/>
        <v>#NUM!</v>
      </c>
      <c r="AM163" s="62" t="e">
        <f t="shared" si="113"/>
        <v>#NUM!</v>
      </c>
      <c r="AN163" s="62">
        <f ca="1">AVERAGE(OFFSET($AM$3,0,0,'Données projet'!$E$10+1,1))-AVERAGE(OFFSET($H$3,0,0,'Données projet'!$E$10+1,1))</f>
        <v>366.41072413829329</v>
      </c>
      <c r="AO163" s="62">
        <f t="shared" si="144"/>
        <v>234.41212418619125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0</v>
      </c>
      <c r="AV163" s="23">
        <f>EXP(-LN(2)/25)*AV162+(1-EXP(-LN(2)/25))/(LN(2)/25)*Calculateur!AQ163*Calculateur!AS163*VLOOKUP('Données projet'!$B$10,Paramètres!$A$1:$I$89,3,0)*0.475*44/12</f>
        <v>0</v>
      </c>
      <c r="AW163" s="23">
        <f>EXP(-LN(2)/2)*AW162+(1-EXP(-LN(2)/2))/(LN(2)/2)*AQ163*AT163*VLOOKUP('Données projet'!$B$10,Paramètres!$A$1:$I$89,3,0)*0.475*44/12</f>
        <v>0</v>
      </c>
      <c r="AX163" s="23">
        <f t="shared" si="166"/>
        <v>0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5.6843418860808015E-14</v>
      </c>
      <c r="BE163" s="14">
        <f>BD163*VLOOKUP('Données projet'!$B$11,Paramètres!$A$1:$I$89,3,0)*VLOOKUP('Données projet'!$B$11,Paramètres!$A$1:$I$89,5,0)</f>
        <v>2.6602720026858149E-14</v>
      </c>
      <c r="BF163" s="14">
        <f t="shared" si="167"/>
        <v>4.6624771586320878E-13</v>
      </c>
      <c r="BG163" s="22">
        <f t="shared" si="168"/>
        <v>8.583811758418665E-13</v>
      </c>
      <c r="BH163" s="62">
        <f t="shared" si="116"/>
        <v>293.33333333333417</v>
      </c>
      <c r="BI163" s="62">
        <f ca="1">AVERAGE(OFFSET($BH$3,0,0,'Données projet'!$E$11+1,1))-AVERAGE(OFFSET($H$3,0,0,'Données projet'!$E$11+1,1))</f>
        <v>152.72674713084456</v>
      </c>
      <c r="BJ163" s="62">
        <f t="shared" si="146"/>
        <v>203.90215120562164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1.1708744531985411</v>
      </c>
      <c r="BQ163" s="23">
        <f>EXP(-LN(2)/25)*BQ162+(1-EXP(-LN(2)/25))/(LN(2)/25)*Calculateur!BL163*Calculateur!BN163*VLOOKUP('Données projet'!$B$11,Paramètres!$A$1:$I$89,3,0)*0.475*44/12</f>
        <v>0</v>
      </c>
      <c r="BR163" s="23">
        <f>EXP(-LN(2)/2)*BR162+(1-EXP(-LN(2)/2))/(LN(2)/2)*BL163*BO163*VLOOKUP('Données projet'!$B$11,Paramètres!$A$1:$I$89,3,0)*0.475*44/12</f>
        <v>4.2050615735342422E-19</v>
      </c>
      <c r="BS163" s="24">
        <f t="shared" si="169"/>
        <v>1.1708744531985411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3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44.952616799999909</v>
      </c>
      <c r="D164" s="12">
        <f t="shared" si="140"/>
        <v>13.302288529682631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141.20171439208664</v>
      </c>
      <c r="H164" s="70">
        <f t="shared" si="110"/>
        <v>358.12729344919711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0</v>
      </c>
      <c r="O164" s="14">
        <f>N164*VLOOKUP('Données projet'!$B$9,Paramètres!$A$1:$I$89,3,0)*VLOOKUP('Données projet'!$B$9,Paramètres!$A$1:$I$89,5,0)</f>
        <v>0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327.25473597900725</v>
      </c>
      <c r="T164" s="62">
        <f t="shared" si="142"/>
        <v>211.5313580973322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0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0</v>
      </c>
      <c r="AC164" s="24">
        <f t="shared" si="163"/>
        <v>0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>
        <f>AI164*VLOOKUP('Données projet'!$B$10,Paramètres!$A$1:$I$89,3,0)*VLOOKUP('Données projet'!$B$10,Paramètres!$A$1:$I$89,5,0)</f>
        <v>0</v>
      </c>
      <c r="AK164" s="14" t="e">
        <f t="shared" si="164"/>
        <v>#NUM!</v>
      </c>
      <c r="AL164" s="22" t="e">
        <f t="shared" si="165"/>
        <v>#NUM!</v>
      </c>
      <c r="AM164" s="62" t="e">
        <f t="shared" si="113"/>
        <v>#NUM!</v>
      </c>
      <c r="AN164" s="62">
        <f ca="1">AVERAGE(OFFSET($AM$3,0,0,'Données projet'!$E$10+1,1))-AVERAGE(OFFSET($H$3,0,0,'Données projet'!$E$10+1,1))</f>
        <v>366.41072413829329</v>
      </c>
      <c r="AO164" s="62">
        <f t="shared" si="144"/>
        <v>234.41212418619125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0</v>
      </c>
      <c r="AV164" s="23">
        <f>EXP(-LN(2)/25)*AV163+(1-EXP(-LN(2)/25))/(LN(2)/25)*Calculateur!AQ164*Calculateur!AS164*VLOOKUP('Données projet'!$B$10,Paramètres!$A$1:$I$89,3,0)*0.475*44/12</f>
        <v>0</v>
      </c>
      <c r="AW164" s="23">
        <f>EXP(-LN(2)/2)*AW163+(1-EXP(-LN(2)/2))/(LN(2)/2)*AQ164*AT164*VLOOKUP('Données projet'!$B$10,Paramètres!$A$1:$I$89,3,0)*0.475*44/12</f>
        <v>0</v>
      </c>
      <c r="AX164" s="23">
        <f t="shared" si="166"/>
        <v>0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5.6843418860808015E-14</v>
      </c>
      <c r="BE164" s="14">
        <f>BD164*VLOOKUP('Données projet'!$B$11,Paramètres!$A$1:$I$89,3,0)*VLOOKUP('Données projet'!$B$11,Paramètres!$A$1:$I$89,5,0)</f>
        <v>2.6602720026858149E-14</v>
      </c>
      <c r="BF164" s="14">
        <f t="shared" si="167"/>
        <v>4.6624771586320878E-13</v>
      </c>
      <c r="BG164" s="22">
        <f t="shared" si="168"/>
        <v>8.583811758418665E-13</v>
      </c>
      <c r="BH164" s="62">
        <f t="shared" si="116"/>
        <v>293.33333333333417</v>
      </c>
      <c r="BI164" s="62">
        <f ca="1">AVERAGE(OFFSET($BH$3,0,0,'Données projet'!$E$11+1,1))-AVERAGE(OFFSET($H$3,0,0,'Données projet'!$E$11+1,1))</f>
        <v>152.72674713084456</v>
      </c>
      <c r="BJ164" s="62">
        <f t="shared" si="146"/>
        <v>203.90215120562164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1.1479143193342165</v>
      </c>
      <c r="BQ164" s="23">
        <f>EXP(-LN(2)/25)*BQ163+(1-EXP(-LN(2)/25))/(LN(2)/25)*Calculateur!BL164*Calculateur!BN164*VLOOKUP('Données projet'!$B$11,Paramètres!$A$1:$I$89,3,0)*0.475*44/12</f>
        <v>0</v>
      </c>
      <c r="BR164" s="23">
        <f>EXP(-LN(2)/2)*BR163+(1-EXP(-LN(2)/2))/(LN(2)/2)*BL164*BO164*VLOOKUP('Données projet'!$B$11,Paramètres!$A$1:$I$89,3,0)*0.475*44/12</f>
        <v>2.9734275539530369E-19</v>
      </c>
      <c r="BS164" s="24">
        <f t="shared" si="169"/>
        <v>1.1479143193342165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3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45.231825599999908</v>
      </c>
      <c r="D165" s="12">
        <f t="shared" si="140"/>
        <v>13.375267803020977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142.05536885195377</v>
      </c>
      <c r="H165" s="70">
        <f t="shared" si="110"/>
        <v>358.74068767692808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0</v>
      </c>
      <c r="O165" s="14">
        <f>N165*VLOOKUP('Données projet'!$B$9,Paramètres!$A$1:$I$89,3,0)*VLOOKUP('Données projet'!$B$9,Paramètres!$A$1:$I$89,5,0)</f>
        <v>0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327.25473597900725</v>
      </c>
      <c r="T165" s="62">
        <f t="shared" si="142"/>
        <v>211.5313580973322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0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0</v>
      </c>
      <c r="AC165" s="24">
        <f t="shared" si="163"/>
        <v>0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>
        <f>AI165*VLOOKUP('Données projet'!$B$10,Paramètres!$A$1:$I$89,3,0)*VLOOKUP('Données projet'!$B$10,Paramètres!$A$1:$I$89,5,0)</f>
        <v>0</v>
      </c>
      <c r="AK165" s="14" t="e">
        <f t="shared" si="164"/>
        <v>#NUM!</v>
      </c>
      <c r="AL165" s="22" t="e">
        <f t="shared" si="165"/>
        <v>#NUM!</v>
      </c>
      <c r="AM165" s="62" t="e">
        <f t="shared" si="113"/>
        <v>#NUM!</v>
      </c>
      <c r="AN165" s="62">
        <f ca="1">AVERAGE(OFFSET($AM$3,0,0,'Données projet'!$E$10+1,1))-AVERAGE(OFFSET($H$3,0,0,'Données projet'!$E$10+1,1))</f>
        <v>366.41072413829329</v>
      </c>
      <c r="AO165" s="62">
        <f t="shared" si="144"/>
        <v>234.41212418619125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0</v>
      </c>
      <c r="AV165" s="23">
        <f>EXP(-LN(2)/25)*AV164+(1-EXP(-LN(2)/25))/(LN(2)/25)*Calculateur!AQ165*Calculateur!AS165*VLOOKUP('Données projet'!$B$10,Paramètres!$A$1:$I$89,3,0)*0.475*44/12</f>
        <v>0</v>
      </c>
      <c r="AW165" s="23">
        <f>EXP(-LN(2)/2)*AW164+(1-EXP(-LN(2)/2))/(LN(2)/2)*AQ165*AT165*VLOOKUP('Données projet'!$B$10,Paramètres!$A$1:$I$89,3,0)*0.475*44/12</f>
        <v>0</v>
      </c>
      <c r="AX165" s="23">
        <f t="shared" si="166"/>
        <v>0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5.6843418860808015E-14</v>
      </c>
      <c r="BE165" s="14">
        <f>BD165*VLOOKUP('Données projet'!$B$11,Paramètres!$A$1:$I$89,3,0)*VLOOKUP('Données projet'!$B$11,Paramètres!$A$1:$I$89,5,0)</f>
        <v>2.6602720026858149E-14</v>
      </c>
      <c r="BF165" s="14">
        <f t="shared" si="167"/>
        <v>4.6624771586320878E-13</v>
      </c>
      <c r="BG165" s="22">
        <f t="shared" si="168"/>
        <v>8.583811758418665E-13</v>
      </c>
      <c r="BH165" s="62">
        <f t="shared" si="116"/>
        <v>293.33333333333417</v>
      </c>
      <c r="BI165" s="62">
        <f ca="1">AVERAGE(OFFSET($BH$3,0,0,'Données projet'!$E$11+1,1))-AVERAGE(OFFSET($H$3,0,0,'Données projet'!$E$11+1,1))</f>
        <v>152.72674713084456</v>
      </c>
      <c r="BJ165" s="62">
        <f t="shared" si="146"/>
        <v>203.90215120562164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1.1254044196906723</v>
      </c>
      <c r="BQ165" s="23">
        <f>EXP(-LN(2)/25)*BQ164+(1-EXP(-LN(2)/25))/(LN(2)/25)*Calculateur!BL165*Calculateur!BN165*VLOOKUP('Données projet'!$B$11,Paramètres!$A$1:$I$89,3,0)*0.475*44/12</f>
        <v>0</v>
      </c>
      <c r="BR165" s="23">
        <f>EXP(-LN(2)/2)*BR164+(1-EXP(-LN(2)/2))/(LN(2)/2)*BL165*BO165*VLOOKUP('Données projet'!$B$11,Paramètres!$A$1:$I$89,3,0)*0.475*44/12</f>
        <v>2.1025307867671214E-19</v>
      </c>
      <c r="BS165" s="24">
        <f t="shared" si="169"/>
        <v>1.1254044196906723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3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45.511034399999907</v>
      </c>
      <c r="D166" s="12">
        <f t="shared" si="140"/>
        <v>13.448194657881768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142.90889625678827</v>
      </c>
      <c r="H166" s="70">
        <f t="shared" si="110"/>
        <v>359.35399060914392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0</v>
      </c>
      <c r="O166" s="14">
        <f>N166*VLOOKUP('Données projet'!$B$9,Paramètres!$A$1:$I$89,3,0)*VLOOKUP('Données projet'!$B$9,Paramètres!$A$1:$I$89,5,0)</f>
        <v>0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327.25473597900725</v>
      </c>
      <c r="T166" s="62">
        <f t="shared" si="142"/>
        <v>211.5313580973322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0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0</v>
      </c>
      <c r="AC166" s="24">
        <f t="shared" si="163"/>
        <v>0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>
        <f>AI166*VLOOKUP('Données projet'!$B$10,Paramètres!$A$1:$I$89,3,0)*VLOOKUP('Données projet'!$B$10,Paramètres!$A$1:$I$89,5,0)</f>
        <v>0</v>
      </c>
      <c r="AK166" s="14" t="e">
        <f t="shared" si="164"/>
        <v>#NUM!</v>
      </c>
      <c r="AL166" s="22" t="e">
        <f t="shared" si="165"/>
        <v>#NUM!</v>
      </c>
      <c r="AM166" s="62" t="e">
        <f t="shared" si="113"/>
        <v>#NUM!</v>
      </c>
      <c r="AN166" s="62">
        <f ca="1">AVERAGE(OFFSET($AM$3,0,0,'Données projet'!$E$10+1,1))-AVERAGE(OFFSET($H$3,0,0,'Données projet'!$E$10+1,1))</f>
        <v>366.41072413829329</v>
      </c>
      <c r="AO166" s="62">
        <f t="shared" si="144"/>
        <v>234.41212418619125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0</v>
      </c>
      <c r="AV166" s="23">
        <f>EXP(-LN(2)/25)*AV165+(1-EXP(-LN(2)/25))/(LN(2)/25)*Calculateur!AQ166*Calculateur!AS166*VLOOKUP('Données projet'!$B$10,Paramètres!$A$1:$I$89,3,0)*0.475*44/12</f>
        <v>0</v>
      </c>
      <c r="AW166" s="23">
        <f>EXP(-LN(2)/2)*AW165+(1-EXP(-LN(2)/2))/(LN(2)/2)*AQ166*AT166*VLOOKUP('Données projet'!$B$10,Paramètres!$A$1:$I$89,3,0)*0.475*44/12</f>
        <v>0</v>
      </c>
      <c r="AX166" s="23">
        <f t="shared" si="166"/>
        <v>0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5.6843418860808015E-14</v>
      </c>
      <c r="BE166" s="14">
        <f>BD166*VLOOKUP('Données projet'!$B$11,Paramètres!$A$1:$I$89,3,0)*VLOOKUP('Données projet'!$B$11,Paramètres!$A$1:$I$89,5,0)</f>
        <v>2.6602720026858149E-14</v>
      </c>
      <c r="BF166" s="14">
        <f t="shared" si="167"/>
        <v>4.6624771586320878E-13</v>
      </c>
      <c r="BG166" s="22">
        <f t="shared" si="168"/>
        <v>8.583811758418665E-13</v>
      </c>
      <c r="BH166" s="62">
        <f t="shared" si="116"/>
        <v>293.33333333333417</v>
      </c>
      <c r="BI166" s="62">
        <f ca="1">AVERAGE(OFFSET($BH$3,0,0,'Données projet'!$E$11+1,1))-AVERAGE(OFFSET($H$3,0,0,'Données projet'!$E$11+1,1))</f>
        <v>152.72674713084456</v>
      </c>
      <c r="BJ166" s="62">
        <f t="shared" si="146"/>
        <v>203.90215120562164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1.103335925449455</v>
      </c>
      <c r="BQ166" s="23">
        <f>EXP(-LN(2)/25)*BQ165+(1-EXP(-LN(2)/25))/(LN(2)/25)*Calculateur!BL166*Calculateur!BN166*VLOOKUP('Données projet'!$B$11,Paramètres!$A$1:$I$89,3,0)*0.475*44/12</f>
        <v>0</v>
      </c>
      <c r="BR166" s="23">
        <f>EXP(-LN(2)/2)*BR165+(1-EXP(-LN(2)/2))/(LN(2)/2)*BL166*BO166*VLOOKUP('Données projet'!$B$11,Paramètres!$A$1:$I$89,3,0)*0.475*44/12</f>
        <v>1.4867137769765187E-19</v>
      </c>
      <c r="BS166" s="24">
        <f t="shared" si="169"/>
        <v>1.103335925449455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3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45.790243199999907</v>
      </c>
      <c r="D167" s="12">
        <f t="shared" si="140"/>
        <v>13.521069453159697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143.76229747650055</v>
      </c>
      <c r="H167" s="70">
        <f t="shared" si="110"/>
        <v>359.96720287091966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0</v>
      </c>
      <c r="O167" s="14">
        <f>N167*VLOOKUP('Données projet'!$B$9,Paramètres!$A$1:$I$89,3,0)*VLOOKUP('Données projet'!$B$9,Paramètres!$A$1:$I$89,5,0)</f>
        <v>0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327.25473597900725</v>
      </c>
      <c r="T167" s="62">
        <f t="shared" si="142"/>
        <v>211.5313580973322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0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0</v>
      </c>
      <c r="AC167" s="24">
        <f t="shared" si="163"/>
        <v>0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>
        <f>AI167*VLOOKUP('Données projet'!$B$10,Paramètres!$A$1:$I$89,3,0)*VLOOKUP('Données projet'!$B$10,Paramètres!$A$1:$I$89,5,0)</f>
        <v>0</v>
      </c>
      <c r="AK167" s="14" t="e">
        <f t="shared" si="164"/>
        <v>#NUM!</v>
      </c>
      <c r="AL167" s="22" t="e">
        <f t="shared" si="165"/>
        <v>#NUM!</v>
      </c>
      <c r="AM167" s="62" t="e">
        <f t="shared" si="113"/>
        <v>#NUM!</v>
      </c>
      <c r="AN167" s="62">
        <f ca="1">AVERAGE(OFFSET($AM$3,0,0,'Données projet'!$E$10+1,1))-AVERAGE(OFFSET($H$3,0,0,'Données projet'!$E$10+1,1))</f>
        <v>366.41072413829329</v>
      </c>
      <c r="AO167" s="62">
        <f t="shared" si="144"/>
        <v>234.41212418619125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0</v>
      </c>
      <c r="AV167" s="23">
        <f>EXP(-LN(2)/25)*AV166+(1-EXP(-LN(2)/25))/(LN(2)/25)*Calculateur!AQ167*Calculateur!AS167*VLOOKUP('Données projet'!$B$10,Paramètres!$A$1:$I$89,3,0)*0.475*44/12</f>
        <v>0</v>
      </c>
      <c r="AW167" s="23">
        <f>EXP(-LN(2)/2)*AW166+(1-EXP(-LN(2)/2))/(LN(2)/2)*AQ167*AT167*VLOOKUP('Données projet'!$B$10,Paramètres!$A$1:$I$89,3,0)*0.475*44/12</f>
        <v>0</v>
      </c>
      <c r="AX167" s="23">
        <f t="shared" si="166"/>
        <v>0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5.6843418860808015E-14</v>
      </c>
      <c r="BE167" s="14">
        <f>BD167*VLOOKUP('Données projet'!$B$11,Paramètres!$A$1:$I$89,3,0)*VLOOKUP('Données projet'!$B$11,Paramètres!$A$1:$I$89,5,0)</f>
        <v>2.6602720026858149E-14</v>
      </c>
      <c r="BF167" s="14">
        <f t="shared" si="167"/>
        <v>4.6624771586320878E-13</v>
      </c>
      <c r="BG167" s="22">
        <f t="shared" si="168"/>
        <v>8.583811758418665E-13</v>
      </c>
      <c r="BH167" s="62">
        <f t="shared" si="116"/>
        <v>293.33333333333417</v>
      </c>
      <c r="BI167" s="62">
        <f ca="1">AVERAGE(OFFSET($BH$3,0,0,'Données projet'!$E$11+1,1))-AVERAGE(OFFSET($H$3,0,0,'Données projet'!$E$11+1,1))</f>
        <v>152.72674713084456</v>
      </c>
      <c r="BJ167" s="62">
        <f t="shared" si="146"/>
        <v>203.90215120562164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1.0817001809198556</v>
      </c>
      <c r="BQ167" s="23">
        <f>EXP(-LN(2)/25)*BQ166+(1-EXP(-LN(2)/25))/(LN(2)/25)*Calculateur!BL167*Calculateur!BN167*VLOOKUP('Données projet'!$B$11,Paramètres!$A$1:$I$89,3,0)*0.475*44/12</f>
        <v>0</v>
      </c>
      <c r="BR167" s="23">
        <f>EXP(-LN(2)/2)*BR166+(1-EXP(-LN(2)/2))/(LN(2)/2)*BL167*BO167*VLOOKUP('Données projet'!$B$11,Paramètres!$A$1:$I$89,3,0)*0.475*44/12</f>
        <v>1.0512653933835609E-19</v>
      </c>
      <c r="BS167" s="24">
        <f t="shared" si="169"/>
        <v>1.0817001809198556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3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46.069451999999906</v>
      </c>
      <c r="D168" s="12">
        <f t="shared" si="140"/>
        <v>13.593892543119523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144.61557336977859</v>
      </c>
      <c r="H168" s="70">
        <f t="shared" si="110"/>
        <v>360.58032507926634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0</v>
      </c>
      <c r="O168" s="14">
        <f>N168*VLOOKUP('Données projet'!$B$9,Paramètres!$A$1:$I$89,3,0)*VLOOKUP('Données projet'!$B$9,Paramètres!$A$1:$I$89,5,0)</f>
        <v>0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327.25473597900725</v>
      </c>
      <c r="T168" s="62">
        <f t="shared" si="142"/>
        <v>211.5313580973322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0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0</v>
      </c>
      <c r="AC168" s="24">
        <f t="shared" si="163"/>
        <v>0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>
        <f>AI168*VLOOKUP('Données projet'!$B$10,Paramètres!$A$1:$I$89,3,0)*VLOOKUP('Données projet'!$B$10,Paramètres!$A$1:$I$89,5,0)</f>
        <v>0</v>
      </c>
      <c r="AK168" s="14" t="e">
        <f t="shared" si="164"/>
        <v>#NUM!</v>
      </c>
      <c r="AL168" s="22" t="e">
        <f t="shared" si="165"/>
        <v>#NUM!</v>
      </c>
      <c r="AM168" s="62" t="e">
        <f t="shared" si="113"/>
        <v>#NUM!</v>
      </c>
      <c r="AN168" s="62">
        <f ca="1">AVERAGE(OFFSET($AM$3,0,0,'Données projet'!$E$10+1,1))-AVERAGE(OFFSET($H$3,0,0,'Données projet'!$E$10+1,1))</f>
        <v>366.41072413829329</v>
      </c>
      <c r="AO168" s="62">
        <f t="shared" si="144"/>
        <v>234.41212418619125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0</v>
      </c>
      <c r="AV168" s="23">
        <f>EXP(-LN(2)/25)*AV167+(1-EXP(-LN(2)/25))/(LN(2)/25)*Calculateur!AQ168*Calculateur!AS168*VLOOKUP('Données projet'!$B$10,Paramètres!$A$1:$I$89,3,0)*0.475*44/12</f>
        <v>0</v>
      </c>
      <c r="AW168" s="23">
        <f>EXP(-LN(2)/2)*AW167+(1-EXP(-LN(2)/2))/(LN(2)/2)*AQ168*AT168*VLOOKUP('Données projet'!$B$10,Paramètres!$A$1:$I$89,3,0)*0.475*44/12</f>
        <v>0</v>
      </c>
      <c r="AX168" s="23">
        <f t="shared" si="166"/>
        <v>0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5.6843418860808015E-14</v>
      </c>
      <c r="BE168" s="14">
        <f>BD168*VLOOKUP('Données projet'!$B$11,Paramètres!$A$1:$I$89,3,0)*VLOOKUP('Données projet'!$B$11,Paramètres!$A$1:$I$89,5,0)</f>
        <v>2.6602720026858149E-14</v>
      </c>
      <c r="BF168" s="14">
        <f t="shared" si="167"/>
        <v>4.6624771586320878E-13</v>
      </c>
      <c r="BG168" s="22">
        <f t="shared" si="168"/>
        <v>8.583811758418665E-13</v>
      </c>
      <c r="BH168" s="62">
        <f t="shared" si="116"/>
        <v>293.33333333333417</v>
      </c>
      <c r="BI168" s="62">
        <f ca="1">AVERAGE(OFFSET($BH$3,0,0,'Données projet'!$E$11+1,1))-AVERAGE(OFFSET($H$3,0,0,'Données projet'!$E$11+1,1))</f>
        <v>152.72674713084456</v>
      </c>
      <c r="BJ168" s="62">
        <f t="shared" si="146"/>
        <v>203.90215120562164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1.0604887001439807</v>
      </c>
      <c r="BQ168" s="23">
        <f>EXP(-LN(2)/25)*BQ167+(1-EXP(-LN(2)/25))/(LN(2)/25)*Calculateur!BL168*Calculateur!BN168*VLOOKUP('Données projet'!$B$11,Paramètres!$A$1:$I$89,3,0)*0.475*44/12</f>
        <v>0</v>
      </c>
      <c r="BR168" s="23">
        <f>EXP(-LN(2)/2)*BR167+(1-EXP(-LN(2)/2))/(LN(2)/2)*BL168*BO168*VLOOKUP('Données projet'!$B$11,Paramètres!$A$1:$I$89,3,0)*0.475*44/12</f>
        <v>7.4335688848825946E-20</v>
      </c>
      <c r="BS168" s="24">
        <f t="shared" si="169"/>
        <v>1.0604887001439807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3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46.348660799999905</v>
      </c>
      <c r="D169" s="12">
        <f t="shared" si="140"/>
        <v>13.666664277483472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145.46872478430006</v>
      </c>
      <c r="H169" s="70">
        <f t="shared" si="110"/>
        <v>361.19335784328359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0</v>
      </c>
      <c r="O169" s="14">
        <f>N169*VLOOKUP('Données projet'!$B$9,Paramètres!$A$1:$I$89,3,0)*VLOOKUP('Données projet'!$B$9,Paramètres!$A$1:$I$89,5,0)</f>
        <v>0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327.25473597900725</v>
      </c>
      <c r="T169" s="62">
        <f t="shared" si="142"/>
        <v>211.5313580973322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0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0</v>
      </c>
      <c r="AC169" s="24">
        <f t="shared" si="163"/>
        <v>0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>
        <f>AI169*VLOOKUP('Données projet'!$B$10,Paramètres!$A$1:$I$89,3,0)*VLOOKUP('Données projet'!$B$10,Paramètres!$A$1:$I$89,5,0)</f>
        <v>0</v>
      </c>
      <c r="AK169" s="14" t="e">
        <f t="shared" si="164"/>
        <v>#NUM!</v>
      </c>
      <c r="AL169" s="22" t="e">
        <f t="shared" si="165"/>
        <v>#NUM!</v>
      </c>
      <c r="AM169" s="62" t="e">
        <f t="shared" si="113"/>
        <v>#NUM!</v>
      </c>
      <c r="AN169" s="62">
        <f ca="1">AVERAGE(OFFSET($AM$3,0,0,'Données projet'!$E$10+1,1))-AVERAGE(OFFSET($H$3,0,0,'Données projet'!$E$10+1,1))</f>
        <v>366.41072413829329</v>
      </c>
      <c r="AO169" s="62">
        <f t="shared" si="144"/>
        <v>234.41212418619125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0</v>
      </c>
      <c r="AV169" s="23">
        <f>EXP(-LN(2)/25)*AV168+(1-EXP(-LN(2)/25))/(LN(2)/25)*Calculateur!AQ169*Calculateur!AS169*VLOOKUP('Données projet'!$B$10,Paramètres!$A$1:$I$89,3,0)*0.475*44/12</f>
        <v>0</v>
      </c>
      <c r="AW169" s="23">
        <f>EXP(-LN(2)/2)*AW168+(1-EXP(-LN(2)/2))/(LN(2)/2)*AQ169*AT169*VLOOKUP('Données projet'!$B$10,Paramètres!$A$1:$I$89,3,0)*0.475*44/12</f>
        <v>0</v>
      </c>
      <c r="AX169" s="23">
        <f t="shared" si="166"/>
        <v>0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5.6843418860808015E-14</v>
      </c>
      <c r="BE169" s="14">
        <f>BD169*VLOOKUP('Données projet'!$B$11,Paramètres!$A$1:$I$89,3,0)*VLOOKUP('Données projet'!$B$11,Paramètres!$A$1:$I$89,5,0)</f>
        <v>2.6602720026858149E-14</v>
      </c>
      <c r="BF169" s="14">
        <f t="shared" si="167"/>
        <v>4.6624771586320878E-13</v>
      </c>
      <c r="BG169" s="22">
        <f t="shared" si="168"/>
        <v>8.583811758418665E-13</v>
      </c>
      <c r="BH169" s="62">
        <f t="shared" si="116"/>
        <v>293.33333333333417</v>
      </c>
      <c r="BI169" s="62">
        <f ca="1">AVERAGE(OFFSET($BH$3,0,0,'Données projet'!$E$11+1,1))-AVERAGE(OFFSET($H$3,0,0,'Données projet'!$E$11+1,1))</f>
        <v>152.72674713084456</v>
      </c>
      <c r="BJ169" s="62">
        <f t="shared" si="146"/>
        <v>203.90215120562164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1.0396931635683948</v>
      </c>
      <c r="BQ169" s="23">
        <f>EXP(-LN(2)/25)*BQ168+(1-EXP(-LN(2)/25))/(LN(2)/25)*Calculateur!BL169*Calculateur!BN169*VLOOKUP('Données projet'!$B$11,Paramètres!$A$1:$I$89,3,0)*0.475*44/12</f>
        <v>0</v>
      </c>
      <c r="BR169" s="23">
        <f>EXP(-LN(2)/2)*BR168+(1-EXP(-LN(2)/2))/(LN(2)/2)*BL169*BO169*VLOOKUP('Données projet'!$B$11,Paramètres!$A$1:$I$89,3,0)*0.475*44/12</f>
        <v>5.2563269669178052E-20</v>
      </c>
      <c r="BS169" s="24">
        <f t="shared" si="169"/>
        <v>1.0396931635683948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3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46.627869599999904</v>
      </c>
      <c r="D170" s="12">
        <f t="shared" si="140"/>
        <v>13.739385001516538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146.32175255693883</v>
      </c>
      <c r="H170" s="70">
        <f t="shared" si="110"/>
        <v>361.80630176430782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0</v>
      </c>
      <c r="O170" s="14">
        <f>N170*VLOOKUP('Données projet'!$B$9,Paramètres!$A$1:$I$89,3,0)*VLOOKUP('Données projet'!$B$9,Paramètres!$A$1:$I$89,5,0)</f>
        <v>0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327.25473597900725</v>
      </c>
      <c r="T170" s="62">
        <f t="shared" si="142"/>
        <v>211.5313580973322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0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0</v>
      </c>
      <c r="AC170" s="24">
        <f t="shared" si="163"/>
        <v>0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>
        <f>AI170*VLOOKUP('Données projet'!$B$10,Paramètres!$A$1:$I$89,3,0)*VLOOKUP('Données projet'!$B$10,Paramètres!$A$1:$I$89,5,0)</f>
        <v>0</v>
      </c>
      <c r="AK170" s="14" t="e">
        <f t="shared" si="164"/>
        <v>#NUM!</v>
      </c>
      <c r="AL170" s="22" t="e">
        <f t="shared" si="165"/>
        <v>#NUM!</v>
      </c>
      <c r="AM170" s="62" t="e">
        <f t="shared" si="113"/>
        <v>#NUM!</v>
      </c>
      <c r="AN170" s="62">
        <f ca="1">AVERAGE(OFFSET($AM$3,0,0,'Données projet'!$E$10+1,1))-AVERAGE(OFFSET($H$3,0,0,'Données projet'!$E$10+1,1))</f>
        <v>366.41072413829329</v>
      </c>
      <c r="AO170" s="62">
        <f t="shared" si="144"/>
        <v>234.41212418619125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0</v>
      </c>
      <c r="AV170" s="23">
        <f>EXP(-LN(2)/25)*AV169+(1-EXP(-LN(2)/25))/(LN(2)/25)*Calculateur!AQ170*Calculateur!AS170*VLOOKUP('Données projet'!$B$10,Paramètres!$A$1:$I$89,3,0)*0.475*44/12</f>
        <v>0</v>
      </c>
      <c r="AW170" s="23">
        <f>EXP(-LN(2)/2)*AW169+(1-EXP(-LN(2)/2))/(LN(2)/2)*AQ170*AT170*VLOOKUP('Données projet'!$B$10,Paramètres!$A$1:$I$89,3,0)*0.475*44/12</f>
        <v>0</v>
      </c>
      <c r="AX170" s="23">
        <f t="shared" si="166"/>
        <v>0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5.6843418860808015E-14</v>
      </c>
      <c r="BE170" s="14">
        <f>BD170*VLOOKUP('Données projet'!$B$11,Paramètres!$A$1:$I$89,3,0)*VLOOKUP('Données projet'!$B$11,Paramètres!$A$1:$I$89,5,0)</f>
        <v>2.6602720026858149E-14</v>
      </c>
      <c r="BF170" s="14">
        <f t="shared" si="167"/>
        <v>4.6624771586320878E-13</v>
      </c>
      <c r="BG170" s="22">
        <f t="shared" si="168"/>
        <v>8.583811758418665E-13</v>
      </c>
      <c r="BH170" s="62">
        <f t="shared" si="116"/>
        <v>293.33333333333417</v>
      </c>
      <c r="BI170" s="62">
        <f ca="1">AVERAGE(OFFSET($BH$3,0,0,'Données projet'!$E$11+1,1))-AVERAGE(OFFSET($H$3,0,0,'Données projet'!$E$11+1,1))</f>
        <v>152.72674713084456</v>
      </c>
      <c r="BJ170" s="62">
        <f t="shared" si="146"/>
        <v>203.90215120562164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1.0193054147810312</v>
      </c>
      <c r="BQ170" s="23">
        <f>EXP(-LN(2)/25)*BQ169+(1-EXP(-LN(2)/25))/(LN(2)/25)*Calculateur!BL170*Calculateur!BN170*VLOOKUP('Données projet'!$B$11,Paramètres!$A$1:$I$89,3,0)*0.475*44/12</f>
        <v>0</v>
      </c>
      <c r="BR170" s="23">
        <f>EXP(-LN(2)/2)*BR169+(1-EXP(-LN(2)/2))/(LN(2)/2)*BL170*BO170*VLOOKUP('Données projet'!$B$11,Paramètres!$A$1:$I$89,3,0)*0.475*44/12</f>
        <v>3.7167844424412979E-20</v>
      </c>
      <c r="BS170" s="24">
        <f t="shared" si="169"/>
        <v>1.0193054147810312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3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46.907078399999904</v>
      </c>
      <c r="D171" s="12">
        <f t="shared" si="140"/>
        <v>13.812055056109568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147.17465751396642</v>
      </c>
      <c r="H171" s="70">
        <f t="shared" si="110"/>
        <v>362.41915743605733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0</v>
      </c>
      <c r="O171" s="14">
        <f>N171*VLOOKUP('Données projet'!$B$9,Paramètres!$A$1:$I$89,3,0)*VLOOKUP('Données projet'!$B$9,Paramètres!$A$1:$I$89,5,0)</f>
        <v>0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327.25473597900725</v>
      </c>
      <c r="T171" s="62">
        <f t="shared" si="142"/>
        <v>211.5313580973322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0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0</v>
      </c>
      <c r="AC171" s="24">
        <f t="shared" si="163"/>
        <v>0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>
        <f>AI171*VLOOKUP('Données projet'!$B$10,Paramètres!$A$1:$I$89,3,0)*VLOOKUP('Données projet'!$B$10,Paramètres!$A$1:$I$89,5,0)</f>
        <v>0</v>
      </c>
      <c r="AK171" s="14" t="e">
        <f t="shared" si="164"/>
        <v>#NUM!</v>
      </c>
      <c r="AL171" s="22" t="e">
        <f t="shared" si="165"/>
        <v>#NUM!</v>
      </c>
      <c r="AM171" s="62" t="e">
        <f t="shared" si="113"/>
        <v>#NUM!</v>
      </c>
      <c r="AN171" s="62">
        <f ca="1">AVERAGE(OFFSET($AM$3,0,0,'Données projet'!$E$10+1,1))-AVERAGE(OFFSET($H$3,0,0,'Données projet'!$E$10+1,1))</f>
        <v>366.41072413829329</v>
      </c>
      <c r="AO171" s="62">
        <f t="shared" si="144"/>
        <v>234.41212418619125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0</v>
      </c>
      <c r="AV171" s="23">
        <f>EXP(-LN(2)/25)*AV170+(1-EXP(-LN(2)/25))/(LN(2)/25)*Calculateur!AQ171*Calculateur!AS171*VLOOKUP('Données projet'!$B$10,Paramètres!$A$1:$I$89,3,0)*0.475*44/12</f>
        <v>0</v>
      </c>
      <c r="AW171" s="23">
        <f>EXP(-LN(2)/2)*AW170+(1-EXP(-LN(2)/2))/(LN(2)/2)*AQ171*AT171*VLOOKUP('Données projet'!$B$10,Paramètres!$A$1:$I$89,3,0)*0.475*44/12</f>
        <v>0</v>
      </c>
      <c r="AX171" s="23">
        <f t="shared" si="166"/>
        <v>0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5.6843418860808015E-14</v>
      </c>
      <c r="BE171" s="14">
        <f>BD171*VLOOKUP('Données projet'!$B$11,Paramètres!$A$1:$I$89,3,0)*VLOOKUP('Données projet'!$B$11,Paramètres!$A$1:$I$89,5,0)</f>
        <v>2.6602720026858149E-14</v>
      </c>
      <c r="BF171" s="14">
        <f t="shared" si="167"/>
        <v>4.6624771586320878E-13</v>
      </c>
      <c r="BG171" s="22">
        <f t="shared" si="168"/>
        <v>8.583811758418665E-13</v>
      </c>
      <c r="BH171" s="62">
        <f t="shared" si="116"/>
        <v>293.33333333333417</v>
      </c>
      <c r="BI171" s="62">
        <f ca="1">AVERAGE(OFFSET($BH$3,0,0,'Données projet'!$E$11+1,1))-AVERAGE(OFFSET($H$3,0,0,'Données projet'!$E$11+1,1))</f>
        <v>152.72674713084456</v>
      </c>
      <c r="BJ171" s="62">
        <f t="shared" si="146"/>
        <v>203.90215120562164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0.99931745731208899</v>
      </c>
      <c r="BQ171" s="23">
        <f>EXP(-LN(2)/25)*BQ170+(1-EXP(-LN(2)/25))/(LN(2)/25)*Calculateur!BL171*Calculateur!BN171*VLOOKUP('Données projet'!$B$11,Paramètres!$A$1:$I$89,3,0)*0.475*44/12</f>
        <v>0</v>
      </c>
      <c r="BR171" s="23">
        <f>EXP(-LN(2)/2)*BR170+(1-EXP(-LN(2)/2))/(LN(2)/2)*BL171*BO171*VLOOKUP('Données projet'!$B$11,Paramètres!$A$1:$I$89,3,0)*0.475*44/12</f>
        <v>2.6281634834589029E-20</v>
      </c>
      <c r="BS171" s="24">
        <f t="shared" si="169"/>
        <v>0.99931745731208899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3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47.186287199999903</v>
      </c>
      <c r="D172" s="12">
        <f t="shared" si="140"/>
        <v>13.884674777860427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148.02744047124887</v>
      </c>
      <c r="H172" s="70">
        <f t="shared" si="110"/>
        <v>363.03192544477344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0</v>
      </c>
      <c r="O172" s="14">
        <f>N172*VLOOKUP('Données projet'!$B$9,Paramètres!$A$1:$I$89,3,0)*VLOOKUP('Données projet'!$B$9,Paramètres!$A$1:$I$89,5,0)</f>
        <v>0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327.25473597900725</v>
      </c>
      <c r="T172" s="62">
        <f t="shared" si="142"/>
        <v>211.5313580973322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0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0</v>
      </c>
      <c r="AC172" s="24">
        <f t="shared" si="163"/>
        <v>0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>
        <f>AI172*VLOOKUP('Données projet'!$B$10,Paramètres!$A$1:$I$89,3,0)*VLOOKUP('Données projet'!$B$10,Paramètres!$A$1:$I$89,5,0)</f>
        <v>0</v>
      </c>
      <c r="AK172" s="14" t="e">
        <f t="shared" si="164"/>
        <v>#NUM!</v>
      </c>
      <c r="AL172" s="22" t="e">
        <f t="shared" si="165"/>
        <v>#NUM!</v>
      </c>
      <c r="AM172" s="62" t="e">
        <f t="shared" si="113"/>
        <v>#NUM!</v>
      </c>
      <c r="AN172" s="62">
        <f ca="1">AVERAGE(OFFSET($AM$3,0,0,'Données projet'!$E$10+1,1))-AVERAGE(OFFSET($H$3,0,0,'Données projet'!$E$10+1,1))</f>
        <v>366.41072413829329</v>
      </c>
      <c r="AO172" s="62">
        <f t="shared" si="144"/>
        <v>234.41212418619125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0</v>
      </c>
      <c r="AV172" s="23">
        <f>EXP(-LN(2)/25)*AV171+(1-EXP(-LN(2)/25))/(LN(2)/25)*Calculateur!AQ172*Calculateur!AS172*VLOOKUP('Données projet'!$B$10,Paramètres!$A$1:$I$89,3,0)*0.475*44/12</f>
        <v>0</v>
      </c>
      <c r="AW172" s="23">
        <f>EXP(-LN(2)/2)*AW171+(1-EXP(-LN(2)/2))/(LN(2)/2)*AQ172*AT172*VLOOKUP('Données projet'!$B$10,Paramètres!$A$1:$I$89,3,0)*0.475*44/12</f>
        <v>0</v>
      </c>
      <c r="AX172" s="23">
        <f t="shared" si="166"/>
        <v>0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5.6843418860808015E-14</v>
      </c>
      <c r="BE172" s="14">
        <f>BD172*VLOOKUP('Données projet'!$B$11,Paramètres!$A$1:$I$89,3,0)*VLOOKUP('Données projet'!$B$11,Paramètres!$A$1:$I$89,5,0)</f>
        <v>2.6602720026858149E-14</v>
      </c>
      <c r="BF172" s="14">
        <f t="shared" si="167"/>
        <v>4.6624771586320878E-13</v>
      </c>
      <c r="BG172" s="22">
        <f t="shared" si="168"/>
        <v>8.583811758418665E-13</v>
      </c>
      <c r="BH172" s="62">
        <f t="shared" si="116"/>
        <v>293.33333333333417</v>
      </c>
      <c r="BI172" s="62">
        <f ca="1">AVERAGE(OFFSET($BH$3,0,0,'Données projet'!$E$11+1,1))-AVERAGE(OFFSET($H$3,0,0,'Données projet'!$E$11+1,1))</f>
        <v>152.72674713084456</v>
      </c>
      <c r="BJ172" s="62">
        <f t="shared" si="146"/>
        <v>203.90215120562164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0.97972145149766243</v>
      </c>
      <c r="BQ172" s="23">
        <f>EXP(-LN(2)/25)*BQ171+(1-EXP(-LN(2)/25))/(LN(2)/25)*Calculateur!BL172*Calculateur!BN172*VLOOKUP('Données projet'!$B$11,Paramètres!$A$1:$I$89,3,0)*0.475*44/12</f>
        <v>0</v>
      </c>
      <c r="BR172" s="23">
        <f>EXP(-LN(2)/2)*BR171+(1-EXP(-LN(2)/2))/(LN(2)/2)*BL172*BO172*VLOOKUP('Données projet'!$B$11,Paramètres!$A$1:$I$89,3,0)*0.475*44/12</f>
        <v>1.8583922212206489E-20</v>
      </c>
      <c r="BS172" s="24">
        <f t="shared" si="169"/>
        <v>0.97972145149766243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3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47.465495999999902</v>
      </c>
      <c r="D173" s="12">
        <f t="shared" si="140"/>
        <v>13.957244499153111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148.88010223443825</v>
      </c>
      <c r="H173" s="70">
        <f t="shared" si="110"/>
        <v>363.6446063693582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0</v>
      </c>
      <c r="O173" s="14">
        <f>N173*VLOOKUP('Données projet'!$B$9,Paramètres!$A$1:$I$89,3,0)*VLOOKUP('Données projet'!$B$9,Paramètres!$A$1:$I$89,5,0)</f>
        <v>0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327.25473597900725</v>
      </c>
      <c r="T173" s="62">
        <f t="shared" si="142"/>
        <v>211.5313580973322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0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0</v>
      </c>
      <c r="AC173" s="24">
        <f t="shared" si="163"/>
        <v>0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>
        <f>AI173*VLOOKUP('Données projet'!$B$10,Paramètres!$A$1:$I$89,3,0)*VLOOKUP('Données projet'!$B$10,Paramètres!$A$1:$I$89,5,0)</f>
        <v>0</v>
      </c>
      <c r="AK173" s="14" t="e">
        <f t="shared" si="164"/>
        <v>#NUM!</v>
      </c>
      <c r="AL173" s="22" t="e">
        <f t="shared" si="165"/>
        <v>#NUM!</v>
      </c>
      <c r="AM173" s="62" t="e">
        <f t="shared" si="113"/>
        <v>#NUM!</v>
      </c>
      <c r="AN173" s="62">
        <f ca="1">AVERAGE(OFFSET($AM$3,0,0,'Données projet'!$E$10+1,1))-AVERAGE(OFFSET($H$3,0,0,'Données projet'!$E$10+1,1))</f>
        <v>366.41072413829329</v>
      </c>
      <c r="AO173" s="62">
        <f t="shared" si="144"/>
        <v>234.41212418619125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0</v>
      </c>
      <c r="AV173" s="23">
        <f>EXP(-LN(2)/25)*AV172+(1-EXP(-LN(2)/25))/(LN(2)/25)*Calculateur!AQ173*Calculateur!AS173*VLOOKUP('Données projet'!$B$10,Paramètres!$A$1:$I$89,3,0)*0.475*44/12</f>
        <v>0</v>
      </c>
      <c r="AW173" s="23">
        <f>EXP(-LN(2)/2)*AW172+(1-EXP(-LN(2)/2))/(LN(2)/2)*AQ173*AT173*VLOOKUP('Données projet'!$B$10,Paramètres!$A$1:$I$89,3,0)*0.475*44/12</f>
        <v>0</v>
      </c>
      <c r="AX173" s="23">
        <f t="shared" si="166"/>
        <v>0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5.6843418860808015E-14</v>
      </c>
      <c r="BE173" s="14">
        <f>BD173*VLOOKUP('Données projet'!$B$11,Paramètres!$A$1:$I$89,3,0)*VLOOKUP('Données projet'!$B$11,Paramètres!$A$1:$I$89,5,0)</f>
        <v>2.6602720026858149E-14</v>
      </c>
      <c r="BF173" s="14">
        <f t="shared" si="167"/>
        <v>4.6624771586320878E-13</v>
      </c>
      <c r="BG173" s="22">
        <f t="shared" si="168"/>
        <v>8.583811758418665E-13</v>
      </c>
      <c r="BH173" s="62">
        <f t="shared" si="116"/>
        <v>293.33333333333417</v>
      </c>
      <c r="BI173" s="62">
        <f ca="1">AVERAGE(OFFSET($BH$3,0,0,'Données projet'!$E$11+1,1))-AVERAGE(OFFSET($H$3,0,0,'Données projet'!$E$11+1,1))</f>
        <v>152.72674713084456</v>
      </c>
      <c r="BJ173" s="62">
        <f t="shared" si="146"/>
        <v>203.90215120562164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0.9605097114048734</v>
      </c>
      <c r="BQ173" s="23">
        <f>EXP(-LN(2)/25)*BQ172+(1-EXP(-LN(2)/25))/(LN(2)/25)*Calculateur!BL173*Calculateur!BN173*VLOOKUP('Données projet'!$B$11,Paramètres!$A$1:$I$89,3,0)*0.475*44/12</f>
        <v>0</v>
      </c>
      <c r="BR173" s="23">
        <f>EXP(-LN(2)/2)*BR172+(1-EXP(-LN(2)/2))/(LN(2)/2)*BL173*BO173*VLOOKUP('Données projet'!$B$11,Paramètres!$A$1:$I$89,3,0)*0.475*44/12</f>
        <v>1.3140817417294514E-20</v>
      </c>
      <c r="BS173" s="24">
        <f t="shared" si="169"/>
        <v>0.9605097114048734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3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47.744704799999901</v>
      </c>
      <c r="D174" s="12">
        <f t="shared" si="140"/>
        <v>14.029764548234978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149.73264359916018</v>
      </c>
      <c r="H174" s="70">
        <f t="shared" si="110"/>
        <v>364.25720078150908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0</v>
      </c>
      <c r="O174" s="14">
        <f>N174*VLOOKUP('Données projet'!$B$9,Paramètres!$A$1:$I$89,3,0)*VLOOKUP('Données projet'!$B$9,Paramètres!$A$1:$I$89,5,0)</f>
        <v>0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327.25473597900725</v>
      </c>
      <c r="T174" s="62">
        <f t="shared" si="142"/>
        <v>211.5313580973322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0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0</v>
      </c>
      <c r="AC174" s="24">
        <f t="shared" si="163"/>
        <v>0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>
        <f>AI174*VLOOKUP('Données projet'!$B$10,Paramètres!$A$1:$I$89,3,0)*VLOOKUP('Données projet'!$B$10,Paramètres!$A$1:$I$89,5,0)</f>
        <v>0</v>
      </c>
      <c r="AK174" s="14" t="e">
        <f t="shared" si="164"/>
        <v>#NUM!</v>
      </c>
      <c r="AL174" s="22" t="e">
        <f t="shared" si="165"/>
        <v>#NUM!</v>
      </c>
      <c r="AM174" s="62" t="e">
        <f t="shared" si="113"/>
        <v>#NUM!</v>
      </c>
      <c r="AN174" s="62">
        <f ca="1">AVERAGE(OFFSET($AM$3,0,0,'Données projet'!$E$10+1,1))-AVERAGE(OFFSET($H$3,0,0,'Données projet'!$E$10+1,1))</f>
        <v>366.41072413829329</v>
      </c>
      <c r="AO174" s="62">
        <f t="shared" si="144"/>
        <v>234.41212418619125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0</v>
      </c>
      <c r="AV174" s="23">
        <f>EXP(-LN(2)/25)*AV173+(1-EXP(-LN(2)/25))/(LN(2)/25)*Calculateur!AQ174*Calculateur!AS174*VLOOKUP('Données projet'!$B$10,Paramètres!$A$1:$I$89,3,0)*0.475*44/12</f>
        <v>0</v>
      </c>
      <c r="AW174" s="23">
        <f>EXP(-LN(2)/2)*AW173+(1-EXP(-LN(2)/2))/(LN(2)/2)*AQ174*AT174*VLOOKUP('Données projet'!$B$10,Paramètres!$A$1:$I$89,3,0)*0.475*44/12</f>
        <v>0</v>
      </c>
      <c r="AX174" s="23">
        <f t="shared" si="166"/>
        <v>0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5.6843418860808015E-14</v>
      </c>
      <c r="BE174" s="14">
        <f>BD174*VLOOKUP('Données projet'!$B$11,Paramètres!$A$1:$I$89,3,0)*VLOOKUP('Données projet'!$B$11,Paramètres!$A$1:$I$89,5,0)</f>
        <v>2.6602720026858149E-14</v>
      </c>
      <c r="BF174" s="14">
        <f t="shared" si="167"/>
        <v>4.6624771586320878E-13</v>
      </c>
      <c r="BG174" s="22">
        <f t="shared" si="168"/>
        <v>8.583811758418665E-13</v>
      </c>
      <c r="BH174" s="62">
        <f t="shared" si="116"/>
        <v>293.33333333333417</v>
      </c>
      <c r="BI174" s="62">
        <f ca="1">AVERAGE(OFFSET($BH$3,0,0,'Données projet'!$E$11+1,1))-AVERAGE(OFFSET($H$3,0,0,'Données projet'!$E$11+1,1))</f>
        <v>152.72674713084456</v>
      </c>
      <c r="BJ174" s="62">
        <f t="shared" si="146"/>
        <v>203.90215120562164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0.94167470181729962</v>
      </c>
      <c r="BQ174" s="23">
        <f>EXP(-LN(2)/25)*BQ173+(1-EXP(-LN(2)/25))/(LN(2)/25)*Calculateur!BL174*Calculateur!BN174*VLOOKUP('Données projet'!$B$11,Paramètres!$A$1:$I$89,3,0)*0.475*44/12</f>
        <v>0</v>
      </c>
      <c r="BR174" s="23">
        <f>EXP(-LN(2)/2)*BR173+(1-EXP(-LN(2)/2))/(LN(2)/2)*BL174*BO174*VLOOKUP('Données projet'!$B$11,Paramètres!$A$1:$I$89,3,0)*0.475*44/12</f>
        <v>9.2919611061032447E-21</v>
      </c>
      <c r="BS174" s="24">
        <f t="shared" si="169"/>
        <v>0.94167470181729962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3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48.023913599999901</v>
      </c>
      <c r="D175" s="12">
        <f t="shared" si="140"/>
        <v>14.102235249292113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150.58506535119622</v>
      </c>
      <c r="H175" s="70">
        <f t="shared" si="110"/>
        <v>364.86970924585029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0</v>
      </c>
      <c r="O175" s="14">
        <f>N175*VLOOKUP('Données projet'!$B$9,Paramètres!$A$1:$I$89,3,0)*VLOOKUP('Données projet'!$B$9,Paramètres!$A$1:$I$89,5,0)</f>
        <v>0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327.25473597900725</v>
      </c>
      <c r="T175" s="62">
        <f t="shared" si="142"/>
        <v>211.5313580973322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0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0</v>
      </c>
      <c r="AC175" s="24">
        <f t="shared" si="163"/>
        <v>0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>
        <f>AI175*VLOOKUP('Données projet'!$B$10,Paramètres!$A$1:$I$89,3,0)*VLOOKUP('Données projet'!$B$10,Paramètres!$A$1:$I$89,5,0)</f>
        <v>0</v>
      </c>
      <c r="AK175" s="14" t="e">
        <f t="shared" si="164"/>
        <v>#NUM!</v>
      </c>
      <c r="AL175" s="22" t="e">
        <f t="shared" si="165"/>
        <v>#NUM!</v>
      </c>
      <c r="AM175" s="62" t="e">
        <f t="shared" si="113"/>
        <v>#NUM!</v>
      </c>
      <c r="AN175" s="62">
        <f ca="1">AVERAGE(OFFSET($AM$3,0,0,'Données projet'!$E$10+1,1))-AVERAGE(OFFSET($H$3,0,0,'Données projet'!$E$10+1,1))</f>
        <v>366.41072413829329</v>
      </c>
      <c r="AO175" s="62">
        <f t="shared" si="144"/>
        <v>234.41212418619125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0</v>
      </c>
      <c r="AV175" s="23">
        <f>EXP(-LN(2)/25)*AV174+(1-EXP(-LN(2)/25))/(LN(2)/25)*Calculateur!AQ175*Calculateur!AS175*VLOOKUP('Données projet'!$B$10,Paramètres!$A$1:$I$89,3,0)*0.475*44/12</f>
        <v>0</v>
      </c>
      <c r="AW175" s="23">
        <f>EXP(-LN(2)/2)*AW174+(1-EXP(-LN(2)/2))/(LN(2)/2)*AQ175*AT175*VLOOKUP('Données projet'!$B$10,Paramètres!$A$1:$I$89,3,0)*0.475*44/12</f>
        <v>0</v>
      </c>
      <c r="AX175" s="23">
        <f t="shared" si="166"/>
        <v>0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5.6843418860808015E-14</v>
      </c>
      <c r="BE175" s="14">
        <f>BD175*VLOOKUP('Données projet'!$B$11,Paramètres!$A$1:$I$89,3,0)*VLOOKUP('Données projet'!$B$11,Paramètres!$A$1:$I$89,5,0)</f>
        <v>2.6602720026858149E-14</v>
      </c>
      <c r="BF175" s="14">
        <f t="shared" si="167"/>
        <v>4.6624771586320878E-13</v>
      </c>
      <c r="BG175" s="22">
        <f t="shared" si="168"/>
        <v>8.583811758418665E-13</v>
      </c>
      <c r="BH175" s="62">
        <f t="shared" si="116"/>
        <v>293.33333333333417</v>
      </c>
      <c r="BI175" s="62">
        <f ca="1">AVERAGE(OFFSET($BH$3,0,0,'Données projet'!$E$11+1,1))-AVERAGE(OFFSET($H$3,0,0,'Données projet'!$E$11+1,1))</f>
        <v>152.72674713084456</v>
      </c>
      <c r="BJ175" s="62">
        <f t="shared" si="146"/>
        <v>203.90215120562164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0.9232090352795167</v>
      </c>
      <c r="BQ175" s="23">
        <f>EXP(-LN(2)/25)*BQ174+(1-EXP(-LN(2)/25))/(LN(2)/25)*Calculateur!BL175*Calculateur!BN175*VLOOKUP('Données projet'!$B$11,Paramètres!$A$1:$I$89,3,0)*0.475*44/12</f>
        <v>0</v>
      </c>
      <c r="BR175" s="23">
        <f>EXP(-LN(2)/2)*BR174+(1-EXP(-LN(2)/2))/(LN(2)/2)*BL175*BO175*VLOOKUP('Données projet'!$B$11,Paramètres!$A$1:$I$89,3,0)*0.475*44/12</f>
        <v>6.5704087086472572E-21</v>
      </c>
      <c r="BS175" s="24">
        <f t="shared" si="169"/>
        <v>0.9232090352795167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3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48.3031223999999</v>
      </c>
      <c r="D176" s="12">
        <f t="shared" si="140"/>
        <v>14.174656922522878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151.43736826666225</v>
      </c>
      <c r="H176" s="70">
        <f t="shared" si="110"/>
        <v>365.48213232006054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0</v>
      </c>
      <c r="O176" s="14">
        <f>N176*VLOOKUP('Données projet'!$B$9,Paramètres!$A$1:$I$89,3,0)*VLOOKUP('Données projet'!$B$9,Paramètres!$A$1:$I$89,5,0)</f>
        <v>0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327.25473597900725</v>
      </c>
      <c r="T176" s="62">
        <f t="shared" si="142"/>
        <v>211.5313580973322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0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0</v>
      </c>
      <c r="AC176" s="24">
        <f t="shared" si="163"/>
        <v>0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>
        <f>AI176*VLOOKUP('Données projet'!$B$10,Paramètres!$A$1:$I$89,3,0)*VLOOKUP('Données projet'!$B$10,Paramètres!$A$1:$I$89,5,0)</f>
        <v>0</v>
      </c>
      <c r="AK176" s="14" t="e">
        <f t="shared" si="164"/>
        <v>#NUM!</v>
      </c>
      <c r="AL176" s="22" t="e">
        <f t="shared" si="165"/>
        <v>#NUM!</v>
      </c>
      <c r="AM176" s="62" t="e">
        <f t="shared" si="113"/>
        <v>#NUM!</v>
      </c>
      <c r="AN176" s="62">
        <f ca="1">AVERAGE(OFFSET($AM$3,0,0,'Données projet'!$E$10+1,1))-AVERAGE(OFFSET($H$3,0,0,'Données projet'!$E$10+1,1))</f>
        <v>366.41072413829329</v>
      </c>
      <c r="AO176" s="62">
        <f t="shared" si="144"/>
        <v>234.41212418619125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0</v>
      </c>
      <c r="AV176" s="23">
        <f>EXP(-LN(2)/25)*AV175+(1-EXP(-LN(2)/25))/(LN(2)/25)*Calculateur!AQ176*Calculateur!AS176*VLOOKUP('Données projet'!$B$10,Paramètres!$A$1:$I$89,3,0)*0.475*44/12</f>
        <v>0</v>
      </c>
      <c r="AW176" s="23">
        <f>EXP(-LN(2)/2)*AW175+(1-EXP(-LN(2)/2))/(LN(2)/2)*AQ176*AT176*VLOOKUP('Données projet'!$B$10,Paramètres!$A$1:$I$89,3,0)*0.475*44/12</f>
        <v>0</v>
      </c>
      <c r="AX176" s="23">
        <f t="shared" si="166"/>
        <v>0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5.6843418860808015E-14</v>
      </c>
      <c r="BE176" s="14">
        <f>BD176*VLOOKUP('Données projet'!$B$11,Paramètres!$A$1:$I$89,3,0)*VLOOKUP('Données projet'!$B$11,Paramètres!$A$1:$I$89,5,0)</f>
        <v>2.6602720026858149E-14</v>
      </c>
      <c r="BF176" s="14">
        <f t="shared" si="167"/>
        <v>4.6624771586320878E-13</v>
      </c>
      <c r="BG176" s="22">
        <f t="shared" si="168"/>
        <v>8.583811758418665E-13</v>
      </c>
      <c r="BH176" s="62">
        <f t="shared" si="116"/>
        <v>293.33333333333417</v>
      </c>
      <c r="BI176" s="62">
        <f ca="1">AVERAGE(OFFSET($BH$3,0,0,'Données projet'!$E$11+1,1))-AVERAGE(OFFSET($H$3,0,0,'Données projet'!$E$11+1,1))</f>
        <v>152.72674713084456</v>
      </c>
      <c r="BJ176" s="62">
        <f t="shared" si="146"/>
        <v>203.90215120562164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0.90510546919959523</v>
      </c>
      <c r="BQ176" s="23">
        <f>EXP(-LN(2)/25)*BQ175+(1-EXP(-LN(2)/25))/(LN(2)/25)*Calculateur!BL176*Calculateur!BN176*VLOOKUP('Données projet'!$B$11,Paramètres!$A$1:$I$89,3,0)*0.475*44/12</f>
        <v>0</v>
      </c>
      <c r="BR176" s="23">
        <f>EXP(-LN(2)/2)*BR175+(1-EXP(-LN(2)/2))/(LN(2)/2)*BL176*BO176*VLOOKUP('Données projet'!$B$11,Paramètres!$A$1:$I$89,3,0)*0.475*44/12</f>
        <v>4.6459805530516224E-21</v>
      </c>
      <c r="BS176" s="24">
        <f t="shared" si="169"/>
        <v>0.90510546919959523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3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48.582331199999899</v>
      </c>
      <c r="D177" s="12">
        <f t="shared" si="140"/>
        <v>14.247029884209756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152.28955311218257</v>
      </c>
      <c r="H177" s="70">
        <f t="shared" si="110"/>
        <v>366.09447055499851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0</v>
      </c>
      <c r="O177" s="14">
        <f>N177*VLOOKUP('Données projet'!$B$9,Paramètres!$A$1:$I$89,3,0)*VLOOKUP('Données projet'!$B$9,Paramètres!$A$1:$I$89,5,0)</f>
        <v>0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327.25473597900725</v>
      </c>
      <c r="T177" s="62">
        <f t="shared" si="142"/>
        <v>211.5313580973322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0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0</v>
      </c>
      <c r="AC177" s="24">
        <f t="shared" si="163"/>
        <v>0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>
        <f>AI177*VLOOKUP('Données projet'!$B$10,Paramètres!$A$1:$I$89,3,0)*VLOOKUP('Données projet'!$B$10,Paramètres!$A$1:$I$89,5,0)</f>
        <v>0</v>
      </c>
      <c r="AK177" s="14" t="e">
        <f t="shared" si="164"/>
        <v>#NUM!</v>
      </c>
      <c r="AL177" s="22" t="e">
        <f t="shared" si="165"/>
        <v>#NUM!</v>
      </c>
      <c r="AM177" s="62" t="e">
        <f t="shared" si="113"/>
        <v>#NUM!</v>
      </c>
      <c r="AN177" s="62">
        <f ca="1">AVERAGE(OFFSET($AM$3,0,0,'Données projet'!$E$10+1,1))-AVERAGE(OFFSET($H$3,0,0,'Données projet'!$E$10+1,1))</f>
        <v>366.41072413829329</v>
      </c>
      <c r="AO177" s="62">
        <f t="shared" si="144"/>
        <v>234.41212418619125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0</v>
      </c>
      <c r="AV177" s="23">
        <f>EXP(-LN(2)/25)*AV176+(1-EXP(-LN(2)/25))/(LN(2)/25)*Calculateur!AQ177*Calculateur!AS177*VLOOKUP('Données projet'!$B$10,Paramètres!$A$1:$I$89,3,0)*0.475*44/12</f>
        <v>0</v>
      </c>
      <c r="AW177" s="23">
        <f>EXP(-LN(2)/2)*AW176+(1-EXP(-LN(2)/2))/(LN(2)/2)*AQ177*AT177*VLOOKUP('Données projet'!$B$10,Paramètres!$A$1:$I$89,3,0)*0.475*44/12</f>
        <v>0</v>
      </c>
      <c r="AX177" s="23">
        <f t="shared" si="166"/>
        <v>0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5.6843418860808015E-14</v>
      </c>
      <c r="BE177" s="14">
        <f>BD177*VLOOKUP('Données projet'!$B$11,Paramètres!$A$1:$I$89,3,0)*VLOOKUP('Données projet'!$B$11,Paramètres!$A$1:$I$89,5,0)</f>
        <v>2.6602720026858149E-14</v>
      </c>
      <c r="BF177" s="14">
        <f t="shared" si="167"/>
        <v>4.6624771586320878E-13</v>
      </c>
      <c r="BG177" s="22">
        <f t="shared" si="168"/>
        <v>8.583811758418665E-13</v>
      </c>
      <c r="BH177" s="62">
        <f t="shared" si="116"/>
        <v>293.33333333333417</v>
      </c>
      <c r="BI177" s="62">
        <f ca="1">AVERAGE(OFFSET($BH$3,0,0,'Données projet'!$E$11+1,1))-AVERAGE(OFFSET($H$3,0,0,'Données projet'!$E$11+1,1))</f>
        <v>152.72674713084456</v>
      </c>
      <c r="BJ177" s="62">
        <f t="shared" si="146"/>
        <v>203.90215120562164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0.88735690300841596</v>
      </c>
      <c r="BQ177" s="23">
        <f>EXP(-LN(2)/25)*BQ176+(1-EXP(-LN(2)/25))/(LN(2)/25)*Calculateur!BL177*Calculateur!BN177*VLOOKUP('Données projet'!$B$11,Paramètres!$A$1:$I$89,3,0)*0.475*44/12</f>
        <v>0</v>
      </c>
      <c r="BR177" s="23">
        <f>EXP(-LN(2)/2)*BR176+(1-EXP(-LN(2)/2))/(LN(2)/2)*BL177*BO177*VLOOKUP('Données projet'!$B$11,Paramètres!$A$1:$I$89,3,0)*0.475*44/12</f>
        <v>3.2852043543236286E-21</v>
      </c>
      <c r="BS177" s="24">
        <f t="shared" si="169"/>
        <v>0.88735690300841596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3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48.861539999999898</v>
      </c>
      <c r="D178" s="12">
        <f t="shared" si="140"/>
        <v>14.319354446789408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153.14162064505987</v>
      </c>
      <c r="H178" s="70">
        <f t="shared" si="110"/>
        <v>366.70672449482475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0</v>
      </c>
      <c r="O178" s="14">
        <f>N178*VLOOKUP('Données projet'!$B$9,Paramètres!$A$1:$I$89,3,0)*VLOOKUP('Données projet'!$B$9,Paramètres!$A$1:$I$89,5,0)</f>
        <v>0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327.25473597900725</v>
      </c>
      <c r="T178" s="62">
        <f t="shared" si="142"/>
        <v>211.5313580973322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0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0</v>
      </c>
      <c r="AC178" s="24">
        <f t="shared" si="163"/>
        <v>0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>
        <f>AI178*VLOOKUP('Données projet'!$B$10,Paramètres!$A$1:$I$89,3,0)*VLOOKUP('Données projet'!$B$10,Paramètres!$A$1:$I$89,5,0)</f>
        <v>0</v>
      </c>
      <c r="AK178" s="14" t="e">
        <f t="shared" si="164"/>
        <v>#NUM!</v>
      </c>
      <c r="AL178" s="22" t="e">
        <f t="shared" si="165"/>
        <v>#NUM!</v>
      </c>
      <c r="AM178" s="62" t="e">
        <f t="shared" si="113"/>
        <v>#NUM!</v>
      </c>
      <c r="AN178" s="62">
        <f ca="1">AVERAGE(OFFSET($AM$3,0,0,'Données projet'!$E$10+1,1))-AVERAGE(OFFSET($H$3,0,0,'Données projet'!$E$10+1,1))</f>
        <v>366.41072413829329</v>
      </c>
      <c r="AO178" s="62">
        <f t="shared" si="144"/>
        <v>234.41212418619125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0</v>
      </c>
      <c r="AV178" s="23">
        <f>EXP(-LN(2)/25)*AV177+(1-EXP(-LN(2)/25))/(LN(2)/25)*Calculateur!AQ178*Calculateur!AS178*VLOOKUP('Données projet'!$B$10,Paramètres!$A$1:$I$89,3,0)*0.475*44/12</f>
        <v>0</v>
      </c>
      <c r="AW178" s="23">
        <f>EXP(-LN(2)/2)*AW177+(1-EXP(-LN(2)/2))/(LN(2)/2)*AQ178*AT178*VLOOKUP('Données projet'!$B$10,Paramètres!$A$1:$I$89,3,0)*0.475*44/12</f>
        <v>0</v>
      </c>
      <c r="AX178" s="23">
        <f t="shared" si="166"/>
        <v>0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5.6843418860808015E-14</v>
      </c>
      <c r="BE178" s="14">
        <f>BD178*VLOOKUP('Données projet'!$B$11,Paramètres!$A$1:$I$89,3,0)*VLOOKUP('Données projet'!$B$11,Paramètres!$A$1:$I$89,5,0)</f>
        <v>2.6602720026858149E-14</v>
      </c>
      <c r="BF178" s="14">
        <f t="shared" si="167"/>
        <v>4.6624771586320878E-13</v>
      </c>
      <c r="BG178" s="22">
        <f t="shared" si="168"/>
        <v>8.583811758418665E-13</v>
      </c>
      <c r="BH178" s="62">
        <f t="shared" si="116"/>
        <v>293.33333333333417</v>
      </c>
      <c r="BI178" s="62">
        <f ca="1">AVERAGE(OFFSET($BH$3,0,0,'Données projet'!$E$11+1,1))-AVERAGE(OFFSET($H$3,0,0,'Données projet'!$E$11+1,1))</f>
        <v>152.72674713084456</v>
      </c>
      <c r="BJ178" s="62">
        <f t="shared" si="146"/>
        <v>203.90215120562164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0.86995637537468928</v>
      </c>
      <c r="BQ178" s="23">
        <f>EXP(-LN(2)/25)*BQ177+(1-EXP(-LN(2)/25))/(LN(2)/25)*Calculateur!BL178*Calculateur!BN178*VLOOKUP('Données projet'!$B$11,Paramètres!$A$1:$I$89,3,0)*0.475*44/12</f>
        <v>0</v>
      </c>
      <c r="BR178" s="23">
        <f>EXP(-LN(2)/2)*BR177+(1-EXP(-LN(2)/2))/(LN(2)/2)*BL178*BO178*VLOOKUP('Données projet'!$B$11,Paramètres!$A$1:$I$89,3,0)*0.475*44/12</f>
        <v>2.3229902765258112E-21</v>
      </c>
      <c r="BS178" s="24">
        <f t="shared" si="169"/>
        <v>0.86995637537468928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3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49.140748799999898</v>
      </c>
      <c r="D179" s="12">
        <f t="shared" si="140"/>
        <v>14.3916309189212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153.99357161344105</v>
      </c>
      <c r="H179" s="70">
        <f t="shared" si="110"/>
        <v>367.31889467712091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0</v>
      </c>
      <c r="O179" s="14">
        <f>N179*VLOOKUP('Données projet'!$B$9,Paramètres!$A$1:$I$89,3,0)*VLOOKUP('Données projet'!$B$9,Paramètres!$A$1:$I$89,5,0)</f>
        <v>0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327.25473597900725</v>
      </c>
      <c r="T179" s="62">
        <f t="shared" si="142"/>
        <v>211.5313580973322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0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0</v>
      </c>
      <c r="AC179" s="24">
        <f t="shared" si="163"/>
        <v>0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>
        <f>AI179*VLOOKUP('Données projet'!$B$10,Paramètres!$A$1:$I$89,3,0)*VLOOKUP('Données projet'!$B$10,Paramètres!$A$1:$I$89,5,0)</f>
        <v>0</v>
      </c>
      <c r="AK179" s="14" t="e">
        <f t="shared" si="164"/>
        <v>#NUM!</v>
      </c>
      <c r="AL179" s="22" t="e">
        <f t="shared" si="165"/>
        <v>#NUM!</v>
      </c>
      <c r="AM179" s="62" t="e">
        <f t="shared" si="113"/>
        <v>#NUM!</v>
      </c>
      <c r="AN179" s="62">
        <f ca="1">AVERAGE(OFFSET($AM$3,0,0,'Données projet'!$E$10+1,1))-AVERAGE(OFFSET($H$3,0,0,'Données projet'!$E$10+1,1))</f>
        <v>366.41072413829329</v>
      </c>
      <c r="AO179" s="62">
        <f t="shared" si="144"/>
        <v>234.41212418619125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0</v>
      </c>
      <c r="AV179" s="23">
        <f>EXP(-LN(2)/25)*AV178+(1-EXP(-LN(2)/25))/(LN(2)/25)*Calculateur!AQ179*Calculateur!AS179*VLOOKUP('Données projet'!$B$10,Paramètres!$A$1:$I$89,3,0)*0.475*44/12</f>
        <v>0</v>
      </c>
      <c r="AW179" s="23">
        <f>EXP(-LN(2)/2)*AW178+(1-EXP(-LN(2)/2))/(LN(2)/2)*AQ179*AT179*VLOOKUP('Données projet'!$B$10,Paramètres!$A$1:$I$89,3,0)*0.475*44/12</f>
        <v>0</v>
      </c>
      <c r="AX179" s="23">
        <f t="shared" si="166"/>
        <v>0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5.6843418860808015E-14</v>
      </c>
      <c r="BE179" s="14">
        <f>BD179*VLOOKUP('Données projet'!$B$11,Paramètres!$A$1:$I$89,3,0)*VLOOKUP('Données projet'!$B$11,Paramètres!$A$1:$I$89,5,0)</f>
        <v>2.6602720026858149E-14</v>
      </c>
      <c r="BF179" s="14">
        <f t="shared" si="167"/>
        <v>4.6624771586320878E-13</v>
      </c>
      <c r="BG179" s="22">
        <f t="shared" si="168"/>
        <v>8.583811758418665E-13</v>
      </c>
      <c r="BH179" s="62">
        <f t="shared" si="116"/>
        <v>293.33333333333417</v>
      </c>
      <c r="BI179" s="62">
        <f ca="1">AVERAGE(OFFSET($BH$3,0,0,'Données projet'!$E$11+1,1))-AVERAGE(OFFSET($H$3,0,0,'Données projet'!$E$11+1,1))</f>
        <v>152.72674713084456</v>
      </c>
      <c r="BJ179" s="62">
        <f t="shared" si="146"/>
        <v>203.90215120562164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0.8528970614745861</v>
      </c>
      <c r="BQ179" s="23">
        <f>EXP(-LN(2)/25)*BQ178+(1-EXP(-LN(2)/25))/(LN(2)/25)*Calculateur!BL179*Calculateur!BN179*VLOOKUP('Données projet'!$B$11,Paramètres!$A$1:$I$89,3,0)*0.475*44/12</f>
        <v>0</v>
      </c>
      <c r="BR179" s="23">
        <f>EXP(-LN(2)/2)*BR178+(1-EXP(-LN(2)/2))/(LN(2)/2)*BL179*BO179*VLOOKUP('Données projet'!$B$11,Paramètres!$A$1:$I$89,3,0)*0.475*44/12</f>
        <v>1.6426021771618143E-21</v>
      </c>
      <c r="BS179" s="24">
        <f t="shared" si="169"/>
        <v>0.8528970614745861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3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49.419957599999897</v>
      </c>
      <c r="D180" s="12">
        <f t="shared" si="140"/>
        <v>14.463859605554015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154.84540675647946</v>
      </c>
      <c r="H180" s="70">
        <f t="shared" si="110"/>
        <v>367.93098163300641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0</v>
      </c>
      <c r="O180" s="14">
        <f>N180*VLOOKUP('Données projet'!$B$9,Paramètres!$A$1:$I$89,3,0)*VLOOKUP('Données projet'!$B$9,Paramètres!$A$1:$I$89,5,0)</f>
        <v>0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327.25473597900725</v>
      </c>
      <c r="T180" s="62">
        <f t="shared" si="142"/>
        <v>211.5313580973322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0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0</v>
      </c>
      <c r="AC180" s="24">
        <f t="shared" si="163"/>
        <v>0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>
        <f>AI180*VLOOKUP('Données projet'!$B$10,Paramètres!$A$1:$I$89,3,0)*VLOOKUP('Données projet'!$B$10,Paramètres!$A$1:$I$89,5,0)</f>
        <v>0</v>
      </c>
      <c r="AK180" s="14" t="e">
        <f t="shared" si="164"/>
        <v>#NUM!</v>
      </c>
      <c r="AL180" s="22" t="e">
        <f t="shared" si="165"/>
        <v>#NUM!</v>
      </c>
      <c r="AM180" s="62" t="e">
        <f t="shared" si="113"/>
        <v>#NUM!</v>
      </c>
      <c r="AN180" s="62">
        <f ca="1">AVERAGE(OFFSET($AM$3,0,0,'Données projet'!$E$10+1,1))-AVERAGE(OFFSET($H$3,0,0,'Données projet'!$E$10+1,1))</f>
        <v>366.41072413829329</v>
      </c>
      <c r="AO180" s="62">
        <f t="shared" si="144"/>
        <v>234.41212418619125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0</v>
      </c>
      <c r="AV180" s="23">
        <f>EXP(-LN(2)/25)*AV179+(1-EXP(-LN(2)/25))/(LN(2)/25)*Calculateur!AQ180*Calculateur!AS180*VLOOKUP('Données projet'!$B$10,Paramètres!$A$1:$I$89,3,0)*0.475*44/12</f>
        <v>0</v>
      </c>
      <c r="AW180" s="23">
        <f>EXP(-LN(2)/2)*AW179+(1-EXP(-LN(2)/2))/(LN(2)/2)*AQ180*AT180*VLOOKUP('Données projet'!$B$10,Paramètres!$A$1:$I$89,3,0)*0.475*44/12</f>
        <v>0</v>
      </c>
      <c r="AX180" s="23">
        <f t="shared" si="166"/>
        <v>0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5.6843418860808015E-14</v>
      </c>
      <c r="BE180" s="14">
        <f>BD180*VLOOKUP('Données projet'!$B$11,Paramètres!$A$1:$I$89,3,0)*VLOOKUP('Données projet'!$B$11,Paramètres!$A$1:$I$89,5,0)</f>
        <v>2.6602720026858149E-14</v>
      </c>
      <c r="BF180" s="14">
        <f t="shared" si="167"/>
        <v>4.6624771586320878E-13</v>
      </c>
      <c r="BG180" s="22">
        <f t="shared" si="168"/>
        <v>8.583811758418665E-13</v>
      </c>
      <c r="BH180" s="62">
        <f t="shared" si="116"/>
        <v>293.33333333333417</v>
      </c>
      <c r="BI180" s="62">
        <f ca="1">AVERAGE(OFFSET($BH$3,0,0,'Données projet'!$E$11+1,1))-AVERAGE(OFFSET($H$3,0,0,'Données projet'!$E$11+1,1))</f>
        <v>152.72674713084456</v>
      </c>
      <c r="BJ180" s="62">
        <f t="shared" si="146"/>
        <v>203.90215120562164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0.83617227031490993</v>
      </c>
      <c r="BQ180" s="23">
        <f>EXP(-LN(2)/25)*BQ179+(1-EXP(-LN(2)/25))/(LN(2)/25)*Calculateur!BL180*Calculateur!BN180*VLOOKUP('Données projet'!$B$11,Paramètres!$A$1:$I$89,3,0)*0.475*44/12</f>
        <v>0</v>
      </c>
      <c r="BR180" s="23">
        <f>EXP(-LN(2)/2)*BR179+(1-EXP(-LN(2)/2))/(LN(2)/2)*BL180*BO180*VLOOKUP('Données projet'!$B$11,Paramètres!$A$1:$I$89,3,0)*0.475*44/12</f>
        <v>1.1614951382629056E-21</v>
      </c>
      <c r="BS180" s="24">
        <f t="shared" si="169"/>
        <v>0.83617227031490993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3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49.699166399999896</v>
      </c>
      <c r="D181" s="12">
        <f t="shared" si="140"/>
        <v>14.536040807991604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155.69712680449305</v>
      </c>
      <c r="H181" s="70">
        <f t="shared" si="110"/>
        <v>368.54298588725186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0</v>
      </c>
      <c r="O181" s="14">
        <f>N181*VLOOKUP('Données projet'!$B$9,Paramètres!$A$1:$I$89,3,0)*VLOOKUP('Données projet'!$B$9,Paramètres!$A$1:$I$89,5,0)</f>
        <v>0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327.25473597900725</v>
      </c>
      <c r="T181" s="62">
        <f t="shared" si="142"/>
        <v>211.5313580973322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0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0</v>
      </c>
      <c r="AC181" s="24">
        <f t="shared" si="163"/>
        <v>0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>
        <f>AI181*VLOOKUP('Données projet'!$B$10,Paramètres!$A$1:$I$89,3,0)*VLOOKUP('Données projet'!$B$10,Paramètres!$A$1:$I$89,5,0)</f>
        <v>0</v>
      </c>
      <c r="AK181" s="14" t="e">
        <f t="shared" si="164"/>
        <v>#NUM!</v>
      </c>
      <c r="AL181" s="22" t="e">
        <f t="shared" si="165"/>
        <v>#NUM!</v>
      </c>
      <c r="AM181" s="62" t="e">
        <f t="shared" si="113"/>
        <v>#NUM!</v>
      </c>
      <c r="AN181" s="62">
        <f ca="1">AVERAGE(OFFSET($AM$3,0,0,'Données projet'!$E$10+1,1))-AVERAGE(OFFSET($H$3,0,0,'Données projet'!$E$10+1,1))</f>
        <v>366.41072413829329</v>
      </c>
      <c r="AO181" s="62">
        <f t="shared" si="144"/>
        <v>234.41212418619125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0</v>
      </c>
      <c r="AV181" s="23">
        <f>EXP(-LN(2)/25)*AV180+(1-EXP(-LN(2)/25))/(LN(2)/25)*Calculateur!AQ181*Calculateur!AS181*VLOOKUP('Données projet'!$B$10,Paramètres!$A$1:$I$89,3,0)*0.475*44/12</f>
        <v>0</v>
      </c>
      <c r="AW181" s="23">
        <f>EXP(-LN(2)/2)*AW180+(1-EXP(-LN(2)/2))/(LN(2)/2)*AQ181*AT181*VLOOKUP('Données projet'!$B$10,Paramètres!$A$1:$I$89,3,0)*0.475*44/12</f>
        <v>0</v>
      </c>
      <c r="AX181" s="23">
        <f t="shared" si="166"/>
        <v>0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5.6843418860808015E-14</v>
      </c>
      <c r="BE181" s="14">
        <f>BD181*VLOOKUP('Données projet'!$B$11,Paramètres!$A$1:$I$89,3,0)*VLOOKUP('Données projet'!$B$11,Paramètres!$A$1:$I$89,5,0)</f>
        <v>2.6602720026858149E-14</v>
      </c>
      <c r="BF181" s="14">
        <f t="shared" si="167"/>
        <v>4.6624771586320878E-13</v>
      </c>
      <c r="BG181" s="22">
        <f t="shared" si="168"/>
        <v>8.583811758418665E-13</v>
      </c>
      <c r="BH181" s="62">
        <f t="shared" si="116"/>
        <v>293.33333333333417</v>
      </c>
      <c r="BI181" s="62">
        <f ca="1">AVERAGE(OFFSET($BH$3,0,0,'Données projet'!$E$11+1,1))-AVERAGE(OFFSET($H$3,0,0,'Données projet'!$E$11+1,1))</f>
        <v>152.72674713084456</v>
      </c>
      <c r="BJ181" s="62">
        <f t="shared" si="146"/>
        <v>203.90215120562164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0.81977544210875963</v>
      </c>
      <c r="BQ181" s="23">
        <f>EXP(-LN(2)/25)*BQ180+(1-EXP(-LN(2)/25))/(LN(2)/25)*Calculateur!BL181*Calculateur!BN181*VLOOKUP('Données projet'!$B$11,Paramètres!$A$1:$I$89,3,0)*0.475*44/12</f>
        <v>0</v>
      </c>
      <c r="BR181" s="23">
        <f>EXP(-LN(2)/2)*BR180+(1-EXP(-LN(2)/2))/(LN(2)/2)*BL181*BO181*VLOOKUP('Données projet'!$B$11,Paramètres!$A$1:$I$89,3,0)*0.475*44/12</f>
        <v>8.2130108858090716E-22</v>
      </c>
      <c r="BS181" s="24">
        <f t="shared" si="169"/>
        <v>0.81977544210875963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3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49.978375199999896</v>
      </c>
      <c r="D182" s="12">
        <f t="shared" si="140"/>
        <v>14.608174823956352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156.54873247911922</v>
      </c>
      <c r="H182" s="70">
        <f t="shared" si="110"/>
        <v>369.15490795839048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0</v>
      </c>
      <c r="O182" s="14">
        <f>N182*VLOOKUP('Données projet'!$B$9,Paramètres!$A$1:$I$89,3,0)*VLOOKUP('Données projet'!$B$9,Paramètres!$A$1:$I$89,5,0)</f>
        <v>0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327.25473597900725</v>
      </c>
      <c r="T182" s="62">
        <f t="shared" si="142"/>
        <v>211.5313580973322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0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0</v>
      </c>
      <c r="AC182" s="24">
        <f t="shared" si="163"/>
        <v>0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>
        <f>AI182*VLOOKUP('Données projet'!$B$10,Paramètres!$A$1:$I$89,3,0)*VLOOKUP('Données projet'!$B$10,Paramètres!$A$1:$I$89,5,0)</f>
        <v>0</v>
      </c>
      <c r="AK182" s="14" t="e">
        <f t="shared" si="164"/>
        <v>#NUM!</v>
      </c>
      <c r="AL182" s="22" t="e">
        <f t="shared" si="165"/>
        <v>#NUM!</v>
      </c>
      <c r="AM182" s="62" t="e">
        <f t="shared" si="113"/>
        <v>#NUM!</v>
      </c>
      <c r="AN182" s="62">
        <f ca="1">AVERAGE(OFFSET($AM$3,0,0,'Données projet'!$E$10+1,1))-AVERAGE(OFFSET($H$3,0,0,'Données projet'!$E$10+1,1))</f>
        <v>366.41072413829329</v>
      </c>
      <c r="AO182" s="62">
        <f t="shared" si="144"/>
        <v>234.41212418619125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0</v>
      </c>
      <c r="AV182" s="23">
        <f>EXP(-LN(2)/25)*AV181+(1-EXP(-LN(2)/25))/(LN(2)/25)*Calculateur!AQ182*Calculateur!AS182*VLOOKUP('Données projet'!$B$10,Paramètres!$A$1:$I$89,3,0)*0.475*44/12</f>
        <v>0</v>
      </c>
      <c r="AW182" s="23">
        <f>EXP(-LN(2)/2)*AW181+(1-EXP(-LN(2)/2))/(LN(2)/2)*AQ182*AT182*VLOOKUP('Données projet'!$B$10,Paramètres!$A$1:$I$89,3,0)*0.475*44/12</f>
        <v>0</v>
      </c>
      <c r="AX182" s="23">
        <f t="shared" si="166"/>
        <v>0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5.6843418860808015E-14</v>
      </c>
      <c r="BE182" s="14">
        <f>BD182*VLOOKUP('Données projet'!$B$11,Paramètres!$A$1:$I$89,3,0)*VLOOKUP('Données projet'!$B$11,Paramètres!$A$1:$I$89,5,0)</f>
        <v>2.6602720026858149E-14</v>
      </c>
      <c r="BF182" s="14">
        <f t="shared" si="167"/>
        <v>4.6624771586320878E-13</v>
      </c>
      <c r="BG182" s="22">
        <f t="shared" si="168"/>
        <v>8.583811758418665E-13</v>
      </c>
      <c r="BH182" s="62">
        <f t="shared" si="116"/>
        <v>293.33333333333417</v>
      </c>
      <c r="BI182" s="62">
        <f ca="1">AVERAGE(OFFSET($BH$3,0,0,'Données projet'!$E$11+1,1))-AVERAGE(OFFSET($H$3,0,0,'Données projet'!$E$11+1,1))</f>
        <v>152.72674713084456</v>
      </c>
      <c r="BJ182" s="62">
        <f t="shared" si="146"/>
        <v>203.90215120562164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0.80370014570265425</v>
      </c>
      <c r="BQ182" s="23">
        <f>EXP(-LN(2)/25)*BQ181+(1-EXP(-LN(2)/25))/(LN(2)/25)*Calculateur!BL182*Calculateur!BN182*VLOOKUP('Données projet'!$B$11,Paramètres!$A$1:$I$89,3,0)*0.475*44/12</f>
        <v>0</v>
      </c>
      <c r="BR182" s="23">
        <f>EXP(-LN(2)/2)*BR181+(1-EXP(-LN(2)/2))/(LN(2)/2)*BL182*BO182*VLOOKUP('Données projet'!$B$11,Paramètres!$A$1:$I$89,3,0)*0.475*44/12</f>
        <v>5.8074756913145279E-22</v>
      </c>
      <c r="BS182" s="24">
        <f t="shared" si="169"/>
        <v>0.80370014570265425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3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50.257583999999895</v>
      </c>
      <c r="D183" s="12">
        <f t="shared" si="140"/>
        <v>14.68026194765163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157.40022449346552</v>
      </c>
      <c r="H183" s="70">
        <f t="shared" si="110"/>
        <v>369.76674835882642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0</v>
      </c>
      <c r="O183" s="14">
        <f>N183*VLOOKUP('Données projet'!$B$9,Paramètres!$A$1:$I$89,3,0)*VLOOKUP('Données projet'!$B$9,Paramètres!$A$1:$I$89,5,0)</f>
        <v>0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327.25473597900725</v>
      </c>
      <c r="T183" s="62">
        <f t="shared" si="142"/>
        <v>211.5313580973322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0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0</v>
      </c>
      <c r="AC183" s="24">
        <f t="shared" si="163"/>
        <v>0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>
        <f>AI183*VLOOKUP('Données projet'!$B$10,Paramètres!$A$1:$I$89,3,0)*VLOOKUP('Données projet'!$B$10,Paramètres!$A$1:$I$89,5,0)</f>
        <v>0</v>
      </c>
      <c r="AK183" s="14" t="e">
        <f t="shared" si="164"/>
        <v>#NUM!</v>
      </c>
      <c r="AL183" s="22" t="e">
        <f t="shared" si="165"/>
        <v>#NUM!</v>
      </c>
      <c r="AM183" s="62" t="e">
        <f t="shared" si="113"/>
        <v>#NUM!</v>
      </c>
      <c r="AN183" s="62">
        <f ca="1">AVERAGE(OFFSET($AM$3,0,0,'Données projet'!$E$10+1,1))-AVERAGE(OFFSET($H$3,0,0,'Données projet'!$E$10+1,1))</f>
        <v>366.41072413829329</v>
      </c>
      <c r="AO183" s="62">
        <f t="shared" si="144"/>
        <v>234.41212418619125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0</v>
      </c>
      <c r="AV183" s="23">
        <f>EXP(-LN(2)/25)*AV182+(1-EXP(-LN(2)/25))/(LN(2)/25)*Calculateur!AQ183*Calculateur!AS183*VLOOKUP('Données projet'!$B$10,Paramètres!$A$1:$I$89,3,0)*0.475*44/12</f>
        <v>0</v>
      </c>
      <c r="AW183" s="23">
        <f>EXP(-LN(2)/2)*AW182+(1-EXP(-LN(2)/2))/(LN(2)/2)*AQ183*AT183*VLOOKUP('Données projet'!$B$10,Paramètres!$A$1:$I$89,3,0)*0.475*44/12</f>
        <v>0</v>
      </c>
      <c r="AX183" s="23">
        <f t="shared" si="166"/>
        <v>0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5.6843418860808015E-14</v>
      </c>
      <c r="BE183" s="14">
        <f>BD183*VLOOKUP('Données projet'!$B$11,Paramètres!$A$1:$I$89,3,0)*VLOOKUP('Données projet'!$B$11,Paramètres!$A$1:$I$89,5,0)</f>
        <v>2.6602720026858149E-14</v>
      </c>
      <c r="BF183" s="14">
        <f t="shared" si="167"/>
        <v>4.6624771586320878E-13</v>
      </c>
      <c r="BG183" s="22">
        <f t="shared" si="168"/>
        <v>8.583811758418665E-13</v>
      </c>
      <c r="BH183" s="62">
        <f t="shared" si="116"/>
        <v>293.33333333333417</v>
      </c>
      <c r="BI183" s="62">
        <f ca="1">AVERAGE(OFFSET($BH$3,0,0,'Données projet'!$E$11+1,1))-AVERAGE(OFFSET($H$3,0,0,'Données projet'!$E$11+1,1))</f>
        <v>152.72674713084456</v>
      </c>
      <c r="BJ183" s="62">
        <f t="shared" si="146"/>
        <v>203.90215120562164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0.78794007605410998</v>
      </c>
      <c r="BQ183" s="23">
        <f>EXP(-LN(2)/25)*BQ182+(1-EXP(-LN(2)/25))/(LN(2)/25)*Calculateur!BL183*Calculateur!BN183*VLOOKUP('Données projet'!$B$11,Paramètres!$A$1:$I$89,3,0)*0.475*44/12</f>
        <v>0</v>
      </c>
      <c r="BR183" s="23">
        <f>EXP(-LN(2)/2)*BR182+(1-EXP(-LN(2)/2))/(LN(2)/2)*BL183*BO183*VLOOKUP('Données projet'!$B$11,Paramètres!$A$1:$I$89,3,0)*0.475*44/12</f>
        <v>4.1065054429045358E-22</v>
      </c>
      <c r="BS183" s="24">
        <f t="shared" si="169"/>
        <v>0.78794007605410998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3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50.536792799999894</v>
      </c>
      <c r="D184" s="12">
        <f t="shared" si="140"/>
        <v>14.752302469822691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158.25160355225771</v>
      </c>
      <c r="H184" s="70">
        <f t="shared" si="110"/>
        <v>370.37850759494103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0</v>
      </c>
      <c r="O184" s="14">
        <f>N184*VLOOKUP('Données projet'!$B$9,Paramètres!$A$1:$I$89,3,0)*VLOOKUP('Données projet'!$B$9,Paramètres!$A$1:$I$89,5,0)</f>
        <v>0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327.25473597900725</v>
      </c>
      <c r="T184" s="62">
        <f t="shared" si="142"/>
        <v>211.5313580973322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0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0</v>
      </c>
      <c r="AC184" s="24">
        <f t="shared" si="163"/>
        <v>0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>
        <f>AI184*VLOOKUP('Données projet'!$B$10,Paramètres!$A$1:$I$89,3,0)*VLOOKUP('Données projet'!$B$10,Paramètres!$A$1:$I$89,5,0)</f>
        <v>0</v>
      </c>
      <c r="AK184" s="14" t="e">
        <f t="shared" si="164"/>
        <v>#NUM!</v>
      </c>
      <c r="AL184" s="22" t="e">
        <f t="shared" si="165"/>
        <v>#NUM!</v>
      </c>
      <c r="AM184" s="62" t="e">
        <f t="shared" si="113"/>
        <v>#NUM!</v>
      </c>
      <c r="AN184" s="62">
        <f ca="1">AVERAGE(OFFSET($AM$3,0,0,'Données projet'!$E$10+1,1))-AVERAGE(OFFSET($H$3,0,0,'Données projet'!$E$10+1,1))</f>
        <v>366.41072413829329</v>
      </c>
      <c r="AO184" s="62">
        <f t="shared" si="144"/>
        <v>234.41212418619125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0</v>
      </c>
      <c r="AV184" s="23">
        <f>EXP(-LN(2)/25)*AV183+(1-EXP(-LN(2)/25))/(LN(2)/25)*Calculateur!AQ184*Calculateur!AS184*VLOOKUP('Données projet'!$B$10,Paramètres!$A$1:$I$89,3,0)*0.475*44/12</f>
        <v>0</v>
      </c>
      <c r="AW184" s="23">
        <f>EXP(-LN(2)/2)*AW183+(1-EXP(-LN(2)/2))/(LN(2)/2)*AQ184*AT184*VLOOKUP('Données projet'!$B$10,Paramètres!$A$1:$I$89,3,0)*0.475*44/12</f>
        <v>0</v>
      </c>
      <c r="AX184" s="23">
        <f t="shared" si="166"/>
        <v>0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5.6843418860808015E-14</v>
      </c>
      <c r="BE184" s="14">
        <f>BD184*VLOOKUP('Données projet'!$B$11,Paramètres!$A$1:$I$89,3,0)*VLOOKUP('Données projet'!$B$11,Paramètres!$A$1:$I$89,5,0)</f>
        <v>2.6602720026858149E-14</v>
      </c>
      <c r="BF184" s="14">
        <f t="shared" si="167"/>
        <v>4.6624771586320878E-13</v>
      </c>
      <c r="BG184" s="22">
        <f t="shared" si="168"/>
        <v>8.583811758418665E-13</v>
      </c>
      <c r="BH184" s="62">
        <f t="shared" si="116"/>
        <v>293.33333333333417</v>
      </c>
      <c r="BI184" s="62">
        <f ca="1">AVERAGE(OFFSET($BH$3,0,0,'Données projet'!$E$11+1,1))-AVERAGE(OFFSET($H$3,0,0,'Données projet'!$E$11+1,1))</f>
        <v>152.72674713084456</v>
      </c>
      <c r="BJ184" s="62">
        <f t="shared" si="146"/>
        <v>203.90215120562164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0.77248905175868032</v>
      </c>
      <c r="BQ184" s="23">
        <f>EXP(-LN(2)/25)*BQ183+(1-EXP(-LN(2)/25))/(LN(2)/25)*Calculateur!BL184*Calculateur!BN184*VLOOKUP('Données projet'!$B$11,Paramètres!$A$1:$I$89,3,0)*0.475*44/12</f>
        <v>0</v>
      </c>
      <c r="BR184" s="23">
        <f>EXP(-LN(2)/2)*BR183+(1-EXP(-LN(2)/2))/(LN(2)/2)*BL184*BO184*VLOOKUP('Données projet'!$B$11,Paramètres!$A$1:$I$89,3,0)*0.475*44/12</f>
        <v>2.903737845657264E-22</v>
      </c>
      <c r="BS184" s="24">
        <f t="shared" si="169"/>
        <v>0.77248905175868032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3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50.816001599999893</v>
      </c>
      <c r="D185" s="12">
        <f t="shared" si="140"/>
        <v>14.824296677816212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159.10287035198374</v>
      </c>
      <c r="H185" s="70">
        <f t="shared" si="110"/>
        <v>370.99018616719638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0</v>
      </c>
      <c r="O185" s="14">
        <f>N185*VLOOKUP('Données projet'!$B$9,Paramètres!$A$1:$I$89,3,0)*VLOOKUP('Données projet'!$B$9,Paramètres!$A$1:$I$89,5,0)</f>
        <v>0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327.25473597900725</v>
      </c>
      <c r="T185" s="62">
        <f t="shared" si="142"/>
        <v>211.5313580973322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0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0</v>
      </c>
      <c r="AC185" s="24">
        <f t="shared" si="163"/>
        <v>0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>
        <f>AI185*VLOOKUP('Données projet'!$B$10,Paramètres!$A$1:$I$89,3,0)*VLOOKUP('Données projet'!$B$10,Paramètres!$A$1:$I$89,5,0)</f>
        <v>0</v>
      </c>
      <c r="AK185" s="14" t="e">
        <f t="shared" si="164"/>
        <v>#NUM!</v>
      </c>
      <c r="AL185" s="22" t="e">
        <f t="shared" si="165"/>
        <v>#NUM!</v>
      </c>
      <c r="AM185" s="62" t="e">
        <f t="shared" si="113"/>
        <v>#NUM!</v>
      </c>
      <c r="AN185" s="62">
        <f ca="1">AVERAGE(OFFSET($AM$3,0,0,'Données projet'!$E$10+1,1))-AVERAGE(OFFSET($H$3,0,0,'Données projet'!$E$10+1,1))</f>
        <v>366.41072413829329</v>
      </c>
      <c r="AO185" s="62">
        <f t="shared" si="144"/>
        <v>234.41212418619125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0</v>
      </c>
      <c r="AV185" s="23">
        <f>EXP(-LN(2)/25)*AV184+(1-EXP(-LN(2)/25))/(LN(2)/25)*Calculateur!AQ185*Calculateur!AS185*VLOOKUP('Données projet'!$B$10,Paramètres!$A$1:$I$89,3,0)*0.475*44/12</f>
        <v>0</v>
      </c>
      <c r="AW185" s="23">
        <f>EXP(-LN(2)/2)*AW184+(1-EXP(-LN(2)/2))/(LN(2)/2)*AQ185*AT185*VLOOKUP('Données projet'!$B$10,Paramètres!$A$1:$I$89,3,0)*0.475*44/12</f>
        <v>0</v>
      </c>
      <c r="AX185" s="23">
        <f t="shared" si="166"/>
        <v>0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5.6843418860808015E-14</v>
      </c>
      <c r="BE185" s="14">
        <f>BD185*VLOOKUP('Données projet'!$B$11,Paramètres!$A$1:$I$89,3,0)*VLOOKUP('Données projet'!$B$11,Paramètres!$A$1:$I$89,5,0)</f>
        <v>2.6602720026858149E-14</v>
      </c>
      <c r="BF185" s="14">
        <f t="shared" si="167"/>
        <v>4.6624771586320878E-13</v>
      </c>
      <c r="BG185" s="22">
        <f t="shared" si="168"/>
        <v>8.583811758418665E-13</v>
      </c>
      <c r="BH185" s="62">
        <f t="shared" si="116"/>
        <v>293.33333333333417</v>
      </c>
      <c r="BI185" s="62">
        <f ca="1">AVERAGE(OFFSET($BH$3,0,0,'Données projet'!$E$11+1,1))-AVERAGE(OFFSET($H$3,0,0,'Données projet'!$E$11+1,1))</f>
        <v>152.72674713084456</v>
      </c>
      <c r="BJ185" s="62">
        <f t="shared" si="146"/>
        <v>203.90215120562164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0.75734101262548981</v>
      </c>
      <c r="BQ185" s="23">
        <f>EXP(-LN(2)/25)*BQ184+(1-EXP(-LN(2)/25))/(LN(2)/25)*Calculateur!BL185*Calculateur!BN185*VLOOKUP('Données projet'!$B$11,Paramètres!$A$1:$I$89,3,0)*0.475*44/12</f>
        <v>0</v>
      </c>
      <c r="BR185" s="23">
        <f>EXP(-LN(2)/2)*BR184+(1-EXP(-LN(2)/2))/(LN(2)/2)*BL185*BO185*VLOOKUP('Données projet'!$B$11,Paramètres!$A$1:$I$89,3,0)*0.475*44/12</f>
        <v>2.0532527214522679E-22</v>
      </c>
      <c r="BS185" s="24">
        <f t="shared" si="169"/>
        <v>0.75734101262548981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3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51.095210399999893</v>
      </c>
      <c r="D186" s="12">
        <f t="shared" si="140"/>
        <v>14.896244855638447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159.95402558103495</v>
      </c>
      <c r="H186" s="70">
        <f t="shared" si="110"/>
        <v>371.60178457023682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0</v>
      </c>
      <c r="O186" s="14">
        <f>N186*VLOOKUP('Données projet'!$B$9,Paramètres!$A$1:$I$89,3,0)*VLOOKUP('Données projet'!$B$9,Paramètres!$A$1:$I$89,5,0)</f>
        <v>0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327.25473597900725</v>
      </c>
      <c r="T186" s="62">
        <f t="shared" si="142"/>
        <v>211.5313580973322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0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0</v>
      </c>
      <c r="AC186" s="24">
        <f t="shared" si="163"/>
        <v>0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>
        <f>AI186*VLOOKUP('Données projet'!$B$10,Paramètres!$A$1:$I$89,3,0)*VLOOKUP('Données projet'!$B$10,Paramètres!$A$1:$I$89,5,0)</f>
        <v>0</v>
      </c>
      <c r="AK186" s="14" t="e">
        <f t="shared" si="164"/>
        <v>#NUM!</v>
      </c>
      <c r="AL186" s="22" t="e">
        <f t="shared" si="165"/>
        <v>#NUM!</v>
      </c>
      <c r="AM186" s="62" t="e">
        <f t="shared" si="113"/>
        <v>#NUM!</v>
      </c>
      <c r="AN186" s="62">
        <f ca="1">AVERAGE(OFFSET($AM$3,0,0,'Données projet'!$E$10+1,1))-AVERAGE(OFFSET($H$3,0,0,'Données projet'!$E$10+1,1))</f>
        <v>366.41072413829329</v>
      </c>
      <c r="AO186" s="62">
        <f t="shared" si="144"/>
        <v>234.41212418619125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0</v>
      </c>
      <c r="AV186" s="23">
        <f>EXP(-LN(2)/25)*AV185+(1-EXP(-LN(2)/25))/(LN(2)/25)*Calculateur!AQ186*Calculateur!AS186*VLOOKUP('Données projet'!$B$10,Paramètres!$A$1:$I$89,3,0)*0.475*44/12</f>
        <v>0</v>
      </c>
      <c r="AW186" s="23">
        <f>EXP(-LN(2)/2)*AW185+(1-EXP(-LN(2)/2))/(LN(2)/2)*AQ186*AT186*VLOOKUP('Données projet'!$B$10,Paramètres!$A$1:$I$89,3,0)*0.475*44/12</f>
        <v>0</v>
      </c>
      <c r="AX186" s="23">
        <f t="shared" si="166"/>
        <v>0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5.6843418860808015E-14</v>
      </c>
      <c r="BE186" s="14">
        <f>BD186*VLOOKUP('Données projet'!$B$11,Paramètres!$A$1:$I$89,3,0)*VLOOKUP('Données projet'!$B$11,Paramètres!$A$1:$I$89,5,0)</f>
        <v>2.6602720026858149E-14</v>
      </c>
      <c r="BF186" s="14">
        <f t="shared" si="167"/>
        <v>4.6624771586320878E-13</v>
      </c>
      <c r="BG186" s="22">
        <f t="shared" si="168"/>
        <v>8.583811758418665E-13</v>
      </c>
      <c r="BH186" s="62">
        <f t="shared" si="116"/>
        <v>293.33333333333417</v>
      </c>
      <c r="BI186" s="62">
        <f ca="1">AVERAGE(OFFSET($BH$3,0,0,'Données projet'!$E$11+1,1))-AVERAGE(OFFSET($H$3,0,0,'Données projet'!$E$11+1,1))</f>
        <v>152.72674713084456</v>
      </c>
      <c r="BJ186" s="62">
        <f t="shared" si="146"/>
        <v>203.90215120562164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0.74249001730030961</v>
      </c>
      <c r="BQ186" s="23">
        <f>EXP(-LN(2)/25)*BQ185+(1-EXP(-LN(2)/25))/(LN(2)/25)*Calculateur!BL186*Calculateur!BN186*VLOOKUP('Données projet'!$B$11,Paramètres!$A$1:$I$89,3,0)*0.475*44/12</f>
        <v>0</v>
      </c>
      <c r="BR186" s="23">
        <f>EXP(-LN(2)/2)*BR185+(1-EXP(-LN(2)/2))/(LN(2)/2)*BL186*BO186*VLOOKUP('Données projet'!$B$11,Paramètres!$A$1:$I$89,3,0)*0.475*44/12</f>
        <v>1.451868922828632E-22</v>
      </c>
      <c r="BS186" s="24">
        <f t="shared" si="169"/>
        <v>0.74249001730030961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3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51.374419199999892</v>
      </c>
      <c r="D187" s="12">
        <f t="shared" si="140"/>
        <v>14.968147284012097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160.80506991984382</v>
      </c>
      <c r="H187" s="70">
        <f t="shared" si="110"/>
        <v>372.21330329298758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0</v>
      </c>
      <c r="O187" s="14">
        <f>N187*VLOOKUP('Données projet'!$B$9,Paramètres!$A$1:$I$89,3,0)*VLOOKUP('Données projet'!$B$9,Paramètres!$A$1:$I$89,5,0)</f>
        <v>0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327.25473597900725</v>
      </c>
      <c r="T187" s="62">
        <f t="shared" si="142"/>
        <v>211.5313580973322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0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0</v>
      </c>
      <c r="AC187" s="24">
        <f t="shared" si="163"/>
        <v>0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>
        <f>AI187*VLOOKUP('Données projet'!$B$10,Paramètres!$A$1:$I$89,3,0)*VLOOKUP('Données projet'!$B$10,Paramètres!$A$1:$I$89,5,0)</f>
        <v>0</v>
      </c>
      <c r="AK187" s="14" t="e">
        <f t="shared" si="164"/>
        <v>#NUM!</v>
      </c>
      <c r="AL187" s="22" t="e">
        <f t="shared" si="165"/>
        <v>#NUM!</v>
      </c>
      <c r="AM187" s="62" t="e">
        <f t="shared" si="113"/>
        <v>#NUM!</v>
      </c>
      <c r="AN187" s="62">
        <f ca="1">AVERAGE(OFFSET($AM$3,0,0,'Données projet'!$E$10+1,1))-AVERAGE(OFFSET($H$3,0,0,'Données projet'!$E$10+1,1))</f>
        <v>366.41072413829329</v>
      </c>
      <c r="AO187" s="62">
        <f t="shared" si="144"/>
        <v>234.41212418619125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0</v>
      </c>
      <c r="AV187" s="23">
        <f>EXP(-LN(2)/25)*AV186+(1-EXP(-LN(2)/25))/(LN(2)/25)*Calculateur!AQ187*Calculateur!AS187*VLOOKUP('Données projet'!$B$10,Paramètres!$A$1:$I$89,3,0)*0.475*44/12</f>
        <v>0</v>
      </c>
      <c r="AW187" s="23">
        <f>EXP(-LN(2)/2)*AW186+(1-EXP(-LN(2)/2))/(LN(2)/2)*AQ187*AT187*VLOOKUP('Données projet'!$B$10,Paramètres!$A$1:$I$89,3,0)*0.475*44/12</f>
        <v>0</v>
      </c>
      <c r="AX187" s="23">
        <f t="shared" si="166"/>
        <v>0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5.6843418860808015E-14</v>
      </c>
      <c r="BE187" s="14">
        <f>BD187*VLOOKUP('Données projet'!$B$11,Paramètres!$A$1:$I$89,3,0)*VLOOKUP('Données projet'!$B$11,Paramètres!$A$1:$I$89,5,0)</f>
        <v>2.6602720026858149E-14</v>
      </c>
      <c r="BF187" s="14">
        <f t="shared" si="167"/>
        <v>4.6624771586320878E-13</v>
      </c>
      <c r="BG187" s="22">
        <f t="shared" si="168"/>
        <v>8.583811758418665E-13</v>
      </c>
      <c r="BH187" s="62">
        <f t="shared" si="116"/>
        <v>293.33333333333417</v>
      </c>
      <c r="BI187" s="62">
        <f ca="1">AVERAGE(OFFSET($BH$3,0,0,'Données projet'!$E$11+1,1))-AVERAGE(OFFSET($H$3,0,0,'Données projet'!$E$11+1,1))</f>
        <v>152.72674713084456</v>
      </c>
      <c r="BJ187" s="62">
        <f t="shared" si="146"/>
        <v>203.90215120562164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0.7279302409352435</v>
      </c>
      <c r="BQ187" s="23">
        <f>EXP(-LN(2)/25)*BQ186+(1-EXP(-LN(2)/25))/(LN(2)/25)*Calculateur!BL187*Calculateur!BN187*VLOOKUP('Données projet'!$B$11,Paramètres!$A$1:$I$89,3,0)*0.475*44/12</f>
        <v>0</v>
      </c>
      <c r="BR187" s="23">
        <f>EXP(-LN(2)/2)*BR186+(1-EXP(-LN(2)/2))/(LN(2)/2)*BL187*BO187*VLOOKUP('Données projet'!$B$11,Paramètres!$A$1:$I$89,3,0)*0.475*44/12</f>
        <v>1.0266263607261339E-22</v>
      </c>
      <c r="BS187" s="24">
        <f t="shared" si="169"/>
        <v>0.7279302409352435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3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51.653627999999891</v>
      </c>
      <c r="D188" s="12">
        <f t="shared" si="140"/>
        <v>15.040004240431939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161.65600404101863</v>
      </c>
      <c r="H188" s="70">
        <f t="shared" si="110"/>
        <v>372.8247428187521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0</v>
      </c>
      <c r="O188" s="14">
        <f>N188*VLOOKUP('Données projet'!$B$9,Paramètres!$A$1:$I$89,3,0)*VLOOKUP('Données projet'!$B$9,Paramètres!$A$1:$I$89,5,0)</f>
        <v>0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327.25473597900725</v>
      </c>
      <c r="T188" s="62">
        <f t="shared" si="142"/>
        <v>211.5313580973322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0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0</v>
      </c>
      <c r="AC188" s="24">
        <f t="shared" si="163"/>
        <v>0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>
        <f>AI188*VLOOKUP('Données projet'!$B$10,Paramètres!$A$1:$I$89,3,0)*VLOOKUP('Données projet'!$B$10,Paramètres!$A$1:$I$89,5,0)</f>
        <v>0</v>
      </c>
      <c r="AK188" s="14" t="e">
        <f t="shared" si="164"/>
        <v>#NUM!</v>
      </c>
      <c r="AL188" s="22" t="e">
        <f t="shared" si="165"/>
        <v>#NUM!</v>
      </c>
      <c r="AM188" s="62" t="e">
        <f t="shared" si="113"/>
        <v>#NUM!</v>
      </c>
      <c r="AN188" s="62">
        <f ca="1">AVERAGE(OFFSET($AM$3,0,0,'Données projet'!$E$10+1,1))-AVERAGE(OFFSET($H$3,0,0,'Données projet'!$E$10+1,1))</f>
        <v>366.41072413829329</v>
      </c>
      <c r="AO188" s="62">
        <f t="shared" si="144"/>
        <v>234.41212418619125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0</v>
      </c>
      <c r="AV188" s="23">
        <f>EXP(-LN(2)/25)*AV187+(1-EXP(-LN(2)/25))/(LN(2)/25)*Calculateur!AQ188*Calculateur!AS188*VLOOKUP('Données projet'!$B$10,Paramètres!$A$1:$I$89,3,0)*0.475*44/12</f>
        <v>0</v>
      </c>
      <c r="AW188" s="23">
        <f>EXP(-LN(2)/2)*AW187+(1-EXP(-LN(2)/2))/(LN(2)/2)*AQ188*AT188*VLOOKUP('Données projet'!$B$10,Paramètres!$A$1:$I$89,3,0)*0.475*44/12</f>
        <v>0</v>
      </c>
      <c r="AX188" s="23">
        <f t="shared" si="166"/>
        <v>0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5.6843418860808015E-14</v>
      </c>
      <c r="BE188" s="14">
        <f>BD188*VLOOKUP('Données projet'!$B$11,Paramètres!$A$1:$I$89,3,0)*VLOOKUP('Données projet'!$B$11,Paramètres!$A$1:$I$89,5,0)</f>
        <v>2.6602720026858149E-14</v>
      </c>
      <c r="BF188" s="14">
        <f t="shared" si="167"/>
        <v>4.6624771586320878E-13</v>
      </c>
      <c r="BG188" s="22">
        <f t="shared" si="168"/>
        <v>8.583811758418665E-13</v>
      </c>
      <c r="BH188" s="62">
        <f t="shared" si="116"/>
        <v>293.33333333333417</v>
      </c>
      <c r="BI188" s="62">
        <f ca="1">AVERAGE(OFFSET($BH$3,0,0,'Données projet'!$E$11+1,1))-AVERAGE(OFFSET($H$3,0,0,'Données projet'!$E$11+1,1))</f>
        <v>152.72674713084456</v>
      </c>
      <c r="BJ188" s="62">
        <f t="shared" si="146"/>
        <v>203.90215120562164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0.71365597290410965</v>
      </c>
      <c r="BQ188" s="23">
        <f>EXP(-LN(2)/25)*BQ187+(1-EXP(-LN(2)/25))/(LN(2)/25)*Calculateur!BL188*Calculateur!BN188*VLOOKUP('Données projet'!$B$11,Paramètres!$A$1:$I$89,3,0)*0.475*44/12</f>
        <v>0</v>
      </c>
      <c r="BR188" s="23">
        <f>EXP(-LN(2)/2)*BR187+(1-EXP(-LN(2)/2))/(LN(2)/2)*BL188*BO188*VLOOKUP('Données projet'!$B$11,Paramètres!$A$1:$I$89,3,0)*0.475*44/12</f>
        <v>7.2593446141431599E-23</v>
      </c>
      <c r="BS188" s="24">
        <f t="shared" si="169"/>
        <v>0.71365597290410965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3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51.93283679999989</v>
      </c>
      <c r="D189" s="12">
        <f t="shared" si="140"/>
        <v>15.111815999219136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162.50682860947543</v>
      </c>
      <c r="H189" s="70">
        <f t="shared" si="110"/>
        <v>373.43610362530649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0</v>
      </c>
      <c r="O189" s="14">
        <f>N189*VLOOKUP('Données projet'!$B$9,Paramètres!$A$1:$I$89,3,0)*VLOOKUP('Données projet'!$B$9,Paramètres!$A$1:$I$89,5,0)</f>
        <v>0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327.25473597900725</v>
      </c>
      <c r="T189" s="62">
        <f t="shared" si="142"/>
        <v>211.5313580973322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0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0</v>
      </c>
      <c r="AC189" s="24">
        <f t="shared" si="163"/>
        <v>0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>
        <f>AI189*VLOOKUP('Données projet'!$B$10,Paramètres!$A$1:$I$89,3,0)*VLOOKUP('Données projet'!$B$10,Paramètres!$A$1:$I$89,5,0)</f>
        <v>0</v>
      </c>
      <c r="AK189" s="14" t="e">
        <f t="shared" si="164"/>
        <v>#NUM!</v>
      </c>
      <c r="AL189" s="22" t="e">
        <f t="shared" si="165"/>
        <v>#NUM!</v>
      </c>
      <c r="AM189" s="62" t="e">
        <f t="shared" si="113"/>
        <v>#NUM!</v>
      </c>
      <c r="AN189" s="62">
        <f ca="1">AVERAGE(OFFSET($AM$3,0,0,'Données projet'!$E$10+1,1))-AVERAGE(OFFSET($H$3,0,0,'Données projet'!$E$10+1,1))</f>
        <v>366.41072413829329</v>
      </c>
      <c r="AO189" s="62">
        <f t="shared" si="144"/>
        <v>234.41212418619125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0</v>
      </c>
      <c r="AV189" s="23">
        <f>EXP(-LN(2)/25)*AV188+(1-EXP(-LN(2)/25))/(LN(2)/25)*Calculateur!AQ189*Calculateur!AS189*VLOOKUP('Données projet'!$B$10,Paramètres!$A$1:$I$89,3,0)*0.475*44/12</f>
        <v>0</v>
      </c>
      <c r="AW189" s="23">
        <f>EXP(-LN(2)/2)*AW188+(1-EXP(-LN(2)/2))/(LN(2)/2)*AQ189*AT189*VLOOKUP('Données projet'!$B$10,Paramètres!$A$1:$I$89,3,0)*0.475*44/12</f>
        <v>0</v>
      </c>
      <c r="AX189" s="23">
        <f t="shared" si="166"/>
        <v>0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5.6843418860808015E-14</v>
      </c>
      <c r="BE189" s="14">
        <f>BD189*VLOOKUP('Données projet'!$B$11,Paramètres!$A$1:$I$89,3,0)*VLOOKUP('Données projet'!$B$11,Paramètres!$A$1:$I$89,5,0)</f>
        <v>2.6602720026858149E-14</v>
      </c>
      <c r="BF189" s="14">
        <f t="shared" si="167"/>
        <v>4.6624771586320878E-13</v>
      </c>
      <c r="BG189" s="22">
        <f t="shared" si="168"/>
        <v>8.583811758418665E-13</v>
      </c>
      <c r="BH189" s="62">
        <f t="shared" si="116"/>
        <v>293.33333333333417</v>
      </c>
      <c r="BI189" s="62">
        <f ca="1">AVERAGE(OFFSET($BH$3,0,0,'Données projet'!$E$11+1,1))-AVERAGE(OFFSET($H$3,0,0,'Données projet'!$E$11+1,1))</f>
        <v>152.72674713084456</v>
      </c>
      <c r="BJ189" s="62">
        <f t="shared" si="146"/>
        <v>203.90215120562164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0.69966161456262255</v>
      </c>
      <c r="BQ189" s="23">
        <f>EXP(-LN(2)/25)*BQ188+(1-EXP(-LN(2)/25))/(LN(2)/25)*Calculateur!BL189*Calculateur!BN189*VLOOKUP('Données projet'!$B$11,Paramètres!$A$1:$I$89,3,0)*0.475*44/12</f>
        <v>0</v>
      </c>
      <c r="BR189" s="23">
        <f>EXP(-LN(2)/2)*BR188+(1-EXP(-LN(2)/2))/(LN(2)/2)*BL189*BO189*VLOOKUP('Données projet'!$B$11,Paramètres!$A$1:$I$89,3,0)*0.475*44/12</f>
        <v>5.1331318036306697E-23</v>
      </c>
      <c r="BS189" s="24">
        <f t="shared" si="169"/>
        <v>0.69966161456262255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3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52.21204559999989</v>
      </c>
      <c r="D190" s="12">
        <f t="shared" si="140"/>
        <v>15.183582831574444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163.35754428256686</v>
      </c>
      <c r="H190" s="70">
        <f t="shared" si="110"/>
        <v>374.04738618499198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0</v>
      </c>
      <c r="O190" s="14">
        <f>N190*VLOOKUP('Données projet'!$B$9,Paramètres!$A$1:$I$89,3,0)*VLOOKUP('Données projet'!$B$9,Paramètres!$A$1:$I$89,5,0)</f>
        <v>0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327.25473597900725</v>
      </c>
      <c r="T190" s="62">
        <f t="shared" si="142"/>
        <v>211.5313580973322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0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0</v>
      </c>
      <c r="AC190" s="24">
        <f t="shared" si="163"/>
        <v>0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>
        <f>AI190*VLOOKUP('Données projet'!$B$10,Paramètres!$A$1:$I$89,3,0)*VLOOKUP('Données projet'!$B$10,Paramètres!$A$1:$I$89,5,0)</f>
        <v>0</v>
      </c>
      <c r="AK190" s="14" t="e">
        <f t="shared" si="164"/>
        <v>#NUM!</v>
      </c>
      <c r="AL190" s="22" t="e">
        <f t="shared" si="165"/>
        <v>#NUM!</v>
      </c>
      <c r="AM190" s="62" t="e">
        <f t="shared" si="113"/>
        <v>#NUM!</v>
      </c>
      <c r="AN190" s="62">
        <f ca="1">AVERAGE(OFFSET($AM$3,0,0,'Données projet'!$E$10+1,1))-AVERAGE(OFFSET($H$3,0,0,'Données projet'!$E$10+1,1))</f>
        <v>366.41072413829329</v>
      </c>
      <c r="AO190" s="62">
        <f t="shared" si="144"/>
        <v>234.41212418619125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0</v>
      </c>
      <c r="AV190" s="23">
        <f>EXP(-LN(2)/25)*AV189+(1-EXP(-LN(2)/25))/(LN(2)/25)*Calculateur!AQ190*Calculateur!AS190*VLOOKUP('Données projet'!$B$10,Paramètres!$A$1:$I$89,3,0)*0.475*44/12</f>
        <v>0</v>
      </c>
      <c r="AW190" s="23">
        <f>EXP(-LN(2)/2)*AW189+(1-EXP(-LN(2)/2))/(LN(2)/2)*AQ190*AT190*VLOOKUP('Données projet'!$B$10,Paramètres!$A$1:$I$89,3,0)*0.475*44/12</f>
        <v>0</v>
      </c>
      <c r="AX190" s="23">
        <f t="shared" si="166"/>
        <v>0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5.6843418860808015E-14</v>
      </c>
      <c r="BE190" s="14">
        <f>BD190*VLOOKUP('Données projet'!$B$11,Paramètres!$A$1:$I$89,3,0)*VLOOKUP('Données projet'!$B$11,Paramètres!$A$1:$I$89,5,0)</f>
        <v>2.6602720026858149E-14</v>
      </c>
      <c r="BF190" s="14">
        <f t="shared" si="167"/>
        <v>4.6624771586320878E-13</v>
      </c>
      <c r="BG190" s="22">
        <f t="shared" si="168"/>
        <v>8.583811758418665E-13</v>
      </c>
      <c r="BH190" s="62">
        <f t="shared" si="116"/>
        <v>293.33333333333417</v>
      </c>
      <c r="BI190" s="62">
        <f ca="1">AVERAGE(OFFSET($BH$3,0,0,'Données projet'!$E$11+1,1))-AVERAGE(OFFSET($H$3,0,0,'Données projet'!$E$11+1,1))</f>
        <v>152.72674713084456</v>
      </c>
      <c r="BJ190" s="62">
        <f t="shared" si="146"/>
        <v>203.90215120562164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0.6859416770524962</v>
      </c>
      <c r="BQ190" s="23">
        <f>EXP(-LN(2)/25)*BQ189+(1-EXP(-LN(2)/25))/(LN(2)/25)*Calculateur!BL190*Calculateur!BN190*VLOOKUP('Données projet'!$B$11,Paramètres!$A$1:$I$89,3,0)*0.475*44/12</f>
        <v>0</v>
      </c>
      <c r="BR190" s="23">
        <f>EXP(-LN(2)/2)*BR189+(1-EXP(-LN(2)/2))/(LN(2)/2)*BL190*BO190*VLOOKUP('Données projet'!$B$11,Paramètres!$A$1:$I$89,3,0)*0.475*44/12</f>
        <v>3.62967230707158E-23</v>
      </c>
      <c r="BS190" s="24">
        <f t="shared" si="169"/>
        <v>0.6859416770524962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3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52.491254399999889</v>
      </c>
      <c r="D191" s="12">
        <f t="shared" si="140"/>
        <v>15.25530500563017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164.20815171020786</v>
      </c>
      <c r="H191" s="70">
        <f t="shared" si="110"/>
        <v>374.65859096480568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0</v>
      </c>
      <c r="O191" s="14">
        <f>N191*VLOOKUP('Données projet'!$B$9,Paramètres!$A$1:$I$89,3,0)*VLOOKUP('Données projet'!$B$9,Paramètres!$A$1:$I$89,5,0)</f>
        <v>0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327.25473597900725</v>
      </c>
      <c r="T191" s="62">
        <f t="shared" si="142"/>
        <v>211.5313580973322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0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0</v>
      </c>
      <c r="AC191" s="24">
        <f t="shared" si="163"/>
        <v>0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>
        <f>AI191*VLOOKUP('Données projet'!$B$10,Paramètres!$A$1:$I$89,3,0)*VLOOKUP('Données projet'!$B$10,Paramètres!$A$1:$I$89,5,0)</f>
        <v>0</v>
      </c>
      <c r="AK191" s="14" t="e">
        <f t="shared" si="164"/>
        <v>#NUM!</v>
      </c>
      <c r="AL191" s="22" t="e">
        <f t="shared" si="165"/>
        <v>#NUM!</v>
      </c>
      <c r="AM191" s="62" t="e">
        <f t="shared" si="113"/>
        <v>#NUM!</v>
      </c>
      <c r="AN191" s="62">
        <f ca="1">AVERAGE(OFFSET($AM$3,0,0,'Données projet'!$E$10+1,1))-AVERAGE(OFFSET($H$3,0,0,'Données projet'!$E$10+1,1))</f>
        <v>366.41072413829329</v>
      </c>
      <c r="AO191" s="62">
        <f t="shared" si="144"/>
        <v>234.41212418619125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0</v>
      </c>
      <c r="AV191" s="23">
        <f>EXP(-LN(2)/25)*AV190+(1-EXP(-LN(2)/25))/(LN(2)/25)*Calculateur!AQ191*Calculateur!AS191*VLOOKUP('Données projet'!$B$10,Paramètres!$A$1:$I$89,3,0)*0.475*44/12</f>
        <v>0</v>
      </c>
      <c r="AW191" s="23">
        <f>EXP(-LN(2)/2)*AW190+(1-EXP(-LN(2)/2))/(LN(2)/2)*AQ191*AT191*VLOOKUP('Données projet'!$B$10,Paramètres!$A$1:$I$89,3,0)*0.475*44/12</f>
        <v>0</v>
      </c>
      <c r="AX191" s="23">
        <f t="shared" si="166"/>
        <v>0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5.6843418860808015E-14</v>
      </c>
      <c r="BE191" s="14">
        <f>BD191*VLOOKUP('Données projet'!$B$11,Paramètres!$A$1:$I$89,3,0)*VLOOKUP('Données projet'!$B$11,Paramètres!$A$1:$I$89,5,0)</f>
        <v>2.6602720026858149E-14</v>
      </c>
      <c r="BF191" s="14">
        <f t="shared" si="167"/>
        <v>4.6624771586320878E-13</v>
      </c>
      <c r="BG191" s="22">
        <f t="shared" si="168"/>
        <v>8.583811758418665E-13</v>
      </c>
      <c r="BH191" s="62">
        <f t="shared" si="116"/>
        <v>293.33333333333417</v>
      </c>
      <c r="BI191" s="62">
        <f ca="1">AVERAGE(OFFSET($BH$3,0,0,'Données projet'!$E$11+1,1))-AVERAGE(OFFSET($H$3,0,0,'Données projet'!$E$11+1,1))</f>
        <v>152.72674713084456</v>
      </c>
      <c r="BJ191" s="62">
        <f t="shared" si="146"/>
        <v>203.90215120562164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0.67249077914860789</v>
      </c>
      <c r="BQ191" s="23">
        <f>EXP(-LN(2)/25)*BQ190+(1-EXP(-LN(2)/25))/(LN(2)/25)*Calculateur!BL191*Calculateur!BN191*VLOOKUP('Données projet'!$B$11,Paramètres!$A$1:$I$89,3,0)*0.475*44/12</f>
        <v>0</v>
      </c>
      <c r="BR191" s="23">
        <f>EXP(-LN(2)/2)*BR190+(1-EXP(-LN(2)/2))/(LN(2)/2)*BL191*BO191*VLOOKUP('Données projet'!$B$11,Paramètres!$A$1:$I$89,3,0)*0.475*44/12</f>
        <v>2.5665659018153349E-23</v>
      </c>
      <c r="BS191" s="24">
        <f t="shared" si="169"/>
        <v>0.67249077914860789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3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52.770463199999888</v>
      </c>
      <c r="D192" s="12">
        <f t="shared" si="140"/>
        <v>15.326982786501015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165.0586515349994</v>
      </c>
      <c r="H192" s="70">
        <f t="shared" si="110"/>
        <v>375.26971842648908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0</v>
      </c>
      <c r="O192" s="14">
        <f>N192*VLOOKUP('Données projet'!$B$9,Paramètres!$A$1:$I$89,3,0)*VLOOKUP('Données projet'!$B$9,Paramètres!$A$1:$I$89,5,0)</f>
        <v>0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327.25473597900725</v>
      </c>
      <c r="T192" s="62">
        <f t="shared" si="142"/>
        <v>211.5313580973322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0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0</v>
      </c>
      <c r="AC192" s="24">
        <f t="shared" si="163"/>
        <v>0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>
        <f>AI192*VLOOKUP('Données projet'!$B$10,Paramètres!$A$1:$I$89,3,0)*VLOOKUP('Données projet'!$B$10,Paramètres!$A$1:$I$89,5,0)</f>
        <v>0</v>
      </c>
      <c r="AK192" s="14" t="e">
        <f t="shared" si="164"/>
        <v>#NUM!</v>
      </c>
      <c r="AL192" s="22" t="e">
        <f t="shared" si="165"/>
        <v>#NUM!</v>
      </c>
      <c r="AM192" s="62" t="e">
        <f t="shared" si="113"/>
        <v>#NUM!</v>
      </c>
      <c r="AN192" s="62">
        <f ca="1">AVERAGE(OFFSET($AM$3,0,0,'Données projet'!$E$10+1,1))-AVERAGE(OFFSET($H$3,0,0,'Données projet'!$E$10+1,1))</f>
        <v>366.41072413829329</v>
      </c>
      <c r="AO192" s="62">
        <f t="shared" si="144"/>
        <v>234.41212418619125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0</v>
      </c>
      <c r="AV192" s="23">
        <f>EXP(-LN(2)/25)*AV191+(1-EXP(-LN(2)/25))/(LN(2)/25)*Calculateur!AQ192*Calculateur!AS192*VLOOKUP('Données projet'!$B$10,Paramètres!$A$1:$I$89,3,0)*0.475*44/12</f>
        <v>0</v>
      </c>
      <c r="AW192" s="23">
        <f>EXP(-LN(2)/2)*AW191+(1-EXP(-LN(2)/2))/(LN(2)/2)*AQ192*AT192*VLOOKUP('Données projet'!$B$10,Paramètres!$A$1:$I$89,3,0)*0.475*44/12</f>
        <v>0</v>
      </c>
      <c r="AX192" s="23">
        <f t="shared" si="166"/>
        <v>0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5.6843418860808015E-14</v>
      </c>
      <c r="BE192" s="14">
        <f>BD192*VLOOKUP('Données projet'!$B$11,Paramètres!$A$1:$I$89,3,0)*VLOOKUP('Données projet'!$B$11,Paramètres!$A$1:$I$89,5,0)</f>
        <v>2.6602720026858149E-14</v>
      </c>
      <c r="BF192" s="14">
        <f t="shared" si="167"/>
        <v>4.6624771586320878E-13</v>
      </c>
      <c r="BG192" s="22">
        <f t="shared" si="168"/>
        <v>8.583811758418665E-13</v>
      </c>
      <c r="BH192" s="62">
        <f t="shared" si="116"/>
        <v>293.33333333333417</v>
      </c>
      <c r="BI192" s="62">
        <f ca="1">AVERAGE(OFFSET($BH$3,0,0,'Données projet'!$E$11+1,1))-AVERAGE(OFFSET($H$3,0,0,'Données projet'!$E$11+1,1))</f>
        <v>152.72674713084456</v>
      </c>
      <c r="BJ192" s="62">
        <f t="shared" si="146"/>
        <v>203.90215120562164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0.65930364514837714</v>
      </c>
      <c r="BQ192" s="23">
        <f>EXP(-LN(2)/25)*BQ191+(1-EXP(-LN(2)/25))/(LN(2)/25)*Calculateur!BL192*Calculateur!BN192*VLOOKUP('Données projet'!$B$11,Paramètres!$A$1:$I$89,3,0)*0.475*44/12</f>
        <v>0</v>
      </c>
      <c r="BR192" s="23">
        <f>EXP(-LN(2)/2)*BR191+(1-EXP(-LN(2)/2))/(LN(2)/2)*BL192*BO192*VLOOKUP('Données projet'!$B$11,Paramètres!$A$1:$I$89,3,0)*0.475*44/12</f>
        <v>1.81483615353579E-23</v>
      </c>
      <c r="BS192" s="24">
        <f t="shared" si="169"/>
        <v>0.65930364514837714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3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53.049671999999887</v>
      </c>
      <c r="D193" s="12">
        <f t="shared" si="140"/>
        <v>15.398616436333853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165.90904439234859</v>
      </c>
      <c r="H193" s="70">
        <f t="shared" si="110"/>
        <v>375.88076902661459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0</v>
      </c>
      <c r="O193" s="14">
        <f>N193*VLOOKUP('Données projet'!$B$9,Paramètres!$A$1:$I$89,3,0)*VLOOKUP('Données projet'!$B$9,Paramètres!$A$1:$I$89,5,0)</f>
        <v>0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327.25473597900725</v>
      </c>
      <c r="T193" s="62">
        <f t="shared" si="142"/>
        <v>211.5313580973322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0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0</v>
      </c>
      <c r="AC193" s="24">
        <f t="shared" si="163"/>
        <v>0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>
        <f>AI193*VLOOKUP('Données projet'!$B$10,Paramètres!$A$1:$I$89,3,0)*VLOOKUP('Données projet'!$B$10,Paramètres!$A$1:$I$89,5,0)</f>
        <v>0</v>
      </c>
      <c r="AK193" s="14" t="e">
        <f t="shared" si="164"/>
        <v>#NUM!</v>
      </c>
      <c r="AL193" s="22" t="e">
        <f t="shared" si="165"/>
        <v>#NUM!</v>
      </c>
      <c r="AM193" s="62" t="e">
        <f t="shared" si="113"/>
        <v>#NUM!</v>
      </c>
      <c r="AN193" s="62">
        <f ca="1">AVERAGE(OFFSET($AM$3,0,0,'Données projet'!$E$10+1,1))-AVERAGE(OFFSET($H$3,0,0,'Données projet'!$E$10+1,1))</f>
        <v>366.41072413829329</v>
      </c>
      <c r="AO193" s="62">
        <f t="shared" si="144"/>
        <v>234.41212418619125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0</v>
      </c>
      <c r="AV193" s="23">
        <f>EXP(-LN(2)/25)*AV192+(1-EXP(-LN(2)/25))/(LN(2)/25)*Calculateur!AQ193*Calculateur!AS193*VLOOKUP('Données projet'!$B$10,Paramètres!$A$1:$I$89,3,0)*0.475*44/12</f>
        <v>0</v>
      </c>
      <c r="AW193" s="23">
        <f>EXP(-LN(2)/2)*AW192+(1-EXP(-LN(2)/2))/(LN(2)/2)*AQ193*AT193*VLOOKUP('Données projet'!$B$10,Paramètres!$A$1:$I$89,3,0)*0.475*44/12</f>
        <v>0</v>
      </c>
      <c r="AX193" s="23">
        <f t="shared" si="166"/>
        <v>0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5.6843418860808015E-14</v>
      </c>
      <c r="BE193" s="14">
        <f>BD193*VLOOKUP('Données projet'!$B$11,Paramètres!$A$1:$I$89,3,0)*VLOOKUP('Données projet'!$B$11,Paramètres!$A$1:$I$89,5,0)</f>
        <v>2.6602720026858149E-14</v>
      </c>
      <c r="BF193" s="14">
        <f t="shared" si="167"/>
        <v>4.6624771586320878E-13</v>
      </c>
      <c r="BG193" s="22">
        <f t="shared" si="168"/>
        <v>8.583811758418665E-13</v>
      </c>
      <c r="BH193" s="62">
        <f t="shared" si="116"/>
        <v>293.33333333333417</v>
      </c>
      <c r="BI193" s="62">
        <f ca="1">AVERAGE(OFFSET($BH$3,0,0,'Données projet'!$E$11+1,1))-AVERAGE(OFFSET($H$3,0,0,'Données projet'!$E$11+1,1))</f>
        <v>152.72674713084456</v>
      </c>
      <c r="BJ193" s="62">
        <f t="shared" si="146"/>
        <v>203.90215120562164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0.64637510280253341</v>
      </c>
      <c r="BQ193" s="23">
        <f>EXP(-LN(2)/25)*BQ192+(1-EXP(-LN(2)/25))/(LN(2)/25)*Calculateur!BL193*Calculateur!BN193*VLOOKUP('Données projet'!$B$11,Paramètres!$A$1:$I$89,3,0)*0.475*44/12</f>
        <v>0</v>
      </c>
      <c r="BR193" s="23">
        <f>EXP(-LN(2)/2)*BR192+(1-EXP(-LN(2)/2))/(LN(2)/2)*BL193*BO193*VLOOKUP('Données projet'!$B$11,Paramètres!$A$1:$I$89,3,0)*0.475*44/12</f>
        <v>1.2832829509076674E-23</v>
      </c>
      <c r="BS193" s="24">
        <f t="shared" si="169"/>
        <v>0.64637510280253341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3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53.328880799999887</v>
      </c>
      <c r="D194" s="12">
        <f t="shared" si="140"/>
        <v>15.470206214356349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166.75933091058695</v>
      </c>
      <c r="H194" s="70">
        <f t="shared" si="110"/>
        <v>376.49174321667044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0</v>
      </c>
      <c r="O194" s="14">
        <f>N194*VLOOKUP('Données projet'!$B$9,Paramètres!$A$1:$I$89,3,0)*VLOOKUP('Données projet'!$B$9,Paramètres!$A$1:$I$89,5,0)</f>
        <v>0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327.25473597900725</v>
      </c>
      <c r="T194" s="62">
        <f t="shared" si="142"/>
        <v>211.5313580973322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0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0</v>
      </c>
      <c r="AC194" s="24">
        <f t="shared" si="163"/>
        <v>0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>
        <f>AI194*VLOOKUP('Données projet'!$B$10,Paramètres!$A$1:$I$89,3,0)*VLOOKUP('Données projet'!$B$10,Paramètres!$A$1:$I$89,5,0)</f>
        <v>0</v>
      </c>
      <c r="AK194" s="14" t="e">
        <f t="shared" si="164"/>
        <v>#NUM!</v>
      </c>
      <c r="AL194" s="22" t="e">
        <f t="shared" si="165"/>
        <v>#NUM!</v>
      </c>
      <c r="AM194" s="62" t="e">
        <f t="shared" si="113"/>
        <v>#NUM!</v>
      </c>
      <c r="AN194" s="62">
        <f ca="1">AVERAGE(OFFSET($AM$3,0,0,'Données projet'!$E$10+1,1))-AVERAGE(OFFSET($H$3,0,0,'Données projet'!$E$10+1,1))</f>
        <v>366.41072413829329</v>
      </c>
      <c r="AO194" s="62">
        <f t="shared" si="144"/>
        <v>234.41212418619125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0</v>
      </c>
      <c r="AV194" s="23">
        <f>EXP(-LN(2)/25)*AV193+(1-EXP(-LN(2)/25))/(LN(2)/25)*Calculateur!AQ194*Calculateur!AS194*VLOOKUP('Données projet'!$B$10,Paramètres!$A$1:$I$89,3,0)*0.475*44/12</f>
        <v>0</v>
      </c>
      <c r="AW194" s="23">
        <f>EXP(-LN(2)/2)*AW193+(1-EXP(-LN(2)/2))/(LN(2)/2)*AQ194*AT194*VLOOKUP('Données projet'!$B$10,Paramètres!$A$1:$I$89,3,0)*0.475*44/12</f>
        <v>0</v>
      </c>
      <c r="AX194" s="23">
        <f t="shared" si="166"/>
        <v>0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5.6843418860808015E-14</v>
      </c>
      <c r="BE194" s="14">
        <f>BD194*VLOOKUP('Données projet'!$B$11,Paramètres!$A$1:$I$89,3,0)*VLOOKUP('Données projet'!$B$11,Paramètres!$A$1:$I$89,5,0)</f>
        <v>2.6602720026858149E-14</v>
      </c>
      <c r="BF194" s="14">
        <f t="shared" si="167"/>
        <v>4.6624771586320878E-13</v>
      </c>
      <c r="BG194" s="22">
        <f t="shared" si="168"/>
        <v>8.583811758418665E-13</v>
      </c>
      <c r="BH194" s="62">
        <f t="shared" si="116"/>
        <v>293.33333333333417</v>
      </c>
      <c r="BI194" s="62">
        <f ca="1">AVERAGE(OFFSET($BH$3,0,0,'Données projet'!$E$11+1,1))-AVERAGE(OFFSET($H$3,0,0,'Données projet'!$E$11+1,1))</f>
        <v>152.72674713084456</v>
      </c>
      <c r="BJ194" s="62">
        <f t="shared" si="146"/>
        <v>203.90215120562164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0.63370008128645949</v>
      </c>
      <c r="BQ194" s="23">
        <f>EXP(-LN(2)/25)*BQ193+(1-EXP(-LN(2)/25))/(LN(2)/25)*Calculateur!BL194*Calculateur!BN194*VLOOKUP('Données projet'!$B$11,Paramètres!$A$1:$I$89,3,0)*0.475*44/12</f>
        <v>0</v>
      </c>
      <c r="BR194" s="23">
        <f>EXP(-LN(2)/2)*BR193+(1-EXP(-LN(2)/2))/(LN(2)/2)*BL194*BO194*VLOOKUP('Données projet'!$B$11,Paramètres!$A$1:$I$89,3,0)*0.475*44/12</f>
        <v>9.0741807676789499E-24</v>
      </c>
      <c r="BS194" s="24">
        <f t="shared" si="169"/>
        <v>0.63370008128645949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3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53.608089599999886</v>
      </c>
      <c r="D195" s="12">
        <f t="shared" si="140"/>
        <v>15.541752376924608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167.60951171108573</v>
      </c>
      <c r="H195" s="70">
        <f t="shared" si="110"/>
        <v>377.10264144314351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0</v>
      </c>
      <c r="O195" s="14">
        <f>N195*VLOOKUP('Données projet'!$B$9,Paramètres!$A$1:$I$89,3,0)*VLOOKUP('Données projet'!$B$9,Paramètres!$A$1:$I$89,5,0)</f>
        <v>0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327.25473597900725</v>
      </c>
      <c r="T195" s="62">
        <f t="shared" si="142"/>
        <v>211.5313580973322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0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0</v>
      </c>
      <c r="AC195" s="24">
        <f t="shared" si="163"/>
        <v>0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>
        <f>AI195*VLOOKUP('Données projet'!$B$10,Paramètres!$A$1:$I$89,3,0)*VLOOKUP('Données projet'!$B$10,Paramètres!$A$1:$I$89,5,0)</f>
        <v>0</v>
      </c>
      <c r="AK195" s="14" t="e">
        <f t="shared" si="164"/>
        <v>#NUM!</v>
      </c>
      <c r="AL195" s="22" t="e">
        <f t="shared" si="165"/>
        <v>#NUM!</v>
      </c>
      <c r="AM195" s="62" t="e">
        <f t="shared" si="113"/>
        <v>#NUM!</v>
      </c>
      <c r="AN195" s="62">
        <f ca="1">AVERAGE(OFFSET($AM$3,0,0,'Données projet'!$E$10+1,1))-AVERAGE(OFFSET($H$3,0,0,'Données projet'!$E$10+1,1))</f>
        <v>366.41072413829329</v>
      </c>
      <c r="AO195" s="62">
        <f t="shared" si="144"/>
        <v>234.41212418619125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0</v>
      </c>
      <c r="AV195" s="23">
        <f>EXP(-LN(2)/25)*AV194+(1-EXP(-LN(2)/25))/(LN(2)/25)*Calculateur!AQ195*Calculateur!AS195*VLOOKUP('Données projet'!$B$10,Paramètres!$A$1:$I$89,3,0)*0.475*44/12</f>
        <v>0</v>
      </c>
      <c r="AW195" s="23">
        <f>EXP(-LN(2)/2)*AW194+(1-EXP(-LN(2)/2))/(LN(2)/2)*AQ195*AT195*VLOOKUP('Données projet'!$B$10,Paramètres!$A$1:$I$89,3,0)*0.475*44/12</f>
        <v>0</v>
      </c>
      <c r="AX195" s="23">
        <f t="shared" si="166"/>
        <v>0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5.6843418860808015E-14</v>
      </c>
      <c r="BE195" s="14">
        <f>BD195*VLOOKUP('Données projet'!$B$11,Paramètres!$A$1:$I$89,3,0)*VLOOKUP('Données projet'!$B$11,Paramètres!$A$1:$I$89,5,0)</f>
        <v>2.6602720026858149E-14</v>
      </c>
      <c r="BF195" s="14">
        <f t="shared" si="167"/>
        <v>4.6624771586320878E-13</v>
      </c>
      <c r="BG195" s="22">
        <f t="shared" si="168"/>
        <v>8.583811758418665E-13</v>
      </c>
      <c r="BH195" s="62">
        <f t="shared" si="116"/>
        <v>293.33333333333417</v>
      </c>
      <c r="BI195" s="62">
        <f ca="1">AVERAGE(OFFSET($BH$3,0,0,'Données projet'!$E$11+1,1))-AVERAGE(OFFSET($H$3,0,0,'Données projet'!$E$11+1,1))</f>
        <v>152.72674713084456</v>
      </c>
      <c r="BJ195" s="62">
        <f t="shared" si="146"/>
        <v>203.90215120562164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0.62127360921131602</v>
      </c>
      <c r="BQ195" s="23">
        <f>EXP(-LN(2)/25)*BQ194+(1-EXP(-LN(2)/25))/(LN(2)/25)*Calculateur!BL195*Calculateur!BN195*VLOOKUP('Données projet'!$B$11,Paramètres!$A$1:$I$89,3,0)*0.475*44/12</f>
        <v>0</v>
      </c>
      <c r="BR195" s="23">
        <f>EXP(-LN(2)/2)*BR194+(1-EXP(-LN(2)/2))/(LN(2)/2)*BL195*BO195*VLOOKUP('Données projet'!$B$11,Paramètres!$A$1:$I$89,3,0)*0.475*44/12</f>
        <v>6.4164147545383372E-24</v>
      </c>
      <c r="BS195" s="24">
        <f t="shared" si="169"/>
        <v>0.62127360921131602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3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53.887298399999885</v>
      </c>
      <c r="D196" s="12">
        <f t="shared" si="140"/>
        <v>15.613255177569764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168.4595874083688</v>
      </c>
      <c r="H196" s="70">
        <f t="shared" ref="H196:H203" si="192">(B196+E196+F196)*44/12+(C196+D196)*0.475*44/12</f>
        <v>377.71346414760046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0</v>
      </c>
      <c r="O196" s="14">
        <f>N196*VLOOKUP('Données projet'!$B$9,Paramètres!$A$1:$I$89,3,0)*VLOOKUP('Données projet'!$B$9,Paramètres!$A$1:$I$89,5,0)</f>
        <v>0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327.25473597900725</v>
      </c>
      <c r="T196" s="62">
        <f t="shared" si="142"/>
        <v>211.5313580973322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0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0</v>
      </c>
      <c r="AC196" s="24">
        <f t="shared" si="163"/>
        <v>0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>
        <f>AI196*VLOOKUP('Données projet'!$B$10,Paramètres!$A$1:$I$89,3,0)*VLOOKUP('Données projet'!$B$10,Paramètres!$A$1:$I$89,5,0)</f>
        <v>0</v>
      </c>
      <c r="AK196" s="14" t="e">
        <f t="shared" si="164"/>
        <v>#NUM!</v>
      </c>
      <c r="AL196" s="22" t="e">
        <f t="shared" si="165"/>
        <v>#NUM!</v>
      </c>
      <c r="AM196" s="62" t="e">
        <f t="shared" ref="AM196:AM203" si="193">AL196+(AD196+AE196)*44/12</f>
        <v>#NUM!</v>
      </c>
      <c r="AN196" s="62">
        <f ca="1">AVERAGE(OFFSET($AM$3,0,0,'Données projet'!$E$10+1,1))-AVERAGE(OFFSET($H$3,0,0,'Données projet'!$E$10+1,1))</f>
        <v>366.41072413829329</v>
      </c>
      <c r="AO196" s="62">
        <f t="shared" si="144"/>
        <v>234.41212418619125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0</v>
      </c>
      <c r="AV196" s="23">
        <f>EXP(-LN(2)/25)*AV195+(1-EXP(-LN(2)/25))/(LN(2)/25)*Calculateur!AQ196*Calculateur!AS196*VLOOKUP('Données projet'!$B$10,Paramètres!$A$1:$I$89,3,0)*0.475*44/12</f>
        <v>0</v>
      </c>
      <c r="AW196" s="23">
        <f>EXP(-LN(2)/2)*AW195+(1-EXP(-LN(2)/2))/(LN(2)/2)*AQ196*AT196*VLOOKUP('Données projet'!$B$10,Paramètres!$A$1:$I$89,3,0)*0.475*44/12</f>
        <v>0</v>
      </c>
      <c r="AX196" s="23">
        <f t="shared" si="166"/>
        <v>0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5.6843418860808015E-14</v>
      </c>
      <c r="BE196" s="14">
        <f>BD196*VLOOKUP('Données projet'!$B$11,Paramètres!$A$1:$I$89,3,0)*VLOOKUP('Données projet'!$B$11,Paramètres!$A$1:$I$89,5,0)</f>
        <v>2.6602720026858149E-14</v>
      </c>
      <c r="BF196" s="14">
        <f t="shared" si="167"/>
        <v>4.6624771586320878E-13</v>
      </c>
      <c r="BG196" s="22">
        <f t="shared" si="168"/>
        <v>8.583811758418665E-13</v>
      </c>
      <c r="BH196" s="62">
        <f t="shared" ref="BH196:BH203" si="194">BG196+(AY196+AZ196)*44/12</f>
        <v>293.33333333333417</v>
      </c>
      <c r="BI196" s="62">
        <f ca="1">AVERAGE(OFFSET($BH$3,0,0,'Données projet'!$E$11+1,1))-AVERAGE(OFFSET($H$3,0,0,'Données projet'!$E$11+1,1))</f>
        <v>152.72674713084456</v>
      </c>
      <c r="BJ196" s="62">
        <f t="shared" si="146"/>
        <v>203.90215120562164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0.60909081267416654</v>
      </c>
      <c r="BQ196" s="23">
        <f>EXP(-LN(2)/25)*BQ195+(1-EXP(-LN(2)/25))/(LN(2)/25)*Calculateur!BL196*Calculateur!BN196*VLOOKUP('Données projet'!$B$11,Paramètres!$A$1:$I$89,3,0)*0.475*44/12</f>
        <v>0</v>
      </c>
      <c r="BR196" s="23">
        <f>EXP(-LN(2)/2)*BR195+(1-EXP(-LN(2)/2))/(LN(2)/2)*BL196*BO196*VLOOKUP('Données projet'!$B$11,Paramètres!$A$1:$I$89,3,0)*0.475*44/12</f>
        <v>4.537090383839475E-24</v>
      </c>
      <c r="BS196" s="24">
        <f t="shared" si="169"/>
        <v>0.60909081267416654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3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54.166507199999884</v>
      </c>
      <c r="D197" s="12">
        <f t="shared" ref="D197:D203" si="202">IFERROR(EXP(-1.0587+0.8836*LN(C197)+0.284),0)</f>
        <v>15.684714867043589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169.30955861022326</v>
      </c>
      <c r="H197" s="70">
        <f t="shared" si="192"/>
        <v>378.32421176676741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0</v>
      </c>
      <c r="O197" s="14">
        <f>N197*VLOOKUP('Données projet'!$B$9,Paramètres!$A$1:$I$89,3,0)*VLOOKUP('Données projet'!$B$9,Paramètres!$A$1:$I$89,5,0)</f>
        <v>0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327.25473597900725</v>
      </c>
      <c r="T197" s="62">
        <f t="shared" ref="T197:T203" si="204">$T$3</f>
        <v>211.5313580973322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0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0</v>
      </c>
      <c r="AC197" s="24">
        <f t="shared" si="163"/>
        <v>0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>
        <f>AI197*VLOOKUP('Données projet'!$B$10,Paramètres!$A$1:$I$89,3,0)*VLOOKUP('Données projet'!$B$10,Paramètres!$A$1:$I$89,5,0)</f>
        <v>0</v>
      </c>
      <c r="AK197" s="14" t="e">
        <f t="shared" si="164"/>
        <v>#NUM!</v>
      </c>
      <c r="AL197" s="22" t="e">
        <f t="shared" si="165"/>
        <v>#NUM!</v>
      </c>
      <c r="AM197" s="62" t="e">
        <f t="shared" si="193"/>
        <v>#NUM!</v>
      </c>
      <c r="AN197" s="62">
        <f ca="1">AVERAGE(OFFSET($AM$3,0,0,'Données projet'!$E$10+1,1))-AVERAGE(OFFSET($H$3,0,0,'Données projet'!$E$10+1,1))</f>
        <v>366.41072413829329</v>
      </c>
      <c r="AO197" s="62">
        <f t="shared" ref="AO197:AO203" si="205">$AO$3</f>
        <v>234.41212418619125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0</v>
      </c>
      <c r="AV197" s="23">
        <f>EXP(-LN(2)/25)*AV196+(1-EXP(-LN(2)/25))/(LN(2)/25)*Calculateur!AQ197*Calculateur!AS197*VLOOKUP('Données projet'!$B$10,Paramètres!$A$1:$I$89,3,0)*0.475*44/12</f>
        <v>0</v>
      </c>
      <c r="AW197" s="23">
        <f>EXP(-LN(2)/2)*AW196+(1-EXP(-LN(2)/2))/(LN(2)/2)*AQ197*AT197*VLOOKUP('Données projet'!$B$10,Paramètres!$A$1:$I$89,3,0)*0.475*44/12</f>
        <v>0</v>
      </c>
      <c r="AX197" s="23">
        <f t="shared" si="166"/>
        <v>0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5.6843418860808015E-14</v>
      </c>
      <c r="BE197" s="14">
        <f>BD197*VLOOKUP('Données projet'!$B$11,Paramètres!$A$1:$I$89,3,0)*VLOOKUP('Données projet'!$B$11,Paramètres!$A$1:$I$89,5,0)</f>
        <v>2.6602720026858149E-14</v>
      </c>
      <c r="BF197" s="14">
        <f t="shared" si="167"/>
        <v>4.6624771586320878E-13</v>
      </c>
      <c r="BG197" s="22">
        <f t="shared" si="168"/>
        <v>8.583811758418665E-13</v>
      </c>
      <c r="BH197" s="62">
        <f t="shared" si="194"/>
        <v>293.33333333333417</v>
      </c>
      <c r="BI197" s="62">
        <f ca="1">AVERAGE(OFFSET($BH$3,0,0,'Données projet'!$E$11+1,1))-AVERAGE(OFFSET($H$3,0,0,'Données projet'!$E$11+1,1))</f>
        <v>152.72674713084456</v>
      </c>
      <c r="BJ197" s="62">
        <f t="shared" ref="BJ197:BJ203" si="206">$BJ$3</f>
        <v>203.90215120562164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0.5971469133463384</v>
      </c>
      <c r="BQ197" s="23">
        <f>EXP(-LN(2)/25)*BQ196+(1-EXP(-LN(2)/25))/(LN(2)/25)*Calculateur!BL197*Calculateur!BN197*VLOOKUP('Données projet'!$B$11,Paramètres!$A$1:$I$89,3,0)*0.475*44/12</f>
        <v>0</v>
      </c>
      <c r="BR197" s="23">
        <f>EXP(-LN(2)/2)*BR196+(1-EXP(-LN(2)/2))/(LN(2)/2)*BL197*BO197*VLOOKUP('Données projet'!$B$11,Paramètres!$A$1:$I$89,3,0)*0.475*44/12</f>
        <v>3.2082073772691686E-24</v>
      </c>
      <c r="BS197" s="24">
        <f t="shared" si="169"/>
        <v>0.5971469133463384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3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54.445715999999884</v>
      </c>
      <c r="D198" s="12">
        <f t="shared" si="202"/>
        <v>15.756131693363084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170.15942591780751</v>
      </c>
      <c r="H198" s="70">
        <f t="shared" si="192"/>
        <v>378.93488473260714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0</v>
      </c>
      <c r="O198" s="14">
        <f>N198*VLOOKUP('Données projet'!$B$9,Paramètres!$A$1:$I$89,3,0)*VLOOKUP('Données projet'!$B$9,Paramètres!$A$1:$I$89,5,0)</f>
        <v>0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327.25473597900725</v>
      </c>
      <c r="T198" s="62">
        <f t="shared" si="204"/>
        <v>211.5313580973322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0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0</v>
      </c>
      <c r="AC198" s="24">
        <f t="shared" si="163"/>
        <v>0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>
        <f>AI198*VLOOKUP('Données projet'!$B$10,Paramètres!$A$1:$I$89,3,0)*VLOOKUP('Données projet'!$B$10,Paramètres!$A$1:$I$89,5,0)</f>
        <v>0</v>
      </c>
      <c r="AK198" s="14" t="e">
        <f t="shared" si="164"/>
        <v>#NUM!</v>
      </c>
      <c r="AL198" s="22" t="e">
        <f t="shared" si="165"/>
        <v>#NUM!</v>
      </c>
      <c r="AM198" s="62" t="e">
        <f t="shared" si="193"/>
        <v>#NUM!</v>
      </c>
      <c r="AN198" s="62">
        <f ca="1">AVERAGE(OFFSET($AM$3,0,0,'Données projet'!$E$10+1,1))-AVERAGE(OFFSET($H$3,0,0,'Données projet'!$E$10+1,1))</f>
        <v>366.41072413829329</v>
      </c>
      <c r="AO198" s="62">
        <f t="shared" si="205"/>
        <v>234.41212418619125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0</v>
      </c>
      <c r="AV198" s="23">
        <f>EXP(-LN(2)/25)*AV197+(1-EXP(-LN(2)/25))/(LN(2)/25)*Calculateur!AQ198*Calculateur!AS198*VLOOKUP('Données projet'!$B$10,Paramètres!$A$1:$I$89,3,0)*0.475*44/12</f>
        <v>0</v>
      </c>
      <c r="AW198" s="23">
        <f>EXP(-LN(2)/2)*AW197+(1-EXP(-LN(2)/2))/(LN(2)/2)*AQ198*AT198*VLOOKUP('Données projet'!$B$10,Paramètres!$A$1:$I$89,3,0)*0.475*44/12</f>
        <v>0</v>
      </c>
      <c r="AX198" s="23">
        <f t="shared" si="166"/>
        <v>0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5.6843418860808015E-14</v>
      </c>
      <c r="BE198" s="14">
        <f>BD198*VLOOKUP('Données projet'!$B$11,Paramètres!$A$1:$I$89,3,0)*VLOOKUP('Données projet'!$B$11,Paramètres!$A$1:$I$89,5,0)</f>
        <v>2.6602720026858149E-14</v>
      </c>
      <c r="BF198" s="14">
        <f t="shared" si="167"/>
        <v>4.6624771586320878E-13</v>
      </c>
      <c r="BG198" s="22">
        <f t="shared" si="168"/>
        <v>8.583811758418665E-13</v>
      </c>
      <c r="BH198" s="62">
        <f t="shared" si="194"/>
        <v>293.33333333333417</v>
      </c>
      <c r="BI198" s="62">
        <f ca="1">AVERAGE(OFFSET($BH$3,0,0,'Données projet'!$E$11+1,1))-AVERAGE(OFFSET($H$3,0,0,'Données projet'!$E$11+1,1))</f>
        <v>152.72674713084456</v>
      </c>
      <c r="BJ198" s="62">
        <f t="shared" si="206"/>
        <v>203.90215120562164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0.58543722659926978</v>
      </c>
      <c r="BQ198" s="23">
        <f>EXP(-LN(2)/25)*BQ197+(1-EXP(-LN(2)/25))/(LN(2)/25)*Calculateur!BL198*Calculateur!BN198*VLOOKUP('Données projet'!$B$11,Paramètres!$A$1:$I$89,3,0)*0.475*44/12</f>
        <v>0</v>
      </c>
      <c r="BR198" s="23">
        <f>EXP(-LN(2)/2)*BR197+(1-EXP(-LN(2)/2))/(LN(2)/2)*BL198*BO198*VLOOKUP('Données projet'!$B$11,Paramètres!$A$1:$I$89,3,0)*0.475*44/12</f>
        <v>2.2685451919197375E-24</v>
      </c>
      <c r="BS198" s="24">
        <f t="shared" si="169"/>
        <v>0.58543722659926978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3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54.724924799999883</v>
      </c>
      <c r="D199" s="12">
        <f t="shared" si="202"/>
        <v>15.827505901854259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171.00918992575737</v>
      </c>
      <c r="H199" s="70">
        <f t="shared" si="192"/>
        <v>379.54548347239597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0</v>
      </c>
      <c r="O199" s="14">
        <f>N199*VLOOKUP('Données projet'!$B$9,Paramètres!$A$1:$I$89,3,0)*VLOOKUP('Données projet'!$B$9,Paramètres!$A$1:$I$89,5,0)</f>
        <v>0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327.25473597900725</v>
      </c>
      <c r="T199" s="62">
        <f t="shared" si="204"/>
        <v>211.5313580973322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0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0</v>
      </c>
      <c r="AC199" s="24">
        <f t="shared" si="163"/>
        <v>0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>
        <f>AI199*VLOOKUP('Données projet'!$B$10,Paramètres!$A$1:$I$89,3,0)*VLOOKUP('Données projet'!$B$10,Paramètres!$A$1:$I$89,5,0)</f>
        <v>0</v>
      </c>
      <c r="AK199" s="14" t="e">
        <f t="shared" si="164"/>
        <v>#NUM!</v>
      </c>
      <c r="AL199" s="22" t="e">
        <f t="shared" si="165"/>
        <v>#NUM!</v>
      </c>
      <c r="AM199" s="62" t="e">
        <f t="shared" si="193"/>
        <v>#NUM!</v>
      </c>
      <c r="AN199" s="62">
        <f ca="1">AVERAGE(OFFSET($AM$3,0,0,'Données projet'!$E$10+1,1))-AVERAGE(OFFSET($H$3,0,0,'Données projet'!$E$10+1,1))</f>
        <v>366.41072413829329</v>
      </c>
      <c r="AO199" s="62">
        <f t="shared" si="205"/>
        <v>234.41212418619125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0</v>
      </c>
      <c r="AV199" s="23">
        <f>EXP(-LN(2)/25)*AV198+(1-EXP(-LN(2)/25))/(LN(2)/25)*Calculateur!AQ199*Calculateur!AS199*VLOOKUP('Données projet'!$B$10,Paramètres!$A$1:$I$89,3,0)*0.475*44/12</f>
        <v>0</v>
      </c>
      <c r="AW199" s="23">
        <f>EXP(-LN(2)/2)*AW198+(1-EXP(-LN(2)/2))/(LN(2)/2)*AQ199*AT199*VLOOKUP('Données projet'!$B$10,Paramètres!$A$1:$I$89,3,0)*0.475*44/12</f>
        <v>0</v>
      </c>
      <c r="AX199" s="23">
        <f t="shared" si="166"/>
        <v>0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5.6843418860808015E-14</v>
      </c>
      <c r="BE199" s="14">
        <f>BD199*VLOOKUP('Données projet'!$B$11,Paramètres!$A$1:$I$89,3,0)*VLOOKUP('Données projet'!$B$11,Paramètres!$A$1:$I$89,5,0)</f>
        <v>2.6602720026858149E-14</v>
      </c>
      <c r="BF199" s="14">
        <f t="shared" si="167"/>
        <v>4.6624771586320878E-13</v>
      </c>
      <c r="BG199" s="22">
        <f t="shared" si="168"/>
        <v>8.583811758418665E-13</v>
      </c>
      <c r="BH199" s="62">
        <f t="shared" si="194"/>
        <v>293.33333333333417</v>
      </c>
      <c r="BI199" s="62">
        <f ca="1">AVERAGE(OFFSET($BH$3,0,0,'Données projet'!$E$11+1,1))-AVERAGE(OFFSET($H$3,0,0,'Données projet'!$E$11+1,1))</f>
        <v>152.72674713084456</v>
      </c>
      <c r="BJ199" s="62">
        <f t="shared" si="206"/>
        <v>203.90215120562164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0.57395715966710747</v>
      </c>
      <c r="BQ199" s="23">
        <f>EXP(-LN(2)/25)*BQ198+(1-EXP(-LN(2)/25))/(LN(2)/25)*Calculateur!BL199*Calculateur!BN199*VLOOKUP('Données projet'!$B$11,Paramètres!$A$1:$I$89,3,0)*0.475*44/12</f>
        <v>0</v>
      </c>
      <c r="BR199" s="23">
        <f>EXP(-LN(2)/2)*BR198+(1-EXP(-LN(2)/2))/(LN(2)/2)*BL199*BO199*VLOOKUP('Données projet'!$B$11,Paramètres!$A$1:$I$89,3,0)*0.475*44/12</f>
        <v>1.6041036886345843E-24</v>
      </c>
      <c r="BS199" s="24">
        <f t="shared" si="169"/>
        <v>0.57395715966710747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3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55.004133599999882</v>
      </c>
      <c r="D200" s="12">
        <f t="shared" si="202"/>
        <v>15.898837735194803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171.85885122228942</v>
      </c>
      <c r="H200" s="70">
        <f t="shared" si="192"/>
        <v>380.15600840879739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0</v>
      </c>
      <c r="O200" s="14">
        <f>N200*VLOOKUP('Données projet'!$B$9,Paramètres!$A$1:$I$89,3,0)*VLOOKUP('Données projet'!$B$9,Paramètres!$A$1:$I$89,5,0)</f>
        <v>0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327.25473597900725</v>
      </c>
      <c r="T200" s="62">
        <f t="shared" si="204"/>
        <v>211.5313580973322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0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0</v>
      </c>
      <c r="AC200" s="24">
        <f t="shared" si="163"/>
        <v>0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>
        <f>AI200*VLOOKUP('Données projet'!$B$10,Paramètres!$A$1:$I$89,3,0)*VLOOKUP('Données projet'!$B$10,Paramètres!$A$1:$I$89,5,0)</f>
        <v>0</v>
      </c>
      <c r="AK200" s="14" t="e">
        <f t="shared" si="164"/>
        <v>#NUM!</v>
      </c>
      <c r="AL200" s="22" t="e">
        <f t="shared" si="165"/>
        <v>#NUM!</v>
      </c>
      <c r="AM200" s="62" t="e">
        <f t="shared" si="193"/>
        <v>#NUM!</v>
      </c>
      <c r="AN200" s="62">
        <f ca="1">AVERAGE(OFFSET($AM$3,0,0,'Données projet'!$E$10+1,1))-AVERAGE(OFFSET($H$3,0,0,'Données projet'!$E$10+1,1))</f>
        <v>366.41072413829329</v>
      </c>
      <c r="AO200" s="62">
        <f t="shared" si="205"/>
        <v>234.41212418619125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0</v>
      </c>
      <c r="AV200" s="23">
        <f>EXP(-LN(2)/25)*AV199+(1-EXP(-LN(2)/25))/(LN(2)/25)*Calculateur!AQ200*Calculateur!AS200*VLOOKUP('Données projet'!$B$10,Paramètres!$A$1:$I$89,3,0)*0.475*44/12</f>
        <v>0</v>
      </c>
      <c r="AW200" s="23">
        <f>EXP(-LN(2)/2)*AW199+(1-EXP(-LN(2)/2))/(LN(2)/2)*AQ200*AT200*VLOOKUP('Données projet'!$B$10,Paramètres!$A$1:$I$89,3,0)*0.475*44/12</f>
        <v>0</v>
      </c>
      <c r="AX200" s="23">
        <f t="shared" si="166"/>
        <v>0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5.6843418860808015E-14</v>
      </c>
      <c r="BE200" s="14">
        <f>BD200*VLOOKUP('Données projet'!$B$11,Paramètres!$A$1:$I$89,3,0)*VLOOKUP('Données projet'!$B$11,Paramètres!$A$1:$I$89,5,0)</f>
        <v>2.6602720026858149E-14</v>
      </c>
      <c r="BF200" s="14">
        <f t="shared" si="167"/>
        <v>4.6624771586320878E-13</v>
      </c>
      <c r="BG200" s="22">
        <f t="shared" si="168"/>
        <v>8.583811758418665E-13</v>
      </c>
      <c r="BH200" s="62">
        <f t="shared" si="194"/>
        <v>293.33333333333417</v>
      </c>
      <c r="BI200" s="62">
        <f ca="1">AVERAGE(OFFSET($BH$3,0,0,'Données projet'!$E$11+1,1))-AVERAGE(OFFSET($H$3,0,0,'Données projet'!$E$11+1,1))</f>
        <v>152.72674713084456</v>
      </c>
      <c r="BJ200" s="62">
        <f t="shared" si="206"/>
        <v>203.90215120562164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0.56270220984533548</v>
      </c>
      <c r="BQ200" s="23">
        <f>EXP(-LN(2)/25)*BQ199+(1-EXP(-LN(2)/25))/(LN(2)/25)*Calculateur!BL200*Calculateur!BN200*VLOOKUP('Données projet'!$B$11,Paramètres!$A$1:$I$89,3,0)*0.475*44/12</f>
        <v>0</v>
      </c>
      <c r="BR200" s="23">
        <f>EXP(-LN(2)/2)*BR199+(1-EXP(-LN(2)/2))/(LN(2)/2)*BL200*BO200*VLOOKUP('Données projet'!$B$11,Paramètres!$A$1:$I$89,3,0)*0.475*44/12</f>
        <v>1.1342725959598687E-24</v>
      </c>
      <c r="BS200" s="24">
        <f t="shared" si="169"/>
        <v>0.56270220984533548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3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55.283342399999881</v>
      </c>
      <c r="D201" s="12">
        <f t="shared" si="202"/>
        <v>15.970127433456062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172.70841038930303</v>
      </c>
      <c r="H201" s="70">
        <f t="shared" si="192"/>
        <v>380.76645995993579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0</v>
      </c>
      <c r="O201" s="14">
        <f>N201*VLOOKUP('Données projet'!$B$9,Paramètres!$A$1:$I$89,3,0)*VLOOKUP('Données projet'!$B$9,Paramètres!$A$1:$I$89,5,0)</f>
        <v>0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327.25473597900725</v>
      </c>
      <c r="T201" s="62">
        <f t="shared" si="204"/>
        <v>211.5313580973322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0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0</v>
      </c>
      <c r="AC201" s="24">
        <f t="shared" si="163"/>
        <v>0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>
        <f>AI201*VLOOKUP('Données projet'!$B$10,Paramètres!$A$1:$I$89,3,0)*VLOOKUP('Données projet'!$B$10,Paramètres!$A$1:$I$89,5,0)</f>
        <v>0</v>
      </c>
      <c r="AK201" s="14" t="e">
        <f t="shared" si="164"/>
        <v>#NUM!</v>
      </c>
      <c r="AL201" s="22" t="e">
        <f t="shared" si="165"/>
        <v>#NUM!</v>
      </c>
      <c r="AM201" s="62" t="e">
        <f t="shared" si="193"/>
        <v>#NUM!</v>
      </c>
      <c r="AN201" s="62">
        <f ca="1">AVERAGE(OFFSET($AM$3,0,0,'Données projet'!$E$10+1,1))-AVERAGE(OFFSET($H$3,0,0,'Données projet'!$E$10+1,1))</f>
        <v>366.41072413829329</v>
      </c>
      <c r="AO201" s="62">
        <f t="shared" si="205"/>
        <v>234.41212418619125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0</v>
      </c>
      <c r="AV201" s="23">
        <f>EXP(-LN(2)/25)*AV200+(1-EXP(-LN(2)/25))/(LN(2)/25)*Calculateur!AQ201*Calculateur!AS201*VLOOKUP('Données projet'!$B$10,Paramètres!$A$1:$I$89,3,0)*0.475*44/12</f>
        <v>0</v>
      </c>
      <c r="AW201" s="23">
        <f>EXP(-LN(2)/2)*AW200+(1-EXP(-LN(2)/2))/(LN(2)/2)*AQ201*AT201*VLOOKUP('Données projet'!$B$10,Paramètres!$A$1:$I$89,3,0)*0.475*44/12</f>
        <v>0</v>
      </c>
      <c r="AX201" s="23">
        <f t="shared" si="166"/>
        <v>0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5.6843418860808015E-14</v>
      </c>
      <c r="BE201" s="14">
        <f>BD201*VLOOKUP('Données projet'!$B$11,Paramètres!$A$1:$I$89,3,0)*VLOOKUP('Données projet'!$B$11,Paramètres!$A$1:$I$89,5,0)</f>
        <v>2.6602720026858149E-14</v>
      </c>
      <c r="BF201" s="14">
        <f t="shared" si="167"/>
        <v>4.6624771586320878E-13</v>
      </c>
      <c r="BG201" s="22">
        <f t="shared" si="168"/>
        <v>8.583811758418665E-13</v>
      </c>
      <c r="BH201" s="62">
        <f t="shared" si="194"/>
        <v>293.33333333333417</v>
      </c>
      <c r="BI201" s="62">
        <f ca="1">AVERAGE(OFFSET($BH$3,0,0,'Données projet'!$E$11+1,1))-AVERAGE(OFFSET($H$3,0,0,'Données projet'!$E$11+1,1))</f>
        <v>152.72674713084456</v>
      </c>
      <c r="BJ201" s="62">
        <f t="shared" si="206"/>
        <v>203.90215120562164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0.55166796272472685</v>
      </c>
      <c r="BQ201" s="23">
        <f>EXP(-LN(2)/25)*BQ200+(1-EXP(-LN(2)/25))/(LN(2)/25)*Calculateur!BL201*Calculateur!BN201*VLOOKUP('Données projet'!$B$11,Paramètres!$A$1:$I$89,3,0)*0.475*44/12</f>
        <v>0</v>
      </c>
      <c r="BR201" s="23">
        <f>EXP(-LN(2)/2)*BR200+(1-EXP(-LN(2)/2))/(LN(2)/2)*BL201*BO201*VLOOKUP('Données projet'!$B$11,Paramètres!$A$1:$I$89,3,0)*0.475*44/12</f>
        <v>8.0205184431729214E-25</v>
      </c>
      <c r="BS201" s="24">
        <f t="shared" si="169"/>
        <v>0.55166796272472685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3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55.562551199999881</v>
      </c>
      <c r="D202" s="12">
        <f t="shared" si="202"/>
        <v>16.041375234144006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173.55786800247927</v>
      </c>
      <c r="H202" s="70">
        <f t="shared" si="192"/>
        <v>381.37683853946731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0</v>
      </c>
      <c r="O202" s="14">
        <f>N202*VLOOKUP('Données projet'!$B$9,Paramètres!$A$1:$I$89,3,0)*VLOOKUP('Données projet'!$B$9,Paramètres!$A$1:$I$89,5,0)</f>
        <v>0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327.25473597900725</v>
      </c>
      <c r="T202" s="62">
        <f t="shared" si="204"/>
        <v>211.5313580973322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0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0</v>
      </c>
      <c r="AC202" s="24">
        <f t="shared" si="163"/>
        <v>0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>
        <f>AI202*VLOOKUP('Données projet'!$B$10,Paramètres!$A$1:$I$89,3,0)*VLOOKUP('Données projet'!$B$10,Paramètres!$A$1:$I$89,5,0)</f>
        <v>0</v>
      </c>
      <c r="AK202" s="14" t="e">
        <f t="shared" si="164"/>
        <v>#NUM!</v>
      </c>
      <c r="AL202" s="22" t="e">
        <f t="shared" si="165"/>
        <v>#NUM!</v>
      </c>
      <c r="AM202" s="62" t="e">
        <f t="shared" si="193"/>
        <v>#NUM!</v>
      </c>
      <c r="AN202" s="62">
        <f ca="1">AVERAGE(OFFSET($AM$3,0,0,'Données projet'!$E$10+1,1))-AVERAGE(OFFSET($H$3,0,0,'Données projet'!$E$10+1,1))</f>
        <v>366.41072413829329</v>
      </c>
      <c r="AO202" s="62">
        <f t="shared" si="205"/>
        <v>234.41212418619125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0</v>
      </c>
      <c r="AV202" s="23">
        <f>EXP(-LN(2)/25)*AV201+(1-EXP(-LN(2)/25))/(LN(2)/25)*Calculateur!AQ202*Calculateur!AS202*VLOOKUP('Données projet'!$B$10,Paramètres!$A$1:$I$89,3,0)*0.475*44/12</f>
        <v>0</v>
      </c>
      <c r="AW202" s="23">
        <f>EXP(-LN(2)/2)*AW201+(1-EXP(-LN(2)/2))/(LN(2)/2)*AQ202*AT202*VLOOKUP('Données projet'!$B$10,Paramètres!$A$1:$I$89,3,0)*0.475*44/12</f>
        <v>0</v>
      </c>
      <c r="AX202" s="23">
        <f t="shared" si="166"/>
        <v>0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5.6843418860808015E-14</v>
      </c>
      <c r="BE202" s="14">
        <f>BD202*VLOOKUP('Données projet'!$B$11,Paramètres!$A$1:$I$89,3,0)*VLOOKUP('Données projet'!$B$11,Paramètres!$A$1:$I$89,5,0)</f>
        <v>2.6602720026858149E-14</v>
      </c>
      <c r="BF202" s="14">
        <f t="shared" si="167"/>
        <v>4.6624771586320878E-13</v>
      </c>
      <c r="BG202" s="22">
        <f t="shared" si="168"/>
        <v>8.583811758418665E-13</v>
      </c>
      <c r="BH202" s="62">
        <f t="shared" si="194"/>
        <v>293.33333333333417</v>
      </c>
      <c r="BI202" s="62">
        <f ca="1">AVERAGE(OFFSET($BH$3,0,0,'Données projet'!$E$11+1,1))-AVERAGE(OFFSET($H$3,0,0,'Données projet'!$E$11+1,1))</f>
        <v>152.72674713084456</v>
      </c>
      <c r="BJ202" s="62">
        <f t="shared" si="206"/>
        <v>203.90215120562164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0.54085009045992716</v>
      </c>
      <c r="BQ202" s="23">
        <f>EXP(-LN(2)/25)*BQ201+(1-EXP(-LN(2)/25))/(LN(2)/25)*Calculateur!BL202*Calculateur!BN202*VLOOKUP('Données projet'!$B$11,Paramètres!$A$1:$I$89,3,0)*0.475*44/12</f>
        <v>0</v>
      </c>
      <c r="BR202" s="23">
        <f>EXP(-LN(2)/2)*BR201+(1-EXP(-LN(2)/2))/(LN(2)/2)*BL202*BO202*VLOOKUP('Données projet'!$B$11,Paramètres!$A$1:$I$89,3,0)*0.475*44/12</f>
        <v>5.6713629797993437E-25</v>
      </c>
      <c r="BS202" s="24">
        <f t="shared" si="169"/>
        <v>0.54085009045992716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" thickBot="1" x14ac:dyDescent="0.35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55.84175999999988</v>
      </c>
      <c r="D203" s="12">
        <f t="shared" si="202"/>
        <v>16.11258137223934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174.40722463137843</v>
      </c>
      <c r="H203" s="70">
        <f t="shared" si="192"/>
        <v>381.98714455664998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0</v>
      </c>
      <c r="O203" s="14">
        <f>N203*VLOOKUP('Données projet'!$B$9,Paramètres!$A$1:$I$89,3,0)*VLOOKUP('Données projet'!$B$9,Paramètres!$A$1:$I$89,5,0)</f>
        <v>0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327.25473597900725</v>
      </c>
      <c r="T203" s="62">
        <f t="shared" si="204"/>
        <v>211.5313580973322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0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0</v>
      </c>
      <c r="AC203" s="24">
        <f t="shared" si="163"/>
        <v>0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>
        <f>AI203*VLOOKUP('Données projet'!$B$10,Paramètres!$A$1:$I$89,3,0)*VLOOKUP('Données projet'!$B$10,Paramètres!$A$1:$I$89,5,0)</f>
        <v>0</v>
      </c>
      <c r="AK203" s="14" t="e">
        <f t="shared" si="164"/>
        <v>#NUM!</v>
      </c>
      <c r="AL203" s="22" t="e">
        <f t="shared" si="165"/>
        <v>#NUM!</v>
      </c>
      <c r="AM203" s="62" t="e">
        <f t="shared" si="193"/>
        <v>#NUM!</v>
      </c>
      <c r="AN203" s="62">
        <f ca="1">AVERAGE(OFFSET($AM$3,0,0,'Données projet'!$E$10+1,1))-AVERAGE(OFFSET($H$3,0,0,'Données projet'!$E$10+1,1))</f>
        <v>366.41072413829329</v>
      </c>
      <c r="AO203" s="62">
        <f t="shared" si="205"/>
        <v>234.41212418619125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0</v>
      </c>
      <c r="AV203" s="23">
        <f>EXP(-LN(2)/25)*AV202+(1-EXP(-LN(2)/25))/(LN(2)/25)*Calculateur!AQ203*Calculateur!AS203*VLOOKUP('Données projet'!$B$10,Paramètres!$A$1:$I$89,3,0)*0.475*44/12</f>
        <v>0</v>
      </c>
      <c r="AW203" s="23">
        <f>EXP(-LN(2)/2)*AW202+(1-EXP(-LN(2)/2))/(LN(2)/2)*AQ203*AT203*VLOOKUP('Données projet'!$B$10,Paramètres!$A$1:$I$89,3,0)*0.475*44/12</f>
        <v>0</v>
      </c>
      <c r="AX203" s="23">
        <f t="shared" si="166"/>
        <v>0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5.6843418860808015E-14</v>
      </c>
      <c r="BE203" s="14">
        <f>BD203*VLOOKUP('Données projet'!$B$11,Paramètres!$A$1:$I$89,3,0)*VLOOKUP('Données projet'!$B$11,Paramètres!$A$1:$I$89,5,0)</f>
        <v>2.6602720026858149E-14</v>
      </c>
      <c r="BF203" s="14">
        <f t="shared" si="167"/>
        <v>4.6624771586320878E-13</v>
      </c>
      <c r="BG203" s="22">
        <f t="shared" si="168"/>
        <v>8.583811758418665E-13</v>
      </c>
      <c r="BH203" s="62">
        <f t="shared" si="194"/>
        <v>293.33333333333417</v>
      </c>
      <c r="BI203" s="62">
        <f ca="1">AVERAGE(OFFSET($BH$3,0,0,'Données projet'!$E$11+1,1))-AVERAGE(OFFSET($H$3,0,0,'Données projet'!$E$11+1,1))</f>
        <v>152.72674713084456</v>
      </c>
      <c r="BJ203" s="62">
        <f t="shared" si="206"/>
        <v>203.90215120562164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0.53024435007198967</v>
      </c>
      <c r="BQ203" s="23">
        <f>EXP(-LN(2)/25)*BQ202+(1-EXP(-LN(2)/25))/(LN(2)/25)*Calculateur!BL203*Calculateur!BN203*VLOOKUP('Données projet'!$B$11,Paramètres!$A$1:$I$89,3,0)*0.475*44/12</f>
        <v>0</v>
      </c>
      <c r="BR203" s="23">
        <f>EXP(-LN(2)/2)*BR202+(1-EXP(-LN(2)/2))/(LN(2)/2)*BL203*BO203*VLOOKUP('Données projet'!$B$11,Paramètres!$A$1:$I$89,3,0)*0.475*44/12</f>
        <v>4.0102592215864607E-25</v>
      </c>
      <c r="BS203" s="24">
        <f t="shared" si="169"/>
        <v>0.53024435007198967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" thickBot="1" x14ac:dyDescent="0.35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" thickBot="1" x14ac:dyDescent="0.35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1.2054868146447177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1.2054868146447177</v>
      </c>
      <c r="BA205" s="88">
        <f>EXP(LN('Données projet'!B88)/'Données projet'!A88)</f>
        <v>1.2880503926580862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5" bestFit="1" customWidth="1"/>
    <col min="2" max="2" width="27.77734375" style="5" bestFit="1" customWidth="1"/>
    <col min="3" max="3" width="11.77734375" style="5" bestFit="1" customWidth="1"/>
    <col min="4" max="4" width="40" style="5" bestFit="1" customWidth="1"/>
    <col min="5" max="5" width="11.77734375" style="5" bestFit="1" customWidth="1"/>
    <col min="6" max="6" width="13.77734375" style="5" bestFit="1" customWidth="1"/>
    <col min="7" max="7" width="11.44140625" style="5" bestFit="1" customWidth="1"/>
    <col min="8" max="8" width="39" style="5" bestFit="1" customWidth="1"/>
    <col min="9" max="9" width="16.77734375" style="5" customWidth="1"/>
    <col min="10" max="14" width="11.44140625" style="5"/>
    <col min="15" max="15" width="23.44140625" style="5" bestFit="1" customWidth="1"/>
    <col min="16" max="16384" width="11.44140625" style="5"/>
  </cols>
  <sheetData>
    <row r="1" spans="1:16" ht="43.8" thickBot="1" x14ac:dyDescent="0.35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3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6" t="s">
        <v>238</v>
      </c>
      <c r="P2" s="130">
        <v>0</v>
      </c>
    </row>
    <row r="3" spans="1:16" ht="15" thickBot="1" x14ac:dyDescent="0.35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7"/>
      <c r="P3" s="137">
        <v>0.2</v>
      </c>
    </row>
    <row r="4" spans="1:16" ht="15" thickBot="1" x14ac:dyDescent="0.35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3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6" t="s">
        <v>237</v>
      </c>
      <c r="P5" s="130">
        <v>0</v>
      </c>
    </row>
    <row r="6" spans="1:16" x14ac:dyDescent="0.3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8"/>
      <c r="P6" s="138">
        <v>0.05</v>
      </c>
    </row>
    <row r="7" spans="1:16" x14ac:dyDescent="0.3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8"/>
      <c r="P7" s="138">
        <v>0.1</v>
      </c>
    </row>
    <row r="8" spans="1:16" ht="15" thickBot="1" x14ac:dyDescent="0.35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7"/>
      <c r="P8" s="137">
        <v>0.15</v>
      </c>
    </row>
    <row r="9" spans="1:16" ht="15" thickBot="1" x14ac:dyDescent="0.35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3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6" t="s">
        <v>236</v>
      </c>
      <c r="P10" s="130">
        <v>0</v>
      </c>
    </row>
    <row r="11" spans="1:16" ht="15" thickBot="1" x14ac:dyDescent="0.35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7"/>
      <c r="P11" s="137">
        <v>0.1</v>
      </c>
    </row>
    <row r="12" spans="1:16" x14ac:dyDescent="0.3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3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3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3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3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3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3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3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3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3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3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3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3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3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3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3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3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3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3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3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3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3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3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3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3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3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3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3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3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3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3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3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3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3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3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3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3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3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3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3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3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3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3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3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3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3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3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3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3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3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3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3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3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3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3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3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3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3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3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3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3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3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3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3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3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3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3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3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3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3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3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3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3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3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3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3">
      <c r="A87" s="285" t="s">
        <v>321</v>
      </c>
      <c r="B87" s="286" t="s">
        <v>322</v>
      </c>
      <c r="C87" s="287">
        <v>0.41</v>
      </c>
      <c r="D87" s="287" t="s">
        <v>323</v>
      </c>
      <c r="E87" s="287">
        <v>1.56</v>
      </c>
      <c r="F87" s="288" t="s">
        <v>274</v>
      </c>
      <c r="G87" s="289">
        <v>0.43</v>
      </c>
      <c r="H87" s="287" t="s">
        <v>278</v>
      </c>
      <c r="I87" s="290">
        <v>0.25</v>
      </c>
      <c r="J87" s="100"/>
      <c r="K87" s="100"/>
      <c r="L87" s="100"/>
      <c r="M87" s="100"/>
      <c r="N87" s="100"/>
    </row>
    <row r="88" spans="1:14" x14ac:dyDescent="0.3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" thickBot="1" x14ac:dyDescent="0.35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3">
      <c r="A93" s="131" t="s">
        <v>208</v>
      </c>
    </row>
    <row r="94" spans="1:14" x14ac:dyDescent="0.3">
      <c r="A94" s="131" t="s">
        <v>209</v>
      </c>
    </row>
    <row r="95" spans="1:14" x14ac:dyDescent="0.3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"/>
  <dimension ref="A1:BJ357"/>
  <sheetViews>
    <sheetView tabSelected="1" workbookViewId="0">
      <selection activeCell="Q7" sqref="Q7"/>
    </sheetView>
  </sheetViews>
  <sheetFormatPr baseColWidth="10" defaultColWidth="11.44140625" defaultRowHeight="14.4" x14ac:dyDescent="0.3"/>
  <cols>
    <col min="1" max="1" width="22.777343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5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6.4" thickBot="1" x14ac:dyDescent="0.55000000000000004">
      <c r="A2" s="307" t="s">
        <v>271</v>
      </c>
      <c r="B2" s="308"/>
      <c r="C2" s="308"/>
      <c r="D2" s="308"/>
      <c r="E2" s="308"/>
      <c r="F2" s="308"/>
      <c r="G2" s="308"/>
      <c r="H2" s="308"/>
      <c r="I2" s="308"/>
      <c r="J2" s="308"/>
      <c r="K2" s="308"/>
      <c r="L2" s="309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3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" thickBot="1" x14ac:dyDescent="0.35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2.599999999999994" thickBot="1" x14ac:dyDescent="0.35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3">
      <c r="A6" s="154" t="str">
        <f>IF('Données projet'!$B$9="","",'Données projet'!$B$9)</f>
        <v>Chêne sessile</v>
      </c>
      <c r="B6" s="155">
        <f>'Données projet'!D9</f>
        <v>1.1900000000000002</v>
      </c>
      <c r="C6" s="156">
        <f ca="1">IF(OR('Données projet'!B9="",'Données projet'!C9="",'Données projet'!C9=0%),0,Calculateur!S3)</f>
        <v>327.25473597900725</v>
      </c>
      <c r="D6" s="156">
        <f>IF(OR('Données projet'!B9="",'Données projet'!C9="",'Données projet'!C9=0%),0,Calculateur!T3)</f>
        <v>211.5313580973322</v>
      </c>
      <c r="E6" s="156">
        <f ca="1">MIN(C6,D6)</f>
        <v>211.5313580973322</v>
      </c>
      <c r="F6" s="156">
        <f ca="1">E6*B6</f>
        <v>251.72231613582537</v>
      </c>
      <c r="G6" s="156">
        <f ca="1">F6*(100%-'Données projet'!$C$24)*(100%-'Données projet'!$C$25)*(100%-'Données projet'!$C$26)*(100%-'Données projet'!$C$27)</f>
        <v>226.55008452224283</v>
      </c>
      <c r="H6" s="157">
        <f>IF(OR('Données projet'!B9="",'Données projet'!C9="",'Données projet'!C9=0%),0,AVERAGE(Calculateur!$AC$3:$AC$33)*B6)</f>
        <v>0</v>
      </c>
      <c r="I6" s="158">
        <f>H6*(100%-'Données projet'!$C$24)*(100%-'Données projet'!$C$25)*(100%-'Données projet'!$C$26)*(100%-'Données projet'!$C$27)</f>
        <v>0</v>
      </c>
      <c r="J6" s="159">
        <f>IF(OR('Données projet'!B9="",'Données projet'!C9="",'Données projet'!C9=0%),0,SUM(Calculateur!$V$3:$V$33)*VLOOKUP('Données projet'!$B$9,Paramètres!$A$1:$I$89,9,0)*B6)</f>
        <v>8.6275000000000013</v>
      </c>
      <c r="K6" s="160">
        <f>J6*(100%-'Données projet'!$C$24)*(100%-'Données projet'!$C$25)*(100%-'Données projet'!$C$26)*(100%-'Données projet'!$C$27)</f>
        <v>7.7647500000000012</v>
      </c>
      <c r="L6" s="161">
        <f ca="1">G6+I6+K6</f>
        <v>234.31483452224282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3">
      <c r="A7" s="162" t="str">
        <f>IF('Données projet'!$B$10="","",'Données projet'!$B$10)</f>
        <v>Chêne pubescent</v>
      </c>
      <c r="B7" s="163">
        <f>'Données projet'!D10</f>
        <v>2.1</v>
      </c>
      <c r="C7" s="156">
        <f ca="1">IF(OR('Données projet'!B10="",'Données projet'!C10="",'Données projet'!C10=0%),0,Calculateur!AN3)</f>
        <v>366.41072413829329</v>
      </c>
      <c r="D7" s="156">
        <f>IF(OR('Données projet'!B10="",'Données projet'!C10="",'Données projet'!C10=0%),0,Calculateur!AO3)</f>
        <v>234.41212418619125</v>
      </c>
      <c r="E7" s="156">
        <f t="shared" ref="E7:E15" ca="1" si="0">MIN(C7,D7)</f>
        <v>234.41212418619125</v>
      </c>
      <c r="F7" s="156">
        <f t="shared" ref="F7:F15" ca="1" si="1">E7*B7</f>
        <v>492.26546079100166</v>
      </c>
      <c r="G7" s="156">
        <f ca="1">F7*(100%-'Données projet'!$C$24)*(100%-'Données projet'!$C$25)*(100%-'Données projet'!$C$26)*(100%-'Données projet'!$C$27)</f>
        <v>443.0389147119015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15.225000000000001</v>
      </c>
      <c r="K7" s="160">
        <f>J7*(100%-'Données projet'!$C$24)*(100%-'Données projet'!$C$25)*(100%-'Données projet'!$C$26)*(100%-'Données projet'!$C$27)</f>
        <v>13.702500000000002</v>
      </c>
      <c r="L7" s="161">
        <f t="shared" ref="L7:L15" ca="1" si="2">G7+I7+K7</f>
        <v>456.74141471190148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3">
      <c r="A8" s="162" t="str">
        <f>IF('Données projet'!$B$11="","",'Données projet'!$B$11)</f>
        <v>Cèdre de l'Atlas</v>
      </c>
      <c r="B8" s="163">
        <f>'Données projet'!D11</f>
        <v>2.8000000000000003</v>
      </c>
      <c r="C8" s="156">
        <f ca="1">IF(OR('Données projet'!B11="",'Données projet'!C11="",'Données projet'!C11=0%),0,Calculateur!BI3)</f>
        <v>152.72674713084456</v>
      </c>
      <c r="D8" s="156">
        <f>IF(OR('Données projet'!B11="",'Données projet'!C11="",'Données projet'!C11=0%),0,Calculateur!BJ3)</f>
        <v>203.90215120562164</v>
      </c>
      <c r="E8" s="156">
        <f t="shared" ca="1" si="0"/>
        <v>152.72674713084456</v>
      </c>
      <c r="F8" s="156">
        <f t="shared" ca="1" si="1"/>
        <v>427.63489196636482</v>
      </c>
      <c r="G8" s="156">
        <f ca="1">F8*(100%-'Données projet'!$C$24)*(100%-'Données projet'!$C$25)*(100%-'Données projet'!$C$26)*(100%-'Données projet'!$C$27)</f>
        <v>384.87140276972832</v>
      </c>
      <c r="H8" s="164">
        <f>IF(OR('Données projet'!B11="",'Données projet'!C11="",'Données projet'!C11=0%),0,AVERAGE(Calculateur!$BS$3:$BS$33)*B8)</f>
        <v>14.124616067559078</v>
      </c>
      <c r="I8" s="158">
        <f>H8*(100%-'Données projet'!$C$24)*(100%-'Données projet'!$C$25)*(100%-'Données projet'!$C$26)*(100%-'Données projet'!$C$27)</f>
        <v>12.71215446080317</v>
      </c>
      <c r="J8" s="159">
        <f>IF(OR('Données projet'!B11="",'Données projet'!C11="",'Données projet'!C11=0%),0,SUM(Calculateur!$BL$3:$BL$33)*VLOOKUP('Données projet'!$B$11,Paramètres!$A$1:$I$89,9,0)*B8)</f>
        <v>144.48000000000002</v>
      </c>
      <c r="K8" s="160">
        <f>J8*(100%-'Données projet'!$C$24)*(100%-'Données projet'!$C$25)*(100%-'Données projet'!$C$26)*(100%-'Données projet'!$C$27)</f>
        <v>130.03200000000001</v>
      </c>
      <c r="L8" s="161">
        <f t="shared" ca="1" si="2"/>
        <v>527.61555723053152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3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3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3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3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3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3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" thickBot="1" x14ac:dyDescent="0.35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" thickBot="1" x14ac:dyDescent="0.35">
      <c r="A16" s="226"/>
      <c r="B16" s="233"/>
      <c r="C16" s="234"/>
      <c r="D16" s="25"/>
      <c r="E16" s="25"/>
      <c r="F16" s="174">
        <f t="shared" ref="F16:L16" ca="1" si="3">SUM(F6:F15)</f>
        <v>1171.6226688931918</v>
      </c>
      <c r="G16" s="175">
        <f t="shared" ca="1" si="3"/>
        <v>1054.4604020038728</v>
      </c>
      <c r="H16" s="176">
        <f t="shared" si="3"/>
        <v>14.124616067559078</v>
      </c>
      <c r="I16" s="176">
        <f t="shared" si="3"/>
        <v>12.71215446080317</v>
      </c>
      <c r="J16" s="177">
        <f t="shared" si="3"/>
        <v>168.33250000000001</v>
      </c>
      <c r="K16" s="177">
        <f t="shared" si="3"/>
        <v>151.49925000000002</v>
      </c>
      <c r="L16" s="178">
        <f t="shared" ca="1" si="3"/>
        <v>1218.6718064646757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3">
      <c r="A17" s="226"/>
      <c r="B17" s="233"/>
      <c r="C17" s="234"/>
      <c r="D17" s="231"/>
      <c r="E17" s="231"/>
      <c r="F17" s="319" t="s">
        <v>246</v>
      </c>
      <c r="G17" s="320"/>
      <c r="H17" s="320"/>
      <c r="I17" s="320"/>
      <c r="J17" s="320"/>
      <c r="K17" s="320"/>
      <c r="L17" s="320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3">
      <c r="A18" s="226"/>
      <c r="B18" s="233"/>
      <c r="C18" s="234"/>
      <c r="D18" s="231"/>
      <c r="E18" s="231"/>
      <c r="F18" s="321"/>
      <c r="G18" s="321"/>
      <c r="H18" s="321"/>
      <c r="I18" s="321"/>
      <c r="J18" s="321"/>
      <c r="K18" s="321"/>
      <c r="L18" s="321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3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" thickBot="1" x14ac:dyDescent="0.35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" thickBot="1" x14ac:dyDescent="0.35">
      <c r="A21" s="179" t="str">
        <f>A6</f>
        <v>Chêne sessile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3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3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3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3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3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3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3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3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3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3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3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3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3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3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3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3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" thickBot="1" x14ac:dyDescent="0.35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" thickBot="1" x14ac:dyDescent="0.35">
      <c r="A39" s="179" t="str">
        <f>A7</f>
        <v>Chêne pubescent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3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3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3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3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3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3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3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3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3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3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3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3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3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3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3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3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" thickBot="1" x14ac:dyDescent="0.35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" thickBot="1" x14ac:dyDescent="0.35">
      <c r="A57" s="179" t="str">
        <f>A8</f>
        <v>Cèdre de l'Atlas</v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3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3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3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3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3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3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3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3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3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3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3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3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3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3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3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3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3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" thickBot="1" x14ac:dyDescent="0.35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" thickBot="1" x14ac:dyDescent="0.35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3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3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3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3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3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3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3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3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3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3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3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3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3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3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3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3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" thickBot="1" x14ac:dyDescent="0.35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" thickBot="1" x14ac:dyDescent="0.35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3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3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3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3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3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3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3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3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3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3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3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3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3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3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3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3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" thickBot="1" x14ac:dyDescent="0.35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" thickBot="1" x14ac:dyDescent="0.35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3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3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3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3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3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3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3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3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3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3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3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3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3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3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3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3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" thickBot="1" x14ac:dyDescent="0.35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" thickBot="1" x14ac:dyDescent="0.35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3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3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3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3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3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3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3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3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3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3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3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3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3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3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3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3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" thickBot="1" x14ac:dyDescent="0.35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" thickBot="1" x14ac:dyDescent="0.35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3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3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3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3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3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3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3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3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3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3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3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3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3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3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3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3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" thickBot="1" x14ac:dyDescent="0.35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" thickBot="1" x14ac:dyDescent="0.35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3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3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3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3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3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3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3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3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3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3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3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3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3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3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3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3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" thickBot="1" x14ac:dyDescent="0.35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" thickBot="1" x14ac:dyDescent="0.35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3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3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3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3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3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3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3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3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3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3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3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3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3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3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3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3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3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3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3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3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3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3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3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3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3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3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3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3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3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3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3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3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3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3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3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3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3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3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3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3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3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3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3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3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3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3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3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3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3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3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3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3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3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3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3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3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3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3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3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3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3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3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3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3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3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3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3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3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3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3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3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3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3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3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3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3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3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3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3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3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3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3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3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3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3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3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3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3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3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3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3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3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3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3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3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3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3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3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3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3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3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3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3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3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3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3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3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3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3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3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3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3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3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3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3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3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3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3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3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3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3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3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3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3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3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3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3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3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3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3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3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3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3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3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3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3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3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3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3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3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3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3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3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3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3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3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3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3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3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3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3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3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3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3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3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3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3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3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3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3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3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3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3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3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3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3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3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3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3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3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3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3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3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6"/>
  <dimension ref="A1:BL552"/>
  <sheetViews>
    <sheetView topLeftCell="J1" zoomScale="90" zoomScaleNormal="90" workbookViewId="0">
      <selection activeCell="C54" sqref="C54"/>
    </sheetView>
  </sheetViews>
  <sheetFormatPr baseColWidth="10" defaultColWidth="11.44140625" defaultRowHeight="14.4" x14ac:dyDescent="0.3"/>
  <cols>
    <col min="1" max="1" width="11.44140625" style="1"/>
    <col min="2" max="2" width="30.77734375" style="1" bestFit="1" customWidth="1"/>
    <col min="3" max="3" width="18.21875" style="1" bestFit="1" customWidth="1"/>
    <col min="4" max="5" width="11.44140625" style="1"/>
    <col min="6" max="6" width="14" style="3" customWidth="1"/>
    <col min="7" max="7" width="17.5546875" style="3" customWidth="1"/>
    <col min="8" max="8" width="21.77734375" style="1" customWidth="1"/>
    <col min="9" max="9" width="37" style="1" customWidth="1"/>
    <col min="10" max="10" width="11.44140625" style="1"/>
    <col min="11" max="11" width="8.777343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21875" style="1" customWidth="1"/>
    <col min="21" max="21" width="16.44140625" style="1" customWidth="1"/>
    <col min="22" max="22" width="17.77734375" style="1" customWidth="1"/>
    <col min="23" max="16384" width="11.44140625" style="1"/>
  </cols>
  <sheetData>
    <row r="1" spans="1:42" ht="15" thickBot="1" x14ac:dyDescent="0.35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6.4" thickBot="1" x14ac:dyDescent="0.55000000000000004">
      <c r="A2" s="5"/>
      <c r="B2" s="307" t="s">
        <v>272</v>
      </c>
      <c r="C2" s="308"/>
      <c r="D2" s="308"/>
      <c r="E2" s="308"/>
      <c r="F2" s="308"/>
      <c r="G2" s="308"/>
      <c r="H2" s="308"/>
      <c r="I2" s="308"/>
      <c r="J2" s="308"/>
      <c r="K2" s="308"/>
      <c r="L2" s="308"/>
      <c r="M2" s="308"/>
      <c r="N2" s="308"/>
      <c r="O2" s="308"/>
      <c r="P2" s="309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3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3">
      <c r="A4" s="99"/>
      <c r="B4" s="99"/>
      <c r="C4" s="99"/>
      <c r="D4" s="99"/>
      <c r="E4" s="99"/>
      <c r="G4" s="180"/>
      <c r="H4" s="339" t="s">
        <v>315</v>
      </c>
      <c r="I4" s="339"/>
      <c r="K4" s="336" t="s">
        <v>253</v>
      </c>
      <c r="L4" s="337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3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" thickBot="1" x14ac:dyDescent="0.35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55000000000000004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28" t="s">
        <v>310</v>
      </c>
      <c r="S7" s="329"/>
      <c r="T7" s="329"/>
      <c r="U7" s="329"/>
      <c r="V7" s="330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3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3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3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Chêne sessile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-2403.8887285025662</v>
      </c>
      <c r="U10" s="190">
        <f>'Données projet'!D9</f>
        <v>1.1900000000000002</v>
      </c>
      <c r="V10" s="189">
        <f>U10*T10</f>
        <v>-2860.627586918054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3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Chêne pubescent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-2403.8172999311378</v>
      </c>
      <c r="U11" s="190">
        <f>'Données projet'!D10</f>
        <v>2.1</v>
      </c>
      <c r="V11" s="189">
        <f t="shared" ref="V11" si="0">U11*T11</f>
        <v>-5048.0163298553898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3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>Cèdre de l'Atlas</v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-1693.9780663944987</v>
      </c>
      <c r="U12" s="190">
        <f>'Données projet'!D11</f>
        <v>2.8000000000000003</v>
      </c>
      <c r="V12" s="189">
        <f t="shared" ref="V12:V19" si="1">U12*T12</f>
        <v>-4743.1385859045968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3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3">
      <c r="A14" s="49" t="s">
        <v>165</v>
      </c>
      <c r="B14" s="186" t="str">
        <f>IF('Données projet'!$B$9="","",'Données projet'!$B$9)</f>
        <v>Chêne sessile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3">
      <c r="A15" s="5"/>
      <c r="B15" s="5"/>
      <c r="C15" s="5"/>
      <c r="D15" s="5"/>
      <c r="E15" s="5"/>
      <c r="F15" s="261"/>
      <c r="G15" s="340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3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40"/>
      <c r="H16" s="203"/>
      <c r="I16" s="204"/>
      <c r="J16" s="216"/>
      <c r="K16" s="225"/>
      <c r="L16" s="336" t="s">
        <v>254</v>
      </c>
      <c r="M16" s="337"/>
      <c r="N16" s="2">
        <v>110</v>
      </c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3">
      <c r="A17" s="210">
        <v>0</v>
      </c>
      <c r="B17" s="213" t="s">
        <v>132</v>
      </c>
      <c r="C17" s="212" t="s">
        <v>132</v>
      </c>
      <c r="D17" s="211" t="s">
        <v>132</v>
      </c>
      <c r="E17" s="206">
        <f>19415/7</f>
        <v>2773.5714285714284</v>
      </c>
      <c r="F17" s="261"/>
      <c r="G17" s="340"/>
      <c r="J17" s="216"/>
      <c r="K17" s="225"/>
      <c r="L17" s="294" t="s">
        <v>289</v>
      </c>
      <c r="M17" s="296"/>
      <c r="N17" s="187">
        <f>VLOOKUP(N16,Calculateur!$A$2:$H$153,3,0)/VLOOKUP('Scénario référence'!$G$15,Paramètres!A1:I89,3,0)/VLOOKUP('Scénario référence'!$G$15,Paramètres!A1:I89,5,0)</f>
        <v>34.539999999999935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3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40"/>
      <c r="J18" s="216"/>
      <c r="K18" s="225"/>
      <c r="L18" s="294" t="s">
        <v>255</v>
      </c>
      <c r="M18" s="296"/>
      <c r="N18" s="205">
        <v>0</v>
      </c>
      <c r="O18" s="25" t="s">
        <v>325</v>
      </c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3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40"/>
      <c r="H19" s="232" t="s">
        <v>178</v>
      </c>
      <c r="I19" s="232" t="s">
        <v>287</v>
      </c>
      <c r="J19" s="260"/>
      <c r="K19" s="183"/>
      <c r="L19" s="336" t="s">
        <v>288</v>
      </c>
      <c r="M19" s="337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3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40"/>
      <c r="H20" s="203">
        <v>1</v>
      </c>
      <c r="I20" s="204">
        <v>2760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3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>
        <v>2</v>
      </c>
      <c r="I21" s="204">
        <v>530</v>
      </c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3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>
        <v>3</v>
      </c>
      <c r="I22" s="204">
        <v>530</v>
      </c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3">
      <c r="A23" s="192">
        <f>'Données projet'!A36</f>
        <v>20</v>
      </c>
      <c r="B23" s="193">
        <f>'Données projet'!D36</f>
        <v>0</v>
      </c>
      <c r="C23" s="206"/>
      <c r="D23" s="194">
        <f>B23*C23</f>
        <v>0</v>
      </c>
      <c r="E23" s="206"/>
      <c r="F23" s="261"/>
      <c r="H23" s="203">
        <v>4</v>
      </c>
      <c r="I23" s="204">
        <v>530</v>
      </c>
      <c r="K23" s="225"/>
      <c r="L23" s="338" t="s">
        <v>260</v>
      </c>
      <c r="M23" s="338"/>
      <c r="N23" s="338"/>
      <c r="O23" s="25"/>
      <c r="P23" s="25"/>
      <c r="Q23" s="265"/>
      <c r="R23" s="25"/>
      <c r="S23" s="185" t="s">
        <v>264</v>
      </c>
      <c r="T23" s="333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-46725.288456584763</v>
      </c>
      <c r="U23" s="333"/>
      <c r="V23" s="333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3">
      <c r="A24" s="192">
        <f>'Données projet'!A37</f>
        <v>25</v>
      </c>
      <c r="B24" s="193">
        <f>'Données projet'!D37</f>
        <v>8</v>
      </c>
      <c r="C24" s="204">
        <v>0</v>
      </c>
      <c r="D24" s="194">
        <f t="shared" ref="D24:D42" si="2">B24*C24</f>
        <v>0</v>
      </c>
      <c r="E24" s="206"/>
      <c r="F24" s="264"/>
      <c r="H24" s="203">
        <v>5</v>
      </c>
      <c r="I24" s="204">
        <v>530</v>
      </c>
      <c r="K24" s="225"/>
      <c r="O24" s="25"/>
      <c r="P24" s="25"/>
      <c r="Q24" s="265"/>
      <c r="R24" s="25"/>
      <c r="S24" s="185" t="s">
        <v>261</v>
      </c>
      <c r="T24" s="334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34"/>
      <c r="V24" s="334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3">
      <c r="A25" s="192">
        <f>'Données projet'!A38</f>
        <v>30</v>
      </c>
      <c r="B25" s="193">
        <f>'Données projet'!D38</f>
        <v>21</v>
      </c>
      <c r="C25" s="204">
        <v>4</v>
      </c>
      <c r="D25" s="194">
        <f t="shared" si="2"/>
        <v>84</v>
      </c>
      <c r="E25" s="206"/>
      <c r="F25" s="264"/>
      <c r="G25" s="1"/>
      <c r="H25" s="203">
        <v>6</v>
      </c>
      <c r="I25" s="204">
        <v>530</v>
      </c>
      <c r="K25" s="225"/>
      <c r="L25" s="271" t="s">
        <v>285</v>
      </c>
      <c r="M25" s="271"/>
      <c r="N25" s="271"/>
      <c r="O25" s="271"/>
      <c r="P25" s="205"/>
      <c r="Q25" s="265" t="s">
        <v>324</v>
      </c>
      <c r="R25" s="25"/>
      <c r="S25" s="198" t="s">
        <v>266</v>
      </c>
      <c r="T25" s="335">
        <f ca="1">T23-T24</f>
        <v>-46725.288456584763</v>
      </c>
      <c r="U25" s="335"/>
      <c r="V25" s="33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3">
      <c r="A26" s="192">
        <f>'Données projet'!A39</f>
        <v>35</v>
      </c>
      <c r="B26" s="193">
        <f>'Données projet'!D39</f>
        <v>21</v>
      </c>
      <c r="C26" s="204">
        <v>5</v>
      </c>
      <c r="D26" s="194">
        <f t="shared" si="2"/>
        <v>105</v>
      </c>
      <c r="E26" s="206"/>
      <c r="F26" s="264"/>
      <c r="G26" s="259"/>
      <c r="H26" s="203"/>
      <c r="I26" s="204"/>
      <c r="K26" s="225"/>
      <c r="L26" s="322" t="s">
        <v>258</v>
      </c>
      <c r="M26" s="323"/>
      <c r="N26" s="323"/>
      <c r="O26" s="323"/>
      <c r="P26" s="324"/>
      <c r="Q26" s="265"/>
      <c r="R26" s="25"/>
      <c r="S26" s="198" t="s">
        <v>265</v>
      </c>
      <c r="T26" s="332" t="str">
        <f ca="1">IF(T25&lt;0,"Votre projet est additionnel","Votre projet n'est pas additionnel")</f>
        <v>Votre projet est additionnel</v>
      </c>
      <c r="U26" s="332"/>
      <c r="V26" s="332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3">
      <c r="A27" s="192">
        <f>'Données projet'!A40</f>
        <v>40</v>
      </c>
      <c r="B27" s="193">
        <f>'Données projet'!D40</f>
        <v>21</v>
      </c>
      <c r="C27" s="204">
        <v>7</v>
      </c>
      <c r="D27" s="194">
        <f t="shared" si="2"/>
        <v>147</v>
      </c>
      <c r="E27" s="206"/>
      <c r="F27" s="264"/>
      <c r="G27" s="259"/>
      <c r="H27" s="203"/>
      <c r="I27" s="204"/>
      <c r="K27" s="225"/>
      <c r="L27" s="325"/>
      <c r="M27" s="326"/>
      <c r="N27" s="326"/>
      <c r="O27" s="326"/>
      <c r="P27" s="327"/>
      <c r="Q27" s="265"/>
      <c r="R27" s="25"/>
      <c r="S27" s="331" t="s">
        <v>267</v>
      </c>
      <c r="T27" s="331"/>
      <c r="U27" s="331"/>
      <c r="V27" s="331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3">
      <c r="A28" s="192">
        <f>'Données projet'!A41</f>
        <v>45</v>
      </c>
      <c r="B28" s="193">
        <f>'Données projet'!D41</f>
        <v>21</v>
      </c>
      <c r="C28" s="204">
        <v>9</v>
      </c>
      <c r="D28" s="194">
        <f t="shared" si="2"/>
        <v>189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3">
      <c r="A29" s="192">
        <f>'Données projet'!A42</f>
        <v>50</v>
      </c>
      <c r="B29" s="193">
        <f>'Données projet'!D42</f>
        <v>21</v>
      </c>
      <c r="C29" s="204">
        <v>10</v>
      </c>
      <c r="D29" s="194">
        <f t="shared" si="2"/>
        <v>210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3">
      <c r="A30" s="192">
        <f>'Données projet'!A43</f>
        <v>55</v>
      </c>
      <c r="B30" s="193">
        <f>'Données projet'!D43</f>
        <v>21</v>
      </c>
      <c r="C30" s="204">
        <v>11</v>
      </c>
      <c r="D30" s="194">
        <f t="shared" si="2"/>
        <v>231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3">
      <c r="A31" s="192">
        <f>'Données projet'!A44</f>
        <v>60</v>
      </c>
      <c r="B31" s="193">
        <f>'Données projet'!D44</f>
        <v>21</v>
      </c>
      <c r="C31" s="204">
        <v>11</v>
      </c>
      <c r="D31" s="194">
        <f t="shared" si="2"/>
        <v>231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3">
      <c r="A32" s="192">
        <f>'Données projet'!A45</f>
        <v>65</v>
      </c>
      <c r="B32" s="193">
        <f>'Données projet'!D45</f>
        <v>21</v>
      </c>
      <c r="C32" s="204">
        <v>11</v>
      </c>
      <c r="D32" s="194">
        <f t="shared" si="2"/>
        <v>231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3">
      <c r="A33" s="192">
        <f>'Données projet'!A46</f>
        <v>70</v>
      </c>
      <c r="B33" s="193">
        <f>'Données projet'!D46</f>
        <v>21</v>
      </c>
      <c r="C33" s="204">
        <v>11</v>
      </c>
      <c r="D33" s="194">
        <f t="shared" si="2"/>
        <v>231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3">
      <c r="A34" s="192">
        <f>'Données projet'!A47</f>
        <v>75</v>
      </c>
      <c r="B34" s="193">
        <f>'Données projet'!D47</f>
        <v>21</v>
      </c>
      <c r="C34" s="204">
        <v>13</v>
      </c>
      <c r="D34" s="194">
        <f t="shared" si="2"/>
        <v>273</v>
      </c>
      <c r="E34" s="206"/>
      <c r="F34" s="264"/>
      <c r="G34" s="218"/>
      <c r="H34" s="203"/>
      <c r="I34" s="204"/>
      <c r="K34" s="183"/>
      <c r="L34" s="283"/>
      <c r="M34" s="283"/>
      <c r="N34" s="284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3">
      <c r="A35" s="192">
        <f>'Données projet'!A48</f>
        <v>80</v>
      </c>
      <c r="B35" s="193">
        <f>'Données projet'!D48</f>
        <v>21</v>
      </c>
      <c r="C35" s="204">
        <v>13</v>
      </c>
      <c r="D35" s="194">
        <f t="shared" si="2"/>
        <v>273</v>
      </c>
      <c r="E35" s="206"/>
      <c r="F35" s="264"/>
      <c r="G35" s="218"/>
      <c r="H35" s="203"/>
      <c r="I35" s="204"/>
      <c r="K35" s="183"/>
      <c r="L35" s="283"/>
      <c r="M35" s="283"/>
      <c r="N35" s="284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3">
      <c r="A36" s="192">
        <f>'Données projet'!A49</f>
        <v>85</v>
      </c>
      <c r="B36" s="193">
        <f>'Données projet'!D49</f>
        <v>21</v>
      </c>
      <c r="C36" s="204">
        <v>15</v>
      </c>
      <c r="D36" s="194">
        <f t="shared" si="2"/>
        <v>315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3">
      <c r="A37" s="192">
        <f>'Données projet'!A50</f>
        <v>90</v>
      </c>
      <c r="B37" s="193">
        <f>'Données projet'!D50</f>
        <v>21</v>
      </c>
      <c r="C37" s="204">
        <v>15</v>
      </c>
      <c r="D37" s="194">
        <f t="shared" si="2"/>
        <v>315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3">
      <c r="A38" s="192">
        <f>'Données projet'!A51</f>
        <v>95</v>
      </c>
      <c r="B38" s="193">
        <f>'Données projet'!D51</f>
        <v>21</v>
      </c>
      <c r="C38" s="204">
        <v>25</v>
      </c>
      <c r="D38" s="194">
        <f t="shared" si="2"/>
        <v>525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3">
      <c r="A39" s="192">
        <f>'Données projet'!A52</f>
        <v>100</v>
      </c>
      <c r="B39" s="193">
        <f>'Données projet'!D52</f>
        <v>21</v>
      </c>
      <c r="C39" s="204">
        <v>35</v>
      </c>
      <c r="D39" s="194">
        <f t="shared" si="2"/>
        <v>735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3">
      <c r="A40" s="192">
        <f>'Données projet'!A53</f>
        <v>105</v>
      </c>
      <c r="B40" s="193">
        <f>'Données projet'!D53</f>
        <v>20</v>
      </c>
      <c r="C40" s="204">
        <v>35</v>
      </c>
      <c r="D40" s="194">
        <f t="shared" si="2"/>
        <v>700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3">
      <c r="A41" s="192">
        <f>'Données projet'!A54</f>
        <v>110</v>
      </c>
      <c r="B41" s="193">
        <f>'Données projet'!D54</f>
        <v>19</v>
      </c>
      <c r="C41" s="204">
        <v>50</v>
      </c>
      <c r="D41" s="194">
        <f t="shared" si="2"/>
        <v>950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3">
      <c r="A42" s="192">
        <f>'Données projet'!A55</f>
        <v>115</v>
      </c>
      <c r="B42" s="193">
        <f>'Données projet'!D55</f>
        <v>285</v>
      </c>
      <c r="C42" s="204">
        <v>70</v>
      </c>
      <c r="D42" s="194">
        <f t="shared" si="2"/>
        <v>19950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3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3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3">
      <c r="A45" s="49" t="s">
        <v>166</v>
      </c>
      <c r="B45" s="186" t="str">
        <f>IF('Données projet'!$B$10="","",'Données projet'!$B$10)</f>
        <v>Chêne pubescent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3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3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3">
      <c r="A48" s="210">
        <v>0</v>
      </c>
      <c r="B48" s="213" t="s">
        <v>132</v>
      </c>
      <c r="C48" s="212" t="s">
        <v>132</v>
      </c>
      <c r="D48" s="211" t="s">
        <v>132</v>
      </c>
      <c r="E48" s="206">
        <v>2773.5</v>
      </c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3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3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3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3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3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3">
      <c r="A54" s="192">
        <f>'Données projet'!A62</f>
        <v>20</v>
      </c>
      <c r="B54" s="193">
        <f>'Données projet'!D62</f>
        <v>0</v>
      </c>
      <c r="C54" s="204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3">
      <c r="A55" s="192">
        <f>'Données projet'!A63</f>
        <v>25</v>
      </c>
      <c r="B55" s="193">
        <f>'Données projet'!D63</f>
        <v>8</v>
      </c>
      <c r="C55" s="204">
        <v>0</v>
      </c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3">
      <c r="A56" s="192">
        <f>'Données projet'!A64</f>
        <v>30</v>
      </c>
      <c r="B56" s="193">
        <f>'Données projet'!D64</f>
        <v>21</v>
      </c>
      <c r="C56" s="204">
        <v>4</v>
      </c>
      <c r="D56" s="191">
        <f t="shared" si="4"/>
        <v>84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3">
      <c r="A57" s="192">
        <f>'Données projet'!A65</f>
        <v>35</v>
      </c>
      <c r="B57" s="193">
        <f>'Données projet'!D65</f>
        <v>21</v>
      </c>
      <c r="C57" s="204">
        <v>5</v>
      </c>
      <c r="D57" s="191">
        <f t="shared" si="4"/>
        <v>105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3">
      <c r="A58" s="192">
        <f>'Données projet'!A66</f>
        <v>40</v>
      </c>
      <c r="B58" s="193">
        <f>'Données projet'!D66</f>
        <v>21</v>
      </c>
      <c r="C58" s="204">
        <v>7</v>
      </c>
      <c r="D58" s="191">
        <f t="shared" si="4"/>
        <v>147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3">
      <c r="A59" s="192">
        <f>'Données projet'!A67</f>
        <v>45</v>
      </c>
      <c r="B59" s="193">
        <f>'Données projet'!D67</f>
        <v>21</v>
      </c>
      <c r="C59" s="204">
        <v>9</v>
      </c>
      <c r="D59" s="191">
        <f t="shared" si="4"/>
        <v>189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3">
      <c r="A60" s="192">
        <f>'Données projet'!A68</f>
        <v>50</v>
      </c>
      <c r="B60" s="193">
        <f>'Données projet'!D68</f>
        <v>21</v>
      </c>
      <c r="C60" s="204">
        <v>10</v>
      </c>
      <c r="D60" s="191">
        <f t="shared" si="4"/>
        <v>210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3">
      <c r="A61" s="192">
        <f>'Données projet'!A69</f>
        <v>55</v>
      </c>
      <c r="B61" s="193">
        <f>'Données projet'!D69</f>
        <v>21</v>
      </c>
      <c r="C61" s="204">
        <v>11</v>
      </c>
      <c r="D61" s="191">
        <f t="shared" si="4"/>
        <v>231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3">
      <c r="A62" s="192">
        <f>'Données projet'!A70</f>
        <v>60</v>
      </c>
      <c r="B62" s="193">
        <f>'Données projet'!D70</f>
        <v>21</v>
      </c>
      <c r="C62" s="204">
        <v>11</v>
      </c>
      <c r="D62" s="191">
        <f t="shared" si="4"/>
        <v>231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3">
      <c r="A63" s="192">
        <f>'Données projet'!A71</f>
        <v>65</v>
      </c>
      <c r="B63" s="193">
        <f>'Données projet'!D71</f>
        <v>21</v>
      </c>
      <c r="C63" s="204">
        <v>11</v>
      </c>
      <c r="D63" s="191">
        <f t="shared" si="4"/>
        <v>231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3">
      <c r="A64" s="192">
        <f>'Données projet'!A72</f>
        <v>70</v>
      </c>
      <c r="B64" s="193">
        <f>'Données projet'!D72</f>
        <v>21</v>
      </c>
      <c r="C64" s="204">
        <v>11</v>
      </c>
      <c r="D64" s="191">
        <f t="shared" si="4"/>
        <v>231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3">
      <c r="A65" s="192">
        <f>'Données projet'!A73</f>
        <v>75</v>
      </c>
      <c r="B65" s="193">
        <f>'Données projet'!D73</f>
        <v>21</v>
      </c>
      <c r="C65" s="204">
        <v>13</v>
      </c>
      <c r="D65" s="191">
        <f t="shared" si="4"/>
        <v>273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3">
      <c r="A66" s="192">
        <f>'Données projet'!A74</f>
        <v>80</v>
      </c>
      <c r="B66" s="193">
        <f>'Données projet'!D74</f>
        <v>21</v>
      </c>
      <c r="C66" s="204">
        <v>13</v>
      </c>
      <c r="D66" s="191">
        <f t="shared" si="4"/>
        <v>273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3">
      <c r="A67" s="192">
        <f>'Données projet'!A75</f>
        <v>85</v>
      </c>
      <c r="B67" s="193">
        <f>'Données projet'!D75</f>
        <v>21</v>
      </c>
      <c r="C67" s="204">
        <v>15</v>
      </c>
      <c r="D67" s="191">
        <f t="shared" si="4"/>
        <v>315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3">
      <c r="A68" s="192">
        <f>'Données projet'!A76</f>
        <v>90</v>
      </c>
      <c r="B68" s="193">
        <f>'Données projet'!D76</f>
        <v>21</v>
      </c>
      <c r="C68" s="204">
        <v>15</v>
      </c>
      <c r="D68" s="191">
        <f t="shared" si="4"/>
        <v>315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0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3">
      <c r="A69" s="192">
        <f>'Données projet'!A77</f>
        <v>95</v>
      </c>
      <c r="B69" s="193">
        <f>'Données projet'!D77</f>
        <v>21</v>
      </c>
      <c r="C69" s="204">
        <v>25</v>
      </c>
      <c r="D69" s="191">
        <f t="shared" si="4"/>
        <v>525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0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3">
      <c r="A70" s="192">
        <f>'Données projet'!A78</f>
        <v>100</v>
      </c>
      <c r="B70" s="193">
        <f>'Données projet'!D78</f>
        <v>21</v>
      </c>
      <c r="C70" s="204">
        <v>35</v>
      </c>
      <c r="D70" s="191">
        <f t="shared" si="4"/>
        <v>735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0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3">
      <c r="A71" s="192">
        <f>'Données projet'!A79</f>
        <v>105</v>
      </c>
      <c r="B71" s="193">
        <f>'Données projet'!D79</f>
        <v>20</v>
      </c>
      <c r="C71" s="204">
        <v>35</v>
      </c>
      <c r="D71" s="191">
        <f t="shared" si="4"/>
        <v>700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0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3">
      <c r="A72" s="192">
        <f>'Données projet'!A80</f>
        <v>110</v>
      </c>
      <c r="B72" s="193">
        <f>'Données projet'!D80</f>
        <v>19</v>
      </c>
      <c r="C72" s="204">
        <v>50</v>
      </c>
      <c r="D72" s="191">
        <f t="shared" si="4"/>
        <v>950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>
        <f>IF(O71+1&lt;=MIN('Données projet'!$E$9:$E$18),O71+1,"STOP")</f>
        <v>39</v>
      </c>
      <c r="P72" s="197">
        <f t="shared" si="5"/>
        <v>0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3">
      <c r="A73" s="192">
        <f>'Données projet'!A81</f>
        <v>115</v>
      </c>
      <c r="B73" s="193">
        <f>'Données projet'!D81</f>
        <v>285</v>
      </c>
      <c r="C73" s="204">
        <v>70</v>
      </c>
      <c r="D73" s="191">
        <f t="shared" si="4"/>
        <v>19950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>
        <f>IF(O72+1&lt;=MIN('Données projet'!$E$9:$E$18),O72+1,"STOP")</f>
        <v>40</v>
      </c>
      <c r="P73" s="197">
        <f t="shared" si="5"/>
        <v>0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3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>
        <f>IF(O73+1&lt;=MIN('Données projet'!$E$9:$E$18),O73+1,"STOP")</f>
        <v>41</v>
      </c>
      <c r="P74" s="197">
        <f t="shared" si="5"/>
        <v>0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3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>
        <f>IF(O74+1&lt;=MIN('Données projet'!$E$9:$E$18),O74+1,"STOP")</f>
        <v>42</v>
      </c>
      <c r="P75" s="197">
        <f t="shared" si="5"/>
        <v>0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3">
      <c r="A76" s="49" t="s">
        <v>167</v>
      </c>
      <c r="B76" s="186" t="str">
        <f>IF('Données projet'!B11="","",'Données projet'!B11)</f>
        <v>Cèdre de l'Atlas</v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>
        <f>IF(O75+1&lt;=MIN('Données projet'!$E$9:$E$18),O75+1,"STOP")</f>
        <v>43</v>
      </c>
      <c r="P76" s="197">
        <f t="shared" si="5"/>
        <v>0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3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>
        <f>IF(O76+1&lt;=MIN('Données projet'!$E$9:$E$18),O76+1,"STOP")</f>
        <v>44</v>
      </c>
      <c r="P77" s="197">
        <f t="shared" si="5"/>
        <v>0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3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>
        <f>IF(O77+1&lt;=MIN('Données projet'!$E$9:$E$18),O77+1,"STOP")</f>
        <v>45</v>
      </c>
      <c r="P78" s="197">
        <f t="shared" si="5"/>
        <v>0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3">
      <c r="A79" s="210">
        <v>0</v>
      </c>
      <c r="B79" s="213" t="s">
        <v>132</v>
      </c>
      <c r="C79" s="212" t="s">
        <v>132</v>
      </c>
      <c r="D79" s="211" t="s">
        <v>132</v>
      </c>
      <c r="E79" s="206">
        <v>2773.6</v>
      </c>
      <c r="F79" s="262"/>
      <c r="G79" s="223"/>
      <c r="H79" s="203"/>
      <c r="I79" s="204"/>
      <c r="J79" s="5"/>
      <c r="K79" s="183"/>
      <c r="L79" s="5"/>
      <c r="M79" s="5"/>
      <c r="N79" s="5"/>
      <c r="O79" s="207">
        <f>IF(O78+1&lt;=MIN('Données projet'!$E$9:$E$18),O78+1,"STOP")</f>
        <v>46</v>
      </c>
      <c r="P79" s="197">
        <f t="shared" si="5"/>
        <v>0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3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>
        <f>IF(O79+1&lt;=MIN('Données projet'!$E$9:$E$18),O79+1,"STOP")</f>
        <v>47</v>
      </c>
      <c r="P80" s="197">
        <f t="shared" si="5"/>
        <v>0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3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>
        <f>IF(O80+1&lt;=MIN('Données projet'!$E$9:$E$18),O80+1,"STOP")</f>
        <v>48</v>
      </c>
      <c r="P81" s="197">
        <f t="shared" si="5"/>
        <v>0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3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>
        <f>IF(O81+1&lt;=MIN('Données projet'!$E$9:$E$18),O81+1,"STOP")</f>
        <v>49</v>
      </c>
      <c r="P82" s="197">
        <f t="shared" si="5"/>
        <v>0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3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>
        <f>IF(O82+1&lt;=MIN('Données projet'!$E$9:$E$18),O82+1,"STOP")</f>
        <v>50</v>
      </c>
      <c r="P83" s="197">
        <f t="shared" si="5"/>
        <v>0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3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>
        <f>IF(O83+1&lt;=MIN('Données projet'!$E$9:$E$18),O83+1,"STOP")</f>
        <v>51</v>
      </c>
      <c r="P84" s="197">
        <f t="shared" si="5"/>
        <v>0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3">
      <c r="A85" s="192">
        <f>'Données projet'!A88</f>
        <v>20</v>
      </c>
      <c r="B85" s="193">
        <f>'Données projet'!D88</f>
        <v>35</v>
      </c>
      <c r="C85" s="204">
        <v>7</v>
      </c>
      <c r="D85" s="191">
        <f>B85*C85</f>
        <v>245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>
        <f>IF(O84+1&lt;=MIN('Données projet'!$E$9:$E$18),O84+1,"STOP")</f>
        <v>52</v>
      </c>
      <c r="P85" s="197">
        <f t="shared" si="5"/>
        <v>0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3">
      <c r="A86" s="192">
        <f>'Données projet'!A89</f>
        <v>25</v>
      </c>
      <c r="B86" s="193">
        <f>'Données projet'!D89</f>
        <v>35</v>
      </c>
      <c r="C86" s="204">
        <v>9</v>
      </c>
      <c r="D86" s="191">
        <f t="shared" ref="D86:D104" si="6">B86*C86</f>
        <v>315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>
        <f>IF(O85+1&lt;=MIN('Données projet'!$E$9:$E$18),O85+1,"STOP")</f>
        <v>53</v>
      </c>
      <c r="P86" s="197">
        <f t="shared" si="5"/>
        <v>0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3">
      <c r="A87" s="192">
        <f>'Données projet'!A90</f>
        <v>30</v>
      </c>
      <c r="B87" s="193">
        <f>'Données projet'!D90</f>
        <v>50</v>
      </c>
      <c r="C87" s="204">
        <v>11</v>
      </c>
      <c r="D87" s="191">
        <f t="shared" si="6"/>
        <v>550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>
        <f>IF(O86+1&lt;=MIN('Données projet'!$E$9:$E$18),O86+1,"STOP")</f>
        <v>54</v>
      </c>
      <c r="P87" s="197">
        <f t="shared" si="5"/>
        <v>0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3">
      <c r="A88" s="192">
        <f>'Données projet'!A91</f>
        <v>37</v>
      </c>
      <c r="B88" s="193">
        <f>'Données projet'!D91</f>
        <v>50</v>
      </c>
      <c r="C88" s="204">
        <v>12</v>
      </c>
      <c r="D88" s="191">
        <f t="shared" si="6"/>
        <v>600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>
        <f>IF(O87+1&lt;=MIN('Données projet'!$E$9:$E$18),O87+1,"STOP")</f>
        <v>55</v>
      </c>
      <c r="P88" s="197">
        <f t="shared" si="5"/>
        <v>0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3">
      <c r="A89" s="192">
        <f>'Données projet'!A92</f>
        <v>44</v>
      </c>
      <c r="B89" s="193">
        <f>'Données projet'!D92</f>
        <v>60</v>
      </c>
      <c r="C89" s="204">
        <v>13</v>
      </c>
      <c r="D89" s="191">
        <f t="shared" si="6"/>
        <v>780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>
        <f>IF(O88+1&lt;=MIN('Données projet'!$E$9:$E$18),O88+1,"STOP")</f>
        <v>56</v>
      </c>
      <c r="P89" s="197">
        <f t="shared" si="5"/>
        <v>0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3">
      <c r="A90" s="192">
        <f>'Données projet'!A93</f>
        <v>51</v>
      </c>
      <c r="B90" s="193">
        <f>'Données projet'!D93</f>
        <v>70</v>
      </c>
      <c r="C90" s="204">
        <v>15</v>
      </c>
      <c r="D90" s="191">
        <f t="shared" si="6"/>
        <v>1050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>
        <f>IF(O89+1&lt;=MIN('Données projet'!$E$9:$E$18),O89+1,"STOP")</f>
        <v>57</v>
      </c>
      <c r="P90" s="197">
        <f t="shared" si="5"/>
        <v>0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3">
      <c r="A91" s="192">
        <f>'Données projet'!A94</f>
        <v>60</v>
      </c>
      <c r="B91" s="193">
        <f>'Données projet'!D94</f>
        <v>300</v>
      </c>
      <c r="C91" s="204">
        <v>18</v>
      </c>
      <c r="D91" s="191">
        <f t="shared" si="6"/>
        <v>5400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>
        <f>IF(O90+1&lt;=MIN('Données projet'!$E$9:$E$18),O90+1,"STOP")</f>
        <v>58</v>
      </c>
      <c r="P91" s="197">
        <f t="shared" si="5"/>
        <v>0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3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>
        <f>IF(O91+1&lt;=MIN('Données projet'!$E$9:$E$18),O91+1,"STOP")</f>
        <v>59</v>
      </c>
      <c r="P92" s="197">
        <f t="shared" si="5"/>
        <v>0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3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>
        <f>IF(O92+1&lt;=MIN('Données projet'!$E$9:$E$18),O92+1,"STOP")</f>
        <v>60</v>
      </c>
      <c r="P93" s="197">
        <f t="shared" si="5"/>
        <v>0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3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str">
        <f>IF(O93+1&lt;=MIN('Données projet'!$E$9:$E$18),O93+1,"STOP")</f>
        <v>STOP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3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3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3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3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3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3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3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3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3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3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3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3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3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3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3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3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3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3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3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3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3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3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3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3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3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3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3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3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3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3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3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3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3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3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3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3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3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3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3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3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3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3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3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3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3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3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3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3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3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3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3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3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3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3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3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3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3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3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3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3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3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3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3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3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3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3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3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3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3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3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3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3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3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3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3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3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3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3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3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3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3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3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3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3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3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3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3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3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3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3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3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3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3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3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3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3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3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3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3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3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3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3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3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3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3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3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3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3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3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3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3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3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3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3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3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3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3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3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3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3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3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3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3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3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3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3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3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3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3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3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3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3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3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3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3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3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3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3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3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3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3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3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3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3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3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3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3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3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3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3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3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3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3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3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3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3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3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3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3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3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3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3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3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3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3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3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3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3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3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3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3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3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3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3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3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3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3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3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3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3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3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3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3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3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3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3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3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3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3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3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3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3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3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3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3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3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3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3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3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3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3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3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3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3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3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3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3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3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3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3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3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3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3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3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3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3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3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3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3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3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3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3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3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3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3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3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3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3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3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3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3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3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3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3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3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3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3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3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3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3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3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3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3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3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3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3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3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3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3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3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3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3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3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3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3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3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3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3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3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3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3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3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3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3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3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3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3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3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3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3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3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3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3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3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3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3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3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3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3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3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3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3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3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3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3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3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3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3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3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3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3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3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3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3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3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3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3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3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3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3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3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3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3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3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3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3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3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3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3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3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3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3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3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3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3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3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3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3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3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3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3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3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3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3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3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3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3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3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3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3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3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3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3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3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3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3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3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3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3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3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3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3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3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3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3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3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3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3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3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3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3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3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3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3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3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3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3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3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3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3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3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3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3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3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3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3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3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3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3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3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3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3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3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3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3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3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3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3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3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3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3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3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3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3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3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3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3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3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3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3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3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3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3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3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3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3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3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3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3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3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3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3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3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3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3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3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3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3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3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3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3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3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3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3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3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3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3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3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3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3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3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3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3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3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3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3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3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3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3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3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3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3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3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3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3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3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3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3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3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3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3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3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3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3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3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3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3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3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3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3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3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3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3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3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3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3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3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3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Florence HEUSCHMIDT</cp:lastModifiedBy>
  <dcterms:created xsi:type="dcterms:W3CDTF">2021-02-01T08:22:39Z</dcterms:created>
  <dcterms:modified xsi:type="dcterms:W3CDTF">2022-02-23T14:43:09Z</dcterms:modified>
</cp:coreProperties>
</file>