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Poitou-ValdeLoire-Bretagne\Projet LaFlèche_Villaines-sous-Malicorne_082021\"/>
    </mc:Choice>
  </mc:AlternateContent>
  <bookViews>
    <workbookView xWindow="0" yWindow="0" windowWidth="28800" windowHeight="1271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6" l="1"/>
  <c r="R31" i="6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J16" i="6"/>
  <c r="J15" i="6"/>
  <c r="J14" i="6"/>
  <c r="J13" i="6"/>
  <c r="J12" i="6"/>
  <c r="HG5" i="2" l="1"/>
  <c r="HG6" i="2" s="1"/>
  <c r="HG7" i="2" s="1"/>
  <c r="HG8" i="2" s="1"/>
  <c r="HG9" i="2" s="1"/>
  <c r="HG10" i="2" s="1"/>
  <c r="HG11" i="2" s="1"/>
  <c r="HG12" i="2" s="1"/>
  <c r="HG13" i="2" s="1"/>
  <c r="HG14" i="2" s="1"/>
  <c r="HG15" i="2" s="1"/>
  <c r="HG16" i="2" s="1"/>
  <c r="HG17" i="2" s="1"/>
  <c r="HG18" i="2" s="1"/>
  <c r="HG19" i="2" s="1"/>
  <c r="HG20" i="2" s="1"/>
  <c r="HG21" i="2" s="1"/>
  <c r="HG22" i="2" s="1"/>
  <c r="HG23" i="2" s="1"/>
  <c r="HG24" i="2" s="1"/>
  <c r="HG25" i="2" s="1"/>
  <c r="HG26" i="2" s="1"/>
  <c r="HG27" i="2" s="1"/>
  <c r="HG28" i="2" s="1"/>
  <c r="HG29" i="2" s="1"/>
  <c r="HG30" i="2" s="1"/>
  <c r="HG31" i="2" s="1"/>
  <c r="HG32" i="2" s="1"/>
  <c r="HG33" i="2" s="1"/>
  <c r="HG34" i="2" s="1"/>
  <c r="HG35" i="2" s="1"/>
  <c r="HG36" i="2" s="1"/>
  <c r="HG37" i="2" s="1"/>
  <c r="HG38" i="2" s="1"/>
  <c r="HG39" i="2" s="1"/>
  <c r="HG40" i="2" s="1"/>
  <c r="HG41" i="2" s="1"/>
  <c r="HG42" i="2" s="1"/>
  <c r="HG43" i="2" s="1"/>
  <c r="HG44" i="2" s="1"/>
  <c r="HG45" i="2" s="1"/>
  <c r="HG46" i="2" s="1"/>
  <c r="HG47" i="2" s="1"/>
  <c r="HG48" i="2" s="1"/>
  <c r="HG49" i="2" s="1"/>
  <c r="HG50" i="2" s="1"/>
  <c r="HG51" i="2" s="1"/>
  <c r="HG52" i="2" s="1"/>
  <c r="HG53" i="2" s="1"/>
  <c r="HG54" i="2" s="1"/>
  <c r="HG55" i="2" s="1"/>
  <c r="HG56" i="2" s="1"/>
  <c r="HG57" i="2" s="1"/>
  <c r="HG58" i="2" s="1"/>
  <c r="HG59" i="2" s="1"/>
  <c r="HG60" i="2" s="1"/>
  <c r="HG61" i="2" s="1"/>
  <c r="HG62" i="2" s="1"/>
  <c r="HG63" i="2" s="1"/>
  <c r="HG64" i="2" s="1"/>
  <c r="HG65" i="2" s="1"/>
  <c r="HG66" i="2" s="1"/>
  <c r="HG67" i="2" s="1"/>
  <c r="HG68" i="2" s="1"/>
  <c r="HG69" i="2" s="1"/>
  <c r="HG70" i="2" s="1"/>
  <c r="HG71" i="2" s="1"/>
  <c r="HG72" i="2" s="1"/>
  <c r="HG73" i="2" s="1"/>
  <c r="HG74" i="2" s="1"/>
  <c r="HG75" i="2" s="1"/>
  <c r="HG76" i="2" s="1"/>
  <c r="HG77" i="2" s="1"/>
  <c r="HG78" i="2" s="1"/>
  <c r="HG79" i="2" s="1"/>
  <c r="HG80" i="2" s="1"/>
  <c r="HG81" i="2" s="1"/>
  <c r="HG82" i="2" s="1"/>
  <c r="HG83" i="2" s="1"/>
  <c r="HG84" i="2" s="1"/>
  <c r="HG85" i="2" s="1"/>
  <c r="HG86" i="2" s="1"/>
  <c r="HG87" i="2" s="1"/>
  <c r="HG88" i="2" s="1"/>
  <c r="HG89" i="2" s="1"/>
  <c r="HG90" i="2" s="1"/>
  <c r="HG91" i="2" s="1"/>
  <c r="HG92" i="2" s="1"/>
  <c r="HG93" i="2" s="1"/>
  <c r="HG94" i="2" s="1"/>
  <c r="HG95" i="2" s="1"/>
  <c r="HG96" i="2" s="1"/>
  <c r="HG97" i="2" s="1"/>
  <c r="HG98" i="2" s="1"/>
  <c r="HG99" i="2" s="1"/>
  <c r="HG100" i="2" s="1"/>
  <c r="HG101" i="2" s="1"/>
  <c r="HG102" i="2" s="1"/>
  <c r="HG103" i="2" s="1"/>
  <c r="HG104" i="2" s="1"/>
  <c r="HG105" i="2" s="1"/>
  <c r="HG106" i="2" s="1"/>
  <c r="HG107" i="2" s="1"/>
  <c r="HG108" i="2" s="1"/>
  <c r="HG109" i="2" s="1"/>
  <c r="HG110" i="2" s="1"/>
  <c r="HG111" i="2" s="1"/>
  <c r="HG112" i="2" s="1"/>
  <c r="HG113" i="2" s="1"/>
  <c r="HG114" i="2" s="1"/>
  <c r="HG115" i="2" s="1"/>
  <c r="HG116" i="2" s="1"/>
  <c r="HG117" i="2" s="1"/>
  <c r="HG118" i="2" s="1"/>
  <c r="HG119" i="2" s="1"/>
  <c r="HG120" i="2" s="1"/>
  <c r="HG121" i="2" s="1"/>
  <c r="HG122" i="2" s="1"/>
  <c r="HG123" i="2" s="1"/>
  <c r="HG124" i="2" s="1"/>
  <c r="HG125" i="2" s="1"/>
  <c r="HG126" i="2" s="1"/>
  <c r="HG127" i="2" s="1"/>
  <c r="HG128" i="2" s="1"/>
  <c r="HG129" i="2" s="1"/>
  <c r="HG130" i="2" s="1"/>
  <c r="HG131" i="2" s="1"/>
  <c r="HG132" i="2" s="1"/>
  <c r="HG133" i="2" s="1"/>
  <c r="HG134" i="2" s="1"/>
  <c r="HG135" i="2" s="1"/>
  <c r="HG136" i="2" s="1"/>
  <c r="HG137" i="2" s="1"/>
  <c r="HG138" i="2" s="1"/>
  <c r="HG139" i="2" s="1"/>
  <c r="HG140" i="2" s="1"/>
  <c r="HG141" i="2" s="1"/>
  <c r="HG142" i="2" s="1"/>
  <c r="HG143" i="2" s="1"/>
  <c r="HG144" i="2" s="1"/>
  <c r="HG145" i="2" s="1"/>
  <c r="HG146" i="2" s="1"/>
  <c r="HG147" i="2" s="1"/>
  <c r="HG148" i="2" s="1"/>
  <c r="HG149" i="2" s="1"/>
  <c r="HG150" i="2" s="1"/>
  <c r="HG151" i="2" s="1"/>
  <c r="HG152" i="2" s="1"/>
  <c r="HG153" i="2" s="1"/>
  <c r="HG154" i="2" s="1"/>
  <c r="HG155" i="2" s="1"/>
  <c r="HG156" i="2" s="1"/>
  <c r="HG157" i="2" s="1"/>
  <c r="HG158" i="2" s="1"/>
  <c r="HG159" i="2" s="1"/>
  <c r="HG160" i="2" s="1"/>
  <c r="HG161" i="2" s="1"/>
  <c r="HG162" i="2" s="1"/>
  <c r="HG163" i="2" s="1"/>
  <c r="HG164" i="2" s="1"/>
  <c r="HG165" i="2" s="1"/>
  <c r="HG166" i="2" s="1"/>
  <c r="HG167" i="2" s="1"/>
  <c r="HG168" i="2" s="1"/>
  <c r="HG169" i="2" s="1"/>
  <c r="HG170" i="2" s="1"/>
  <c r="HG171" i="2" s="1"/>
  <c r="HG172" i="2" s="1"/>
  <c r="HG173" i="2" s="1"/>
  <c r="HG174" i="2" s="1"/>
  <c r="HG175" i="2" s="1"/>
  <c r="HG176" i="2" s="1"/>
  <c r="HG177" i="2" s="1"/>
  <c r="HG178" i="2" s="1"/>
  <c r="HG179" i="2" s="1"/>
  <c r="HG180" i="2" s="1"/>
  <c r="HG181" i="2" s="1"/>
  <c r="HG182" i="2" s="1"/>
  <c r="HG183" i="2" s="1"/>
  <c r="HG184" i="2" s="1"/>
  <c r="HG185" i="2" s="1"/>
  <c r="HG186" i="2" s="1"/>
  <c r="HG187" i="2" s="1"/>
  <c r="HG188" i="2" s="1"/>
  <c r="HG189" i="2" s="1"/>
  <c r="HG190" i="2" s="1"/>
  <c r="HG191" i="2" s="1"/>
  <c r="HG192" i="2" s="1"/>
  <c r="HG193" i="2" s="1"/>
  <c r="HG194" i="2" s="1"/>
  <c r="HG195" i="2" s="1"/>
  <c r="HG196" i="2" s="1"/>
  <c r="HG197" i="2" s="1"/>
  <c r="HG198" i="2" s="1"/>
  <c r="HG199" i="2" s="1"/>
  <c r="HG200" i="2" s="1"/>
  <c r="HG201" i="2" s="1"/>
  <c r="HG202" i="2" s="1"/>
  <c r="HG203" i="2" s="1"/>
  <c r="HH5" i="2"/>
  <c r="HH6" i="2" s="1"/>
  <c r="HH7" i="2" s="1"/>
  <c r="HH8" i="2" s="1"/>
  <c r="HH9" i="2" s="1"/>
  <c r="HH10" i="2" s="1"/>
  <c r="HH11" i="2" s="1"/>
  <c r="HH12" i="2" s="1"/>
  <c r="HH13" i="2" s="1"/>
  <c r="HH14" i="2" s="1"/>
  <c r="HH15" i="2" s="1"/>
  <c r="HH16" i="2" s="1"/>
  <c r="HH17" i="2" s="1"/>
  <c r="HH18" i="2" s="1"/>
  <c r="HH19" i="2" s="1"/>
  <c r="HH20" i="2" s="1"/>
  <c r="HH21" i="2" s="1"/>
  <c r="HH22" i="2" s="1"/>
  <c r="HH23" i="2" s="1"/>
  <c r="HH24" i="2" s="1"/>
  <c r="HH25" i="2" s="1"/>
  <c r="HH26" i="2" s="1"/>
  <c r="HH27" i="2" s="1"/>
  <c r="HH28" i="2" s="1"/>
  <c r="HH29" i="2" s="1"/>
  <c r="HH30" i="2" s="1"/>
  <c r="HH31" i="2" s="1"/>
  <c r="HH32" i="2" s="1"/>
  <c r="HH33" i="2" s="1"/>
  <c r="HH34" i="2" s="1"/>
  <c r="HH35" i="2" s="1"/>
  <c r="HH36" i="2" s="1"/>
  <c r="HH37" i="2" s="1"/>
  <c r="HH38" i="2" s="1"/>
  <c r="HH39" i="2" s="1"/>
  <c r="HH40" i="2" s="1"/>
  <c r="HH41" i="2" s="1"/>
  <c r="HH42" i="2" s="1"/>
  <c r="HH43" i="2" s="1"/>
  <c r="HH44" i="2" s="1"/>
  <c r="HH45" i="2" s="1"/>
  <c r="HH46" i="2" s="1"/>
  <c r="HH47" i="2" s="1"/>
  <c r="HH48" i="2" s="1"/>
  <c r="HH49" i="2" s="1"/>
  <c r="HH50" i="2" s="1"/>
  <c r="HH51" i="2" s="1"/>
  <c r="HH52" i="2" s="1"/>
  <c r="HH53" i="2" s="1"/>
  <c r="HH54" i="2" s="1"/>
  <c r="HH55" i="2" s="1"/>
  <c r="HH56" i="2" s="1"/>
  <c r="HH57" i="2" s="1"/>
  <c r="HH58" i="2" s="1"/>
  <c r="HH59" i="2" s="1"/>
  <c r="HH60" i="2" s="1"/>
  <c r="HH61" i="2" s="1"/>
  <c r="HH62" i="2" s="1"/>
  <c r="HH63" i="2" s="1"/>
  <c r="HH64" i="2" s="1"/>
  <c r="HH65" i="2" s="1"/>
  <c r="HH66" i="2" s="1"/>
  <c r="HH67" i="2" s="1"/>
  <c r="HH68" i="2" s="1"/>
  <c r="HH69" i="2" s="1"/>
  <c r="HH70" i="2" s="1"/>
  <c r="HH71" i="2" s="1"/>
  <c r="HH72" i="2" s="1"/>
  <c r="HH73" i="2" s="1"/>
  <c r="HH74" i="2" s="1"/>
  <c r="HH75" i="2" s="1"/>
  <c r="HH76" i="2" s="1"/>
  <c r="HH77" i="2" s="1"/>
  <c r="HH78" i="2" s="1"/>
  <c r="HH79" i="2" s="1"/>
  <c r="HH80" i="2" s="1"/>
  <c r="HH81" i="2" s="1"/>
  <c r="HH82" i="2" s="1"/>
  <c r="HH83" i="2" s="1"/>
  <c r="HH84" i="2" s="1"/>
  <c r="HH85" i="2" s="1"/>
  <c r="HH86" i="2" s="1"/>
  <c r="HH87" i="2" s="1"/>
  <c r="HH88" i="2" s="1"/>
  <c r="HH89" i="2" s="1"/>
  <c r="HH90" i="2" s="1"/>
  <c r="HH91" i="2" s="1"/>
  <c r="HH92" i="2" s="1"/>
  <c r="HH93" i="2" s="1"/>
  <c r="HH94" i="2" s="1"/>
  <c r="HH95" i="2" s="1"/>
  <c r="HH96" i="2" s="1"/>
  <c r="HH97" i="2" s="1"/>
  <c r="HH98" i="2" s="1"/>
  <c r="HH99" i="2" s="1"/>
  <c r="HH100" i="2" s="1"/>
  <c r="HH101" i="2" s="1"/>
  <c r="HH102" i="2" s="1"/>
  <c r="HH103" i="2" s="1"/>
  <c r="HH104" i="2" s="1"/>
  <c r="HH105" i="2" s="1"/>
  <c r="HH106" i="2" s="1"/>
  <c r="HH107" i="2" s="1"/>
  <c r="HH108" i="2" s="1"/>
  <c r="HH109" i="2" s="1"/>
  <c r="HH110" i="2" s="1"/>
  <c r="HH111" i="2" s="1"/>
  <c r="HH112" i="2" s="1"/>
  <c r="HH113" i="2" s="1"/>
  <c r="HH114" i="2" s="1"/>
  <c r="HH115" i="2" s="1"/>
  <c r="HH116" i="2" s="1"/>
  <c r="HH117" i="2" s="1"/>
  <c r="HH118" i="2" s="1"/>
  <c r="HH119" i="2" s="1"/>
  <c r="HH120" i="2" s="1"/>
  <c r="HH121" i="2" s="1"/>
  <c r="HH122" i="2" s="1"/>
  <c r="HH123" i="2" s="1"/>
  <c r="HH124" i="2" s="1"/>
  <c r="HH125" i="2" s="1"/>
  <c r="HH126" i="2" s="1"/>
  <c r="HH127" i="2" s="1"/>
  <c r="HH128" i="2" s="1"/>
  <c r="HH129" i="2" s="1"/>
  <c r="HH130" i="2" s="1"/>
  <c r="HH131" i="2" s="1"/>
  <c r="HH132" i="2" s="1"/>
  <c r="HH133" i="2" s="1"/>
  <c r="HH134" i="2" s="1"/>
  <c r="HH135" i="2" s="1"/>
  <c r="HH136" i="2" s="1"/>
  <c r="HH137" i="2" s="1"/>
  <c r="HH138" i="2" s="1"/>
  <c r="HH139" i="2" s="1"/>
  <c r="HH140" i="2" s="1"/>
  <c r="HH141" i="2" s="1"/>
  <c r="HH142" i="2" s="1"/>
  <c r="HH143" i="2" s="1"/>
  <c r="HH144" i="2" s="1"/>
  <c r="HH145" i="2" s="1"/>
  <c r="HH146" i="2" s="1"/>
  <c r="HH147" i="2" s="1"/>
  <c r="HH148" i="2" s="1"/>
  <c r="HH149" i="2" s="1"/>
  <c r="HH150" i="2" s="1"/>
  <c r="HH151" i="2" s="1"/>
  <c r="HH152" i="2" s="1"/>
  <c r="HH153" i="2" s="1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HI5" i="2"/>
  <c r="HI6" i="2" s="1"/>
  <c r="HI7" i="2" s="1"/>
  <c r="HI8" i="2" s="1"/>
  <c r="HI9" i="2" s="1"/>
  <c r="HI10" i="2" s="1"/>
  <c r="HI11" i="2" s="1"/>
  <c r="HI12" i="2" s="1"/>
  <c r="HI13" i="2" s="1"/>
  <c r="HI14" i="2" s="1"/>
  <c r="HI15" i="2" s="1"/>
  <c r="HI16" i="2" s="1"/>
  <c r="HI17" i="2" s="1"/>
  <c r="HI18" i="2" s="1"/>
  <c r="HI19" i="2" s="1"/>
  <c r="HI20" i="2" s="1"/>
  <c r="HI21" i="2" s="1"/>
  <c r="HI22" i="2" s="1"/>
  <c r="HI23" i="2" s="1"/>
  <c r="HI24" i="2" s="1"/>
  <c r="HI25" i="2" s="1"/>
  <c r="HI26" i="2" s="1"/>
  <c r="HI27" i="2" s="1"/>
  <c r="HI28" i="2" s="1"/>
  <c r="HI29" i="2" s="1"/>
  <c r="HI30" i="2" s="1"/>
  <c r="HI31" i="2" s="1"/>
  <c r="HI32" i="2" s="1"/>
  <c r="HI33" i="2" s="1"/>
  <c r="HI34" i="2" s="1"/>
  <c r="HI35" i="2" s="1"/>
  <c r="HI36" i="2" s="1"/>
  <c r="HI37" i="2" s="1"/>
  <c r="HI38" i="2" s="1"/>
  <c r="HI39" i="2" s="1"/>
  <c r="HI40" i="2" s="1"/>
  <c r="HI41" i="2" s="1"/>
  <c r="HI42" i="2" s="1"/>
  <c r="HI43" i="2" s="1"/>
  <c r="HI44" i="2" s="1"/>
  <c r="HI45" i="2" s="1"/>
  <c r="HI46" i="2" s="1"/>
  <c r="HI47" i="2" s="1"/>
  <c r="HI48" i="2" s="1"/>
  <c r="HI49" i="2" s="1"/>
  <c r="HI50" i="2" s="1"/>
  <c r="HI51" i="2" s="1"/>
  <c r="HI52" i="2" s="1"/>
  <c r="HI53" i="2" s="1"/>
  <c r="HI54" i="2" s="1"/>
  <c r="HI55" i="2" s="1"/>
  <c r="HI56" i="2" s="1"/>
  <c r="HI57" i="2" s="1"/>
  <c r="HI58" i="2" s="1"/>
  <c r="HI59" i="2" s="1"/>
  <c r="HI60" i="2" s="1"/>
  <c r="HI61" i="2" s="1"/>
  <c r="HI62" i="2" s="1"/>
  <c r="HI63" i="2" s="1"/>
  <c r="HI64" i="2" s="1"/>
  <c r="HI65" i="2" s="1"/>
  <c r="HI66" i="2" s="1"/>
  <c r="HI67" i="2" s="1"/>
  <c r="HI68" i="2" s="1"/>
  <c r="HI69" i="2" s="1"/>
  <c r="HI70" i="2" s="1"/>
  <c r="HI71" i="2" s="1"/>
  <c r="HI72" i="2" s="1"/>
  <c r="HI73" i="2" s="1"/>
  <c r="HI74" i="2" s="1"/>
  <c r="HI75" i="2" s="1"/>
  <c r="HI76" i="2" s="1"/>
  <c r="HI77" i="2" s="1"/>
  <c r="HI78" i="2" s="1"/>
  <c r="HI79" i="2" s="1"/>
  <c r="HI80" i="2" s="1"/>
  <c r="HI81" i="2" s="1"/>
  <c r="HI82" i="2" s="1"/>
  <c r="HI83" i="2" s="1"/>
  <c r="HI84" i="2" s="1"/>
  <c r="HI85" i="2" s="1"/>
  <c r="HI86" i="2" s="1"/>
  <c r="HI87" i="2" s="1"/>
  <c r="HI88" i="2" s="1"/>
  <c r="HI89" i="2" s="1"/>
  <c r="HI90" i="2" s="1"/>
  <c r="HI91" i="2" s="1"/>
  <c r="HI92" i="2" s="1"/>
  <c r="HI93" i="2" s="1"/>
  <c r="HI94" i="2" s="1"/>
  <c r="HI95" i="2" s="1"/>
  <c r="HI96" i="2" s="1"/>
  <c r="HI97" i="2" s="1"/>
  <c r="HI98" i="2" s="1"/>
  <c r="HI99" i="2" s="1"/>
  <c r="HI100" i="2" s="1"/>
  <c r="HI101" i="2" s="1"/>
  <c r="HI102" i="2" s="1"/>
  <c r="HI103" i="2" s="1"/>
  <c r="HI104" i="2" s="1"/>
  <c r="HI105" i="2" s="1"/>
  <c r="HI106" i="2" s="1"/>
  <c r="HI107" i="2" s="1"/>
  <c r="HI108" i="2" s="1"/>
  <c r="HI109" i="2" s="1"/>
  <c r="HI110" i="2" s="1"/>
  <c r="HI111" i="2" s="1"/>
  <c r="HI112" i="2" s="1"/>
  <c r="HI113" i="2" s="1"/>
  <c r="HI114" i="2" s="1"/>
  <c r="HI115" i="2" s="1"/>
  <c r="HI116" i="2" s="1"/>
  <c r="HI117" i="2" s="1"/>
  <c r="HI118" i="2" s="1"/>
  <c r="HI119" i="2" s="1"/>
  <c r="HI120" i="2" s="1"/>
  <c r="HI121" i="2" s="1"/>
  <c r="HI122" i="2" s="1"/>
  <c r="HI123" i="2" s="1"/>
  <c r="HI124" i="2" s="1"/>
  <c r="HI125" i="2" s="1"/>
  <c r="HI126" i="2" s="1"/>
  <c r="HI127" i="2" s="1"/>
  <c r="HI128" i="2" s="1"/>
  <c r="HI129" i="2" s="1"/>
  <c r="HI130" i="2" s="1"/>
  <c r="HI131" i="2" s="1"/>
  <c r="HI132" i="2" s="1"/>
  <c r="HI133" i="2" s="1"/>
  <c r="HI134" i="2" s="1"/>
  <c r="HI135" i="2" s="1"/>
  <c r="HI136" i="2" s="1"/>
  <c r="HI137" i="2" s="1"/>
  <c r="HI138" i="2" s="1"/>
  <c r="HI139" i="2" s="1"/>
  <c r="HI140" i="2" s="1"/>
  <c r="HI141" i="2" s="1"/>
  <c r="HI142" i="2" s="1"/>
  <c r="HI143" i="2" s="1"/>
  <c r="HI144" i="2" s="1"/>
  <c r="HI145" i="2" s="1"/>
  <c r="HI146" i="2" s="1"/>
  <c r="HI147" i="2" s="1"/>
  <c r="HI148" i="2" s="1"/>
  <c r="HI149" i="2" s="1"/>
  <c r="HI150" i="2" s="1"/>
  <c r="HI151" i="2" s="1"/>
  <c r="HI152" i="2" s="1"/>
  <c r="HI153" i="2" s="1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HI4" i="2"/>
  <c r="HH4" i="2"/>
  <c r="HG4" i="2"/>
  <c r="GL5" i="2"/>
  <c r="GL6" i="2" s="1"/>
  <c r="GL7" i="2" s="1"/>
  <c r="GL8" i="2" s="1"/>
  <c r="GL9" i="2" s="1"/>
  <c r="GL10" i="2" s="1"/>
  <c r="GL11" i="2" s="1"/>
  <c r="GL12" i="2" s="1"/>
  <c r="GL13" i="2" s="1"/>
  <c r="GL14" i="2" s="1"/>
  <c r="GL15" i="2" s="1"/>
  <c r="GL16" i="2" s="1"/>
  <c r="GL17" i="2" s="1"/>
  <c r="GL18" i="2" s="1"/>
  <c r="GL19" i="2" s="1"/>
  <c r="GL20" i="2" s="1"/>
  <c r="GL21" i="2" s="1"/>
  <c r="GL22" i="2" s="1"/>
  <c r="GL23" i="2" s="1"/>
  <c r="GL24" i="2" s="1"/>
  <c r="GL25" i="2" s="1"/>
  <c r="GL26" i="2" s="1"/>
  <c r="GL27" i="2" s="1"/>
  <c r="GL28" i="2" s="1"/>
  <c r="GL29" i="2" s="1"/>
  <c r="GL30" i="2" s="1"/>
  <c r="GL31" i="2" s="1"/>
  <c r="GL32" i="2" s="1"/>
  <c r="GL33" i="2" s="1"/>
  <c r="GL34" i="2" s="1"/>
  <c r="GL35" i="2" s="1"/>
  <c r="GL36" i="2" s="1"/>
  <c r="GL37" i="2" s="1"/>
  <c r="GL38" i="2" s="1"/>
  <c r="GL39" i="2" s="1"/>
  <c r="GL40" i="2" s="1"/>
  <c r="GL41" i="2" s="1"/>
  <c r="GL42" i="2" s="1"/>
  <c r="GL43" i="2" s="1"/>
  <c r="GL44" i="2" s="1"/>
  <c r="GL45" i="2" s="1"/>
  <c r="GL46" i="2" s="1"/>
  <c r="GL47" i="2" s="1"/>
  <c r="GL48" i="2" s="1"/>
  <c r="GL49" i="2" s="1"/>
  <c r="GL50" i="2" s="1"/>
  <c r="GL51" i="2" s="1"/>
  <c r="GL52" i="2" s="1"/>
  <c r="GL53" i="2" s="1"/>
  <c r="GL54" i="2" s="1"/>
  <c r="GL55" i="2" s="1"/>
  <c r="GL56" i="2" s="1"/>
  <c r="GL57" i="2" s="1"/>
  <c r="GL58" i="2" s="1"/>
  <c r="GL59" i="2" s="1"/>
  <c r="GL60" i="2" s="1"/>
  <c r="GL61" i="2" s="1"/>
  <c r="GL62" i="2" s="1"/>
  <c r="GL63" i="2" s="1"/>
  <c r="GL64" i="2" s="1"/>
  <c r="GL65" i="2" s="1"/>
  <c r="GL66" i="2" s="1"/>
  <c r="GL67" i="2" s="1"/>
  <c r="GL68" i="2" s="1"/>
  <c r="GL69" i="2" s="1"/>
  <c r="GL70" i="2" s="1"/>
  <c r="GL71" i="2" s="1"/>
  <c r="GL72" i="2" s="1"/>
  <c r="GL73" i="2" s="1"/>
  <c r="GL74" i="2" s="1"/>
  <c r="GL75" i="2" s="1"/>
  <c r="GL76" i="2" s="1"/>
  <c r="GL77" i="2" s="1"/>
  <c r="GL78" i="2" s="1"/>
  <c r="GL79" i="2" s="1"/>
  <c r="GL80" i="2" s="1"/>
  <c r="GL81" i="2" s="1"/>
  <c r="GL82" i="2" s="1"/>
  <c r="GL83" i="2" s="1"/>
  <c r="GL84" i="2" s="1"/>
  <c r="GL85" i="2" s="1"/>
  <c r="GL86" i="2" s="1"/>
  <c r="GL87" i="2" s="1"/>
  <c r="GL88" i="2" s="1"/>
  <c r="GL89" i="2" s="1"/>
  <c r="GL90" i="2" s="1"/>
  <c r="GL91" i="2" s="1"/>
  <c r="GL92" i="2" s="1"/>
  <c r="GL93" i="2" s="1"/>
  <c r="GL94" i="2" s="1"/>
  <c r="GL95" i="2" s="1"/>
  <c r="GL96" i="2" s="1"/>
  <c r="GL97" i="2" s="1"/>
  <c r="GL98" i="2" s="1"/>
  <c r="GL99" i="2" s="1"/>
  <c r="GL100" i="2" s="1"/>
  <c r="GL101" i="2" s="1"/>
  <c r="GL102" i="2" s="1"/>
  <c r="GL103" i="2" s="1"/>
  <c r="GL104" i="2" s="1"/>
  <c r="GL105" i="2" s="1"/>
  <c r="GL106" i="2" s="1"/>
  <c r="GL107" i="2" s="1"/>
  <c r="GL108" i="2" s="1"/>
  <c r="GL109" i="2" s="1"/>
  <c r="GL110" i="2" s="1"/>
  <c r="GL111" i="2" s="1"/>
  <c r="GL112" i="2" s="1"/>
  <c r="GL113" i="2" s="1"/>
  <c r="GL114" i="2" s="1"/>
  <c r="GL115" i="2" s="1"/>
  <c r="GL116" i="2" s="1"/>
  <c r="GL117" i="2" s="1"/>
  <c r="GL118" i="2" s="1"/>
  <c r="GL119" i="2" s="1"/>
  <c r="GL120" i="2" s="1"/>
  <c r="GL121" i="2" s="1"/>
  <c r="GL122" i="2" s="1"/>
  <c r="GL123" i="2" s="1"/>
  <c r="GL124" i="2" s="1"/>
  <c r="GL125" i="2" s="1"/>
  <c r="GL126" i="2" s="1"/>
  <c r="GL127" i="2" s="1"/>
  <c r="GL128" i="2" s="1"/>
  <c r="GL129" i="2" s="1"/>
  <c r="GL130" i="2" s="1"/>
  <c r="GL131" i="2" s="1"/>
  <c r="GL132" i="2" s="1"/>
  <c r="GL133" i="2" s="1"/>
  <c r="GL134" i="2" s="1"/>
  <c r="GL135" i="2" s="1"/>
  <c r="GL136" i="2" s="1"/>
  <c r="GL137" i="2" s="1"/>
  <c r="GL138" i="2" s="1"/>
  <c r="GL139" i="2" s="1"/>
  <c r="GL140" i="2" s="1"/>
  <c r="GL141" i="2" s="1"/>
  <c r="GL142" i="2" s="1"/>
  <c r="GL143" i="2" s="1"/>
  <c r="GL144" i="2" s="1"/>
  <c r="GL145" i="2" s="1"/>
  <c r="GL146" i="2" s="1"/>
  <c r="GL147" i="2" s="1"/>
  <c r="GL148" i="2" s="1"/>
  <c r="GL149" i="2" s="1"/>
  <c r="GL150" i="2" s="1"/>
  <c r="GL151" i="2" s="1"/>
  <c r="GL152" i="2" s="1"/>
  <c r="GL153" i="2" s="1"/>
  <c r="GL154" i="2" s="1"/>
  <c r="GL155" i="2" s="1"/>
  <c r="GL156" i="2" s="1"/>
  <c r="GL157" i="2" s="1"/>
  <c r="GL158" i="2" s="1"/>
  <c r="GL159" i="2" s="1"/>
  <c r="GL160" i="2" s="1"/>
  <c r="GL161" i="2" s="1"/>
  <c r="GL162" i="2" s="1"/>
  <c r="GL163" i="2" s="1"/>
  <c r="GL164" i="2" s="1"/>
  <c r="GL165" i="2" s="1"/>
  <c r="GL166" i="2" s="1"/>
  <c r="GL167" i="2" s="1"/>
  <c r="GL168" i="2" s="1"/>
  <c r="GL169" i="2" s="1"/>
  <c r="GL170" i="2" s="1"/>
  <c r="GL171" i="2" s="1"/>
  <c r="GL172" i="2" s="1"/>
  <c r="GL173" i="2" s="1"/>
  <c r="GL174" i="2" s="1"/>
  <c r="GL175" i="2" s="1"/>
  <c r="GL176" i="2" s="1"/>
  <c r="GL177" i="2" s="1"/>
  <c r="GL178" i="2" s="1"/>
  <c r="GL179" i="2" s="1"/>
  <c r="GL180" i="2" s="1"/>
  <c r="GL181" i="2" s="1"/>
  <c r="GL182" i="2" s="1"/>
  <c r="GL183" i="2" s="1"/>
  <c r="GL184" i="2" s="1"/>
  <c r="GL185" i="2" s="1"/>
  <c r="GL186" i="2" s="1"/>
  <c r="GL187" i="2" s="1"/>
  <c r="GL188" i="2" s="1"/>
  <c r="GL189" i="2" s="1"/>
  <c r="GL190" i="2" s="1"/>
  <c r="GL191" i="2" s="1"/>
  <c r="GL192" i="2" s="1"/>
  <c r="GL193" i="2" s="1"/>
  <c r="GL194" i="2" s="1"/>
  <c r="GL195" i="2" s="1"/>
  <c r="GL196" i="2" s="1"/>
  <c r="GL197" i="2" s="1"/>
  <c r="GL198" i="2" s="1"/>
  <c r="GL199" i="2" s="1"/>
  <c r="GL200" i="2" s="1"/>
  <c r="GL201" i="2" s="1"/>
  <c r="GL202" i="2" s="1"/>
  <c r="GL203" i="2" s="1"/>
  <c r="GM5" i="2"/>
  <c r="GM6" i="2" s="1"/>
  <c r="GM7" i="2" s="1"/>
  <c r="GM8" i="2" s="1"/>
  <c r="GM9" i="2" s="1"/>
  <c r="GM10" i="2" s="1"/>
  <c r="GM11" i="2" s="1"/>
  <c r="GM12" i="2" s="1"/>
  <c r="GM13" i="2" s="1"/>
  <c r="GM14" i="2" s="1"/>
  <c r="GM15" i="2" s="1"/>
  <c r="GM16" i="2" s="1"/>
  <c r="GM17" i="2" s="1"/>
  <c r="GM18" i="2" s="1"/>
  <c r="GM19" i="2" s="1"/>
  <c r="GM20" i="2" s="1"/>
  <c r="GM21" i="2" s="1"/>
  <c r="GM22" i="2" s="1"/>
  <c r="GM23" i="2" s="1"/>
  <c r="GM24" i="2" s="1"/>
  <c r="GM25" i="2" s="1"/>
  <c r="GM26" i="2" s="1"/>
  <c r="GM27" i="2" s="1"/>
  <c r="GM28" i="2" s="1"/>
  <c r="GM29" i="2" s="1"/>
  <c r="GM30" i="2" s="1"/>
  <c r="GM31" i="2" s="1"/>
  <c r="GM32" i="2" s="1"/>
  <c r="GM33" i="2" s="1"/>
  <c r="GM34" i="2" s="1"/>
  <c r="GM35" i="2" s="1"/>
  <c r="GM36" i="2" s="1"/>
  <c r="GM37" i="2" s="1"/>
  <c r="GM38" i="2" s="1"/>
  <c r="GM39" i="2" s="1"/>
  <c r="GM40" i="2" s="1"/>
  <c r="GM41" i="2" s="1"/>
  <c r="GM42" i="2" s="1"/>
  <c r="GM43" i="2" s="1"/>
  <c r="GM44" i="2" s="1"/>
  <c r="GM45" i="2" s="1"/>
  <c r="GM46" i="2" s="1"/>
  <c r="GM47" i="2" s="1"/>
  <c r="GM48" i="2" s="1"/>
  <c r="GM49" i="2" s="1"/>
  <c r="GM50" i="2" s="1"/>
  <c r="GM51" i="2" s="1"/>
  <c r="GM52" i="2" s="1"/>
  <c r="GM53" i="2" s="1"/>
  <c r="GM54" i="2" s="1"/>
  <c r="GM55" i="2" s="1"/>
  <c r="GM56" i="2" s="1"/>
  <c r="GM57" i="2" s="1"/>
  <c r="GM58" i="2" s="1"/>
  <c r="GM59" i="2" s="1"/>
  <c r="GM60" i="2" s="1"/>
  <c r="GM61" i="2" s="1"/>
  <c r="GM62" i="2" s="1"/>
  <c r="GM63" i="2" s="1"/>
  <c r="GM64" i="2" s="1"/>
  <c r="GM65" i="2" s="1"/>
  <c r="GM66" i="2" s="1"/>
  <c r="GM67" i="2" s="1"/>
  <c r="GM68" i="2" s="1"/>
  <c r="GM69" i="2" s="1"/>
  <c r="GM70" i="2" s="1"/>
  <c r="GM71" i="2" s="1"/>
  <c r="GM72" i="2" s="1"/>
  <c r="GM73" i="2" s="1"/>
  <c r="GM74" i="2" s="1"/>
  <c r="GM75" i="2" s="1"/>
  <c r="GM76" i="2" s="1"/>
  <c r="GM77" i="2" s="1"/>
  <c r="GM78" i="2" s="1"/>
  <c r="GM79" i="2" s="1"/>
  <c r="GM80" i="2" s="1"/>
  <c r="GM81" i="2" s="1"/>
  <c r="GM82" i="2" s="1"/>
  <c r="GM83" i="2" s="1"/>
  <c r="GM84" i="2" s="1"/>
  <c r="GM85" i="2" s="1"/>
  <c r="GM86" i="2" s="1"/>
  <c r="GM87" i="2" s="1"/>
  <c r="GM88" i="2" s="1"/>
  <c r="GM89" i="2" s="1"/>
  <c r="GM90" i="2" s="1"/>
  <c r="GM91" i="2" s="1"/>
  <c r="GM92" i="2" s="1"/>
  <c r="GM93" i="2" s="1"/>
  <c r="GM94" i="2" s="1"/>
  <c r="GM95" i="2" s="1"/>
  <c r="GM96" i="2" s="1"/>
  <c r="GM97" i="2" s="1"/>
  <c r="GM98" i="2" s="1"/>
  <c r="GM99" i="2" s="1"/>
  <c r="GM100" i="2" s="1"/>
  <c r="GM101" i="2" s="1"/>
  <c r="GM102" i="2" s="1"/>
  <c r="GM103" i="2" s="1"/>
  <c r="GM104" i="2" s="1"/>
  <c r="GM105" i="2" s="1"/>
  <c r="GM106" i="2" s="1"/>
  <c r="GM107" i="2" s="1"/>
  <c r="GM108" i="2" s="1"/>
  <c r="GM109" i="2" s="1"/>
  <c r="GM110" i="2" s="1"/>
  <c r="GM111" i="2" s="1"/>
  <c r="GM112" i="2" s="1"/>
  <c r="GM113" i="2" s="1"/>
  <c r="GM114" i="2" s="1"/>
  <c r="GM115" i="2" s="1"/>
  <c r="GM116" i="2" s="1"/>
  <c r="GM117" i="2" s="1"/>
  <c r="GM118" i="2" s="1"/>
  <c r="GM119" i="2" s="1"/>
  <c r="GM120" i="2" s="1"/>
  <c r="GM121" i="2" s="1"/>
  <c r="GM122" i="2" s="1"/>
  <c r="GM123" i="2" s="1"/>
  <c r="GM124" i="2" s="1"/>
  <c r="GM125" i="2" s="1"/>
  <c r="GM126" i="2" s="1"/>
  <c r="GM127" i="2" s="1"/>
  <c r="GM128" i="2" s="1"/>
  <c r="GM129" i="2" s="1"/>
  <c r="GM130" i="2" s="1"/>
  <c r="GM131" i="2" s="1"/>
  <c r="GM132" i="2" s="1"/>
  <c r="GM133" i="2" s="1"/>
  <c r="GM134" i="2" s="1"/>
  <c r="GM135" i="2" s="1"/>
  <c r="GM136" i="2" s="1"/>
  <c r="GM137" i="2" s="1"/>
  <c r="GM138" i="2" s="1"/>
  <c r="GM139" i="2" s="1"/>
  <c r="GM140" i="2" s="1"/>
  <c r="GM141" i="2" s="1"/>
  <c r="GM142" i="2" s="1"/>
  <c r="GM143" i="2" s="1"/>
  <c r="GM144" i="2" s="1"/>
  <c r="GM145" i="2" s="1"/>
  <c r="GM146" i="2" s="1"/>
  <c r="GM147" i="2" s="1"/>
  <c r="GM148" i="2" s="1"/>
  <c r="GM149" i="2" s="1"/>
  <c r="GM150" i="2" s="1"/>
  <c r="GM151" i="2" s="1"/>
  <c r="GM152" i="2" s="1"/>
  <c r="GM153" i="2" s="1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GN5" i="2"/>
  <c r="GN6" i="2"/>
  <c r="GN7" i="2" s="1"/>
  <c r="GN8" i="2" s="1"/>
  <c r="GN9" i="2" s="1"/>
  <c r="GN10" i="2" s="1"/>
  <c r="GN11" i="2" s="1"/>
  <c r="GN12" i="2" s="1"/>
  <c r="GN13" i="2" s="1"/>
  <c r="GN14" i="2" s="1"/>
  <c r="GN15" i="2" s="1"/>
  <c r="GN16" i="2" s="1"/>
  <c r="GN17" i="2" s="1"/>
  <c r="GN18" i="2" s="1"/>
  <c r="GN19" i="2" s="1"/>
  <c r="GN20" i="2" s="1"/>
  <c r="GN21" i="2" s="1"/>
  <c r="GN22" i="2" s="1"/>
  <c r="GN23" i="2" s="1"/>
  <c r="GN24" i="2" s="1"/>
  <c r="GN25" i="2" s="1"/>
  <c r="GN26" i="2" s="1"/>
  <c r="GN27" i="2" s="1"/>
  <c r="GN28" i="2" s="1"/>
  <c r="GN29" i="2" s="1"/>
  <c r="GN30" i="2" s="1"/>
  <c r="GN31" i="2" s="1"/>
  <c r="GN32" i="2" s="1"/>
  <c r="GN33" i="2" s="1"/>
  <c r="GN34" i="2" s="1"/>
  <c r="GN35" i="2" s="1"/>
  <c r="GN36" i="2" s="1"/>
  <c r="GN37" i="2" s="1"/>
  <c r="GN38" i="2" s="1"/>
  <c r="GN39" i="2" s="1"/>
  <c r="GN40" i="2" s="1"/>
  <c r="GN41" i="2" s="1"/>
  <c r="GN42" i="2" s="1"/>
  <c r="GN43" i="2" s="1"/>
  <c r="GN44" i="2" s="1"/>
  <c r="GN45" i="2" s="1"/>
  <c r="GN46" i="2" s="1"/>
  <c r="GN47" i="2" s="1"/>
  <c r="GN48" i="2" s="1"/>
  <c r="GN49" i="2" s="1"/>
  <c r="GN50" i="2" s="1"/>
  <c r="GN51" i="2" s="1"/>
  <c r="GN52" i="2" s="1"/>
  <c r="GN53" i="2" s="1"/>
  <c r="GN54" i="2" s="1"/>
  <c r="GN55" i="2" s="1"/>
  <c r="GN56" i="2" s="1"/>
  <c r="GN57" i="2" s="1"/>
  <c r="GN58" i="2" s="1"/>
  <c r="GN59" i="2" s="1"/>
  <c r="GN60" i="2" s="1"/>
  <c r="GN61" i="2" s="1"/>
  <c r="GN62" i="2" s="1"/>
  <c r="GN63" i="2" s="1"/>
  <c r="GN64" i="2" s="1"/>
  <c r="GN65" i="2" s="1"/>
  <c r="GN66" i="2" s="1"/>
  <c r="GN67" i="2" s="1"/>
  <c r="GN68" i="2" s="1"/>
  <c r="GN69" i="2" s="1"/>
  <c r="GN70" i="2" s="1"/>
  <c r="GN71" i="2" s="1"/>
  <c r="GN72" i="2" s="1"/>
  <c r="GN73" i="2" s="1"/>
  <c r="GN74" i="2" s="1"/>
  <c r="GN75" i="2" s="1"/>
  <c r="GN76" i="2" s="1"/>
  <c r="GN77" i="2" s="1"/>
  <c r="GN78" i="2" s="1"/>
  <c r="GN79" i="2" s="1"/>
  <c r="GN80" i="2" s="1"/>
  <c r="GN81" i="2" s="1"/>
  <c r="GN82" i="2" s="1"/>
  <c r="GN83" i="2" s="1"/>
  <c r="GN84" i="2" s="1"/>
  <c r="GN85" i="2" s="1"/>
  <c r="GN86" i="2" s="1"/>
  <c r="GN87" i="2" s="1"/>
  <c r="GN88" i="2" s="1"/>
  <c r="GN89" i="2" s="1"/>
  <c r="GN90" i="2" s="1"/>
  <c r="GN91" i="2" s="1"/>
  <c r="GN92" i="2" s="1"/>
  <c r="GN93" i="2" s="1"/>
  <c r="GN94" i="2" s="1"/>
  <c r="GN95" i="2" s="1"/>
  <c r="GN96" i="2" s="1"/>
  <c r="GN97" i="2" s="1"/>
  <c r="GN98" i="2" s="1"/>
  <c r="GN99" i="2" s="1"/>
  <c r="GN100" i="2" s="1"/>
  <c r="GN101" i="2" s="1"/>
  <c r="GN102" i="2" s="1"/>
  <c r="GN103" i="2" s="1"/>
  <c r="GN104" i="2" s="1"/>
  <c r="GN105" i="2" s="1"/>
  <c r="GN106" i="2" s="1"/>
  <c r="GN107" i="2" s="1"/>
  <c r="GN108" i="2" s="1"/>
  <c r="GN109" i="2" s="1"/>
  <c r="GN110" i="2" s="1"/>
  <c r="GN111" i="2" s="1"/>
  <c r="GN112" i="2" s="1"/>
  <c r="GN113" i="2" s="1"/>
  <c r="GN114" i="2" s="1"/>
  <c r="GN115" i="2" s="1"/>
  <c r="GN116" i="2" s="1"/>
  <c r="GN117" i="2" s="1"/>
  <c r="GN118" i="2" s="1"/>
  <c r="GN119" i="2" s="1"/>
  <c r="GN120" i="2" s="1"/>
  <c r="GN121" i="2" s="1"/>
  <c r="GN122" i="2" s="1"/>
  <c r="GN123" i="2" s="1"/>
  <c r="GN124" i="2" s="1"/>
  <c r="GN125" i="2" s="1"/>
  <c r="GN126" i="2" s="1"/>
  <c r="GN127" i="2" s="1"/>
  <c r="GN128" i="2" s="1"/>
  <c r="GN129" i="2" s="1"/>
  <c r="GN130" i="2" s="1"/>
  <c r="GN131" i="2" s="1"/>
  <c r="GN132" i="2" s="1"/>
  <c r="GN133" i="2" s="1"/>
  <c r="GN134" i="2" s="1"/>
  <c r="GN135" i="2" s="1"/>
  <c r="GN136" i="2" s="1"/>
  <c r="GN137" i="2" s="1"/>
  <c r="GN138" i="2" s="1"/>
  <c r="GN139" i="2" s="1"/>
  <c r="GN140" i="2" s="1"/>
  <c r="GN141" i="2" s="1"/>
  <c r="GN142" i="2" s="1"/>
  <c r="GN143" i="2" s="1"/>
  <c r="GN144" i="2" s="1"/>
  <c r="GN145" i="2" s="1"/>
  <c r="GN146" i="2" s="1"/>
  <c r="GN147" i="2" s="1"/>
  <c r="GN148" i="2" s="1"/>
  <c r="GN149" i="2" s="1"/>
  <c r="GN150" i="2" s="1"/>
  <c r="GN151" i="2" s="1"/>
  <c r="GN152" i="2" s="1"/>
  <c r="GN153" i="2" s="1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N4" i="2"/>
  <c r="GM4" i="2"/>
  <c r="GL4" i="2"/>
  <c r="FQ5" i="2"/>
  <c r="FQ6" i="2" s="1"/>
  <c r="FQ7" i="2" s="1"/>
  <c r="FQ8" i="2" s="1"/>
  <c r="FQ9" i="2" s="1"/>
  <c r="FQ10" i="2" s="1"/>
  <c r="FQ11" i="2" s="1"/>
  <c r="FQ12" i="2" s="1"/>
  <c r="FQ13" i="2" s="1"/>
  <c r="FQ14" i="2" s="1"/>
  <c r="FQ15" i="2" s="1"/>
  <c r="FQ16" i="2" s="1"/>
  <c r="FQ17" i="2" s="1"/>
  <c r="FQ18" i="2" s="1"/>
  <c r="FQ19" i="2" s="1"/>
  <c r="FQ20" i="2" s="1"/>
  <c r="FQ21" i="2" s="1"/>
  <c r="FQ22" i="2" s="1"/>
  <c r="FQ23" i="2" s="1"/>
  <c r="FQ24" i="2" s="1"/>
  <c r="FQ25" i="2" s="1"/>
  <c r="FQ26" i="2" s="1"/>
  <c r="FQ27" i="2" s="1"/>
  <c r="FQ28" i="2" s="1"/>
  <c r="FQ29" i="2" s="1"/>
  <c r="FQ30" i="2" s="1"/>
  <c r="FQ31" i="2" s="1"/>
  <c r="FQ32" i="2" s="1"/>
  <c r="FQ33" i="2" s="1"/>
  <c r="FQ34" i="2" s="1"/>
  <c r="FQ35" i="2" s="1"/>
  <c r="FQ36" i="2" s="1"/>
  <c r="FQ37" i="2" s="1"/>
  <c r="FQ38" i="2" s="1"/>
  <c r="FQ39" i="2" s="1"/>
  <c r="FQ40" i="2" s="1"/>
  <c r="FQ41" i="2" s="1"/>
  <c r="FQ42" i="2" s="1"/>
  <c r="FQ43" i="2" s="1"/>
  <c r="FQ44" i="2" s="1"/>
  <c r="FQ45" i="2" s="1"/>
  <c r="FQ46" i="2" s="1"/>
  <c r="FQ47" i="2" s="1"/>
  <c r="FQ48" i="2" s="1"/>
  <c r="FQ49" i="2" s="1"/>
  <c r="FQ50" i="2" s="1"/>
  <c r="FQ51" i="2" s="1"/>
  <c r="FQ52" i="2" s="1"/>
  <c r="FQ53" i="2" s="1"/>
  <c r="FQ54" i="2" s="1"/>
  <c r="FQ55" i="2" s="1"/>
  <c r="FQ56" i="2" s="1"/>
  <c r="FQ57" i="2" s="1"/>
  <c r="FQ58" i="2" s="1"/>
  <c r="FQ59" i="2" s="1"/>
  <c r="FQ60" i="2" s="1"/>
  <c r="FQ61" i="2" s="1"/>
  <c r="FQ62" i="2" s="1"/>
  <c r="FQ63" i="2" s="1"/>
  <c r="FQ64" i="2" s="1"/>
  <c r="FQ65" i="2" s="1"/>
  <c r="FQ66" i="2" s="1"/>
  <c r="FQ67" i="2" s="1"/>
  <c r="FQ68" i="2" s="1"/>
  <c r="FQ69" i="2" s="1"/>
  <c r="FQ70" i="2" s="1"/>
  <c r="FQ71" i="2" s="1"/>
  <c r="FQ72" i="2" s="1"/>
  <c r="FQ73" i="2" s="1"/>
  <c r="FQ74" i="2" s="1"/>
  <c r="FQ75" i="2" s="1"/>
  <c r="FQ76" i="2" s="1"/>
  <c r="FQ77" i="2" s="1"/>
  <c r="FQ78" i="2" s="1"/>
  <c r="FQ79" i="2" s="1"/>
  <c r="FQ80" i="2" s="1"/>
  <c r="FQ81" i="2" s="1"/>
  <c r="FQ82" i="2" s="1"/>
  <c r="FQ83" i="2" s="1"/>
  <c r="FQ84" i="2" s="1"/>
  <c r="FQ85" i="2" s="1"/>
  <c r="FQ86" i="2" s="1"/>
  <c r="FQ87" i="2" s="1"/>
  <c r="FQ88" i="2" s="1"/>
  <c r="FQ89" i="2" s="1"/>
  <c r="FQ90" i="2" s="1"/>
  <c r="FQ91" i="2" s="1"/>
  <c r="FQ92" i="2" s="1"/>
  <c r="FQ93" i="2" s="1"/>
  <c r="FQ94" i="2" s="1"/>
  <c r="FQ95" i="2" s="1"/>
  <c r="FQ96" i="2" s="1"/>
  <c r="FQ97" i="2" s="1"/>
  <c r="FQ98" i="2" s="1"/>
  <c r="FQ99" i="2" s="1"/>
  <c r="FQ100" i="2" s="1"/>
  <c r="FQ101" i="2" s="1"/>
  <c r="FQ102" i="2" s="1"/>
  <c r="FQ103" i="2" s="1"/>
  <c r="FQ104" i="2" s="1"/>
  <c r="FQ105" i="2" s="1"/>
  <c r="FQ106" i="2" s="1"/>
  <c r="FQ107" i="2" s="1"/>
  <c r="FQ108" i="2" s="1"/>
  <c r="FQ109" i="2" s="1"/>
  <c r="FQ110" i="2" s="1"/>
  <c r="FQ111" i="2" s="1"/>
  <c r="FQ112" i="2" s="1"/>
  <c r="FQ113" i="2" s="1"/>
  <c r="FQ114" i="2" s="1"/>
  <c r="FQ115" i="2" s="1"/>
  <c r="FQ116" i="2" s="1"/>
  <c r="FQ117" i="2" s="1"/>
  <c r="FQ118" i="2" s="1"/>
  <c r="FQ119" i="2" s="1"/>
  <c r="FQ120" i="2" s="1"/>
  <c r="FQ121" i="2" s="1"/>
  <c r="FQ122" i="2" s="1"/>
  <c r="FQ123" i="2" s="1"/>
  <c r="FQ124" i="2" s="1"/>
  <c r="FQ125" i="2" s="1"/>
  <c r="FQ126" i="2" s="1"/>
  <c r="FQ127" i="2" s="1"/>
  <c r="FQ128" i="2" s="1"/>
  <c r="FQ129" i="2" s="1"/>
  <c r="FQ130" i="2" s="1"/>
  <c r="FQ131" i="2" s="1"/>
  <c r="FQ132" i="2" s="1"/>
  <c r="FQ133" i="2" s="1"/>
  <c r="FQ134" i="2" s="1"/>
  <c r="FQ135" i="2" s="1"/>
  <c r="FQ136" i="2" s="1"/>
  <c r="FQ137" i="2" s="1"/>
  <c r="FQ138" i="2" s="1"/>
  <c r="FQ139" i="2" s="1"/>
  <c r="FQ140" i="2" s="1"/>
  <c r="FQ141" i="2" s="1"/>
  <c r="FQ142" i="2" s="1"/>
  <c r="FQ143" i="2" s="1"/>
  <c r="FQ144" i="2" s="1"/>
  <c r="FQ145" i="2" s="1"/>
  <c r="FQ146" i="2" s="1"/>
  <c r="FQ147" i="2" s="1"/>
  <c r="FQ148" i="2" s="1"/>
  <c r="FQ149" i="2" s="1"/>
  <c r="FQ150" i="2" s="1"/>
  <c r="FQ151" i="2" s="1"/>
  <c r="FQ152" i="2" s="1"/>
  <c r="FQ153" i="2" s="1"/>
  <c r="FQ154" i="2" s="1"/>
  <c r="FQ155" i="2" s="1"/>
  <c r="FQ156" i="2" s="1"/>
  <c r="FQ157" i="2" s="1"/>
  <c r="FQ158" i="2" s="1"/>
  <c r="FQ159" i="2" s="1"/>
  <c r="FQ160" i="2" s="1"/>
  <c r="FQ161" i="2" s="1"/>
  <c r="FQ162" i="2" s="1"/>
  <c r="FQ163" i="2" s="1"/>
  <c r="FQ164" i="2" s="1"/>
  <c r="FQ165" i="2" s="1"/>
  <c r="FQ166" i="2" s="1"/>
  <c r="FQ167" i="2" s="1"/>
  <c r="FQ168" i="2" s="1"/>
  <c r="FQ169" i="2" s="1"/>
  <c r="FQ170" i="2" s="1"/>
  <c r="FQ171" i="2" s="1"/>
  <c r="FQ172" i="2" s="1"/>
  <c r="FQ173" i="2" s="1"/>
  <c r="FQ174" i="2" s="1"/>
  <c r="FQ175" i="2" s="1"/>
  <c r="FQ176" i="2" s="1"/>
  <c r="FQ177" i="2" s="1"/>
  <c r="FQ178" i="2" s="1"/>
  <c r="FQ179" i="2" s="1"/>
  <c r="FQ180" i="2" s="1"/>
  <c r="FQ181" i="2" s="1"/>
  <c r="FQ182" i="2" s="1"/>
  <c r="FQ183" i="2" s="1"/>
  <c r="FQ184" i="2" s="1"/>
  <c r="FQ185" i="2" s="1"/>
  <c r="FQ186" i="2" s="1"/>
  <c r="FQ187" i="2" s="1"/>
  <c r="FQ188" i="2" s="1"/>
  <c r="FQ189" i="2" s="1"/>
  <c r="FQ190" i="2" s="1"/>
  <c r="FQ191" i="2" s="1"/>
  <c r="FQ192" i="2" s="1"/>
  <c r="FQ193" i="2" s="1"/>
  <c r="FQ194" i="2" s="1"/>
  <c r="FQ195" i="2" s="1"/>
  <c r="FQ196" i="2" s="1"/>
  <c r="FQ197" i="2" s="1"/>
  <c r="FQ198" i="2" s="1"/>
  <c r="FQ199" i="2" s="1"/>
  <c r="FQ200" i="2" s="1"/>
  <c r="FQ201" i="2" s="1"/>
  <c r="FQ202" i="2" s="1"/>
  <c r="FQ203" i="2" s="1"/>
  <c r="FR5" i="2"/>
  <c r="FR6" i="2" s="1"/>
  <c r="FR7" i="2" s="1"/>
  <c r="FR8" i="2" s="1"/>
  <c r="FR9" i="2" s="1"/>
  <c r="FR10" i="2" s="1"/>
  <c r="FR11" i="2" s="1"/>
  <c r="FR12" i="2" s="1"/>
  <c r="FR13" i="2" s="1"/>
  <c r="FR14" i="2" s="1"/>
  <c r="FR15" i="2" s="1"/>
  <c r="FR16" i="2" s="1"/>
  <c r="FR17" i="2" s="1"/>
  <c r="FR18" i="2" s="1"/>
  <c r="FR19" i="2" s="1"/>
  <c r="FR20" i="2" s="1"/>
  <c r="FR21" i="2" s="1"/>
  <c r="FR22" i="2" s="1"/>
  <c r="FR23" i="2" s="1"/>
  <c r="FR24" i="2" s="1"/>
  <c r="FR25" i="2" s="1"/>
  <c r="FR26" i="2" s="1"/>
  <c r="FR27" i="2" s="1"/>
  <c r="FR28" i="2" s="1"/>
  <c r="FR29" i="2" s="1"/>
  <c r="FR30" i="2" s="1"/>
  <c r="FR31" i="2" s="1"/>
  <c r="FR32" i="2" s="1"/>
  <c r="FR33" i="2" s="1"/>
  <c r="FR34" i="2" s="1"/>
  <c r="FR35" i="2" s="1"/>
  <c r="FR36" i="2" s="1"/>
  <c r="FR37" i="2" s="1"/>
  <c r="FR38" i="2" s="1"/>
  <c r="FR39" i="2" s="1"/>
  <c r="FR40" i="2" s="1"/>
  <c r="FR41" i="2" s="1"/>
  <c r="FR42" i="2" s="1"/>
  <c r="FR43" i="2" s="1"/>
  <c r="FR44" i="2" s="1"/>
  <c r="FR45" i="2" s="1"/>
  <c r="FR46" i="2" s="1"/>
  <c r="FR47" i="2" s="1"/>
  <c r="FR48" i="2" s="1"/>
  <c r="FR49" i="2" s="1"/>
  <c r="FR50" i="2" s="1"/>
  <c r="FR51" i="2" s="1"/>
  <c r="FR52" i="2" s="1"/>
  <c r="FR53" i="2" s="1"/>
  <c r="FR54" i="2" s="1"/>
  <c r="FR55" i="2" s="1"/>
  <c r="FR56" i="2" s="1"/>
  <c r="FR57" i="2" s="1"/>
  <c r="FR58" i="2" s="1"/>
  <c r="FR59" i="2" s="1"/>
  <c r="FR60" i="2" s="1"/>
  <c r="FR61" i="2" s="1"/>
  <c r="FR62" i="2" s="1"/>
  <c r="FR63" i="2" s="1"/>
  <c r="FR64" i="2" s="1"/>
  <c r="FR65" i="2" s="1"/>
  <c r="FR66" i="2" s="1"/>
  <c r="FR67" i="2" s="1"/>
  <c r="FR68" i="2" s="1"/>
  <c r="FR69" i="2" s="1"/>
  <c r="FR70" i="2" s="1"/>
  <c r="FR71" i="2" s="1"/>
  <c r="FR72" i="2" s="1"/>
  <c r="FR73" i="2" s="1"/>
  <c r="FR74" i="2" s="1"/>
  <c r="FR75" i="2" s="1"/>
  <c r="FR76" i="2" s="1"/>
  <c r="FR77" i="2" s="1"/>
  <c r="FR78" i="2" s="1"/>
  <c r="FR79" i="2" s="1"/>
  <c r="FR80" i="2" s="1"/>
  <c r="FR81" i="2" s="1"/>
  <c r="FR82" i="2" s="1"/>
  <c r="FR83" i="2" s="1"/>
  <c r="FR84" i="2" s="1"/>
  <c r="FR85" i="2" s="1"/>
  <c r="FR86" i="2" s="1"/>
  <c r="FR87" i="2" s="1"/>
  <c r="FR88" i="2" s="1"/>
  <c r="FR89" i="2" s="1"/>
  <c r="FR90" i="2" s="1"/>
  <c r="FR91" i="2" s="1"/>
  <c r="FR92" i="2" s="1"/>
  <c r="FR93" i="2" s="1"/>
  <c r="FR94" i="2" s="1"/>
  <c r="FR95" i="2" s="1"/>
  <c r="FR96" i="2" s="1"/>
  <c r="FR97" i="2" s="1"/>
  <c r="FR98" i="2" s="1"/>
  <c r="FR99" i="2" s="1"/>
  <c r="FR100" i="2" s="1"/>
  <c r="FR101" i="2" s="1"/>
  <c r="FR102" i="2" s="1"/>
  <c r="FR103" i="2" s="1"/>
  <c r="FR104" i="2" s="1"/>
  <c r="FR105" i="2" s="1"/>
  <c r="FR106" i="2" s="1"/>
  <c r="FR107" i="2" s="1"/>
  <c r="FR108" i="2" s="1"/>
  <c r="FR109" i="2" s="1"/>
  <c r="FR110" i="2" s="1"/>
  <c r="FR111" i="2" s="1"/>
  <c r="FR112" i="2" s="1"/>
  <c r="FR113" i="2" s="1"/>
  <c r="FR114" i="2" s="1"/>
  <c r="FR115" i="2" s="1"/>
  <c r="FR116" i="2" s="1"/>
  <c r="FR117" i="2" s="1"/>
  <c r="FR118" i="2" s="1"/>
  <c r="FR119" i="2" s="1"/>
  <c r="FR120" i="2" s="1"/>
  <c r="FR121" i="2" s="1"/>
  <c r="FR122" i="2" s="1"/>
  <c r="FR123" i="2" s="1"/>
  <c r="FR124" i="2" s="1"/>
  <c r="FR125" i="2" s="1"/>
  <c r="FR126" i="2" s="1"/>
  <c r="FR127" i="2" s="1"/>
  <c r="FR128" i="2" s="1"/>
  <c r="FR129" i="2" s="1"/>
  <c r="FR130" i="2" s="1"/>
  <c r="FR131" i="2" s="1"/>
  <c r="FR132" i="2" s="1"/>
  <c r="FR133" i="2" s="1"/>
  <c r="FR134" i="2" s="1"/>
  <c r="FR135" i="2" s="1"/>
  <c r="FR136" i="2" s="1"/>
  <c r="FR137" i="2" s="1"/>
  <c r="FR138" i="2" s="1"/>
  <c r="FR139" i="2" s="1"/>
  <c r="FR140" i="2" s="1"/>
  <c r="FR141" i="2" s="1"/>
  <c r="FR142" i="2" s="1"/>
  <c r="FR143" i="2" s="1"/>
  <c r="FR144" i="2" s="1"/>
  <c r="FR145" i="2" s="1"/>
  <c r="FR146" i="2" s="1"/>
  <c r="FR147" i="2" s="1"/>
  <c r="FR148" i="2" s="1"/>
  <c r="FR149" i="2" s="1"/>
  <c r="FR150" i="2" s="1"/>
  <c r="FR151" i="2" s="1"/>
  <c r="FR152" i="2" s="1"/>
  <c r="FR153" i="2" s="1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FS5" i="2"/>
  <c r="FS6" i="2"/>
  <c r="FS7" i="2" s="1"/>
  <c r="FS8" i="2" s="1"/>
  <c r="FS9" i="2" s="1"/>
  <c r="FS10" i="2" s="1"/>
  <c r="FS11" i="2" s="1"/>
  <c r="FS12" i="2" s="1"/>
  <c r="FS13" i="2" s="1"/>
  <c r="FS14" i="2" s="1"/>
  <c r="FS15" i="2" s="1"/>
  <c r="FS16" i="2" s="1"/>
  <c r="FS17" i="2" s="1"/>
  <c r="FS18" i="2" s="1"/>
  <c r="FS19" i="2" s="1"/>
  <c r="FS20" i="2" s="1"/>
  <c r="FS21" i="2" s="1"/>
  <c r="FS22" i="2" s="1"/>
  <c r="FS23" i="2" s="1"/>
  <c r="FS24" i="2" s="1"/>
  <c r="FS25" i="2" s="1"/>
  <c r="FS26" i="2" s="1"/>
  <c r="FS27" i="2" s="1"/>
  <c r="FS28" i="2" s="1"/>
  <c r="FS29" i="2" s="1"/>
  <c r="FS30" i="2" s="1"/>
  <c r="FS31" i="2" s="1"/>
  <c r="FS32" i="2" s="1"/>
  <c r="FS33" i="2" s="1"/>
  <c r="FS34" i="2" s="1"/>
  <c r="FS35" i="2" s="1"/>
  <c r="FS36" i="2" s="1"/>
  <c r="FS37" i="2" s="1"/>
  <c r="FS38" i="2" s="1"/>
  <c r="FS39" i="2" s="1"/>
  <c r="FS40" i="2" s="1"/>
  <c r="FS41" i="2" s="1"/>
  <c r="FS42" i="2" s="1"/>
  <c r="FS43" i="2" s="1"/>
  <c r="FS44" i="2" s="1"/>
  <c r="FS45" i="2" s="1"/>
  <c r="FS46" i="2" s="1"/>
  <c r="FS47" i="2" s="1"/>
  <c r="FS48" i="2" s="1"/>
  <c r="FS49" i="2" s="1"/>
  <c r="FS50" i="2" s="1"/>
  <c r="FS51" i="2" s="1"/>
  <c r="FS52" i="2" s="1"/>
  <c r="FS53" i="2" s="1"/>
  <c r="FS54" i="2" s="1"/>
  <c r="FS55" i="2" s="1"/>
  <c r="FS56" i="2" s="1"/>
  <c r="FS57" i="2" s="1"/>
  <c r="FS58" i="2" s="1"/>
  <c r="FS59" i="2" s="1"/>
  <c r="FS60" i="2" s="1"/>
  <c r="FS61" i="2" s="1"/>
  <c r="FS62" i="2" s="1"/>
  <c r="FS63" i="2" s="1"/>
  <c r="FS64" i="2" s="1"/>
  <c r="FS65" i="2" s="1"/>
  <c r="FS66" i="2" s="1"/>
  <c r="FS67" i="2" s="1"/>
  <c r="FS68" i="2" s="1"/>
  <c r="FS69" i="2" s="1"/>
  <c r="FS70" i="2" s="1"/>
  <c r="FS71" i="2" s="1"/>
  <c r="FS72" i="2" s="1"/>
  <c r="FS73" i="2" s="1"/>
  <c r="FS74" i="2" s="1"/>
  <c r="FS75" i="2" s="1"/>
  <c r="FS76" i="2" s="1"/>
  <c r="FS77" i="2" s="1"/>
  <c r="FS78" i="2" s="1"/>
  <c r="FS79" i="2" s="1"/>
  <c r="FS80" i="2" s="1"/>
  <c r="FS81" i="2" s="1"/>
  <c r="FS82" i="2" s="1"/>
  <c r="FS83" i="2" s="1"/>
  <c r="FS84" i="2" s="1"/>
  <c r="FS85" i="2" s="1"/>
  <c r="FS86" i="2" s="1"/>
  <c r="FS87" i="2" s="1"/>
  <c r="FS88" i="2" s="1"/>
  <c r="FS89" i="2" s="1"/>
  <c r="FS90" i="2" s="1"/>
  <c r="FS91" i="2" s="1"/>
  <c r="FS92" i="2" s="1"/>
  <c r="FS93" i="2" s="1"/>
  <c r="FS94" i="2" s="1"/>
  <c r="FS95" i="2" s="1"/>
  <c r="FS96" i="2" s="1"/>
  <c r="FS97" i="2" s="1"/>
  <c r="FS98" i="2" s="1"/>
  <c r="FS99" i="2" s="1"/>
  <c r="FS100" i="2" s="1"/>
  <c r="FS101" i="2" s="1"/>
  <c r="FS102" i="2" s="1"/>
  <c r="FS103" i="2" s="1"/>
  <c r="FS104" i="2" s="1"/>
  <c r="FS105" i="2" s="1"/>
  <c r="FS106" i="2" s="1"/>
  <c r="FS107" i="2" s="1"/>
  <c r="FS108" i="2" s="1"/>
  <c r="FS109" i="2" s="1"/>
  <c r="FS110" i="2" s="1"/>
  <c r="FS111" i="2" s="1"/>
  <c r="FS112" i="2" s="1"/>
  <c r="FS113" i="2" s="1"/>
  <c r="FS114" i="2" s="1"/>
  <c r="FS115" i="2" s="1"/>
  <c r="FS116" i="2" s="1"/>
  <c r="FS117" i="2" s="1"/>
  <c r="FS118" i="2" s="1"/>
  <c r="FS119" i="2" s="1"/>
  <c r="FS120" i="2" s="1"/>
  <c r="FS121" i="2" s="1"/>
  <c r="FS122" i="2" s="1"/>
  <c r="FS123" i="2" s="1"/>
  <c r="FS124" i="2" s="1"/>
  <c r="FS125" i="2" s="1"/>
  <c r="FS126" i="2" s="1"/>
  <c r="FS127" i="2" s="1"/>
  <c r="FS128" i="2" s="1"/>
  <c r="FS129" i="2" s="1"/>
  <c r="FS130" i="2" s="1"/>
  <c r="FS131" i="2" s="1"/>
  <c r="FS132" i="2" s="1"/>
  <c r="FS133" i="2" s="1"/>
  <c r="FS134" i="2" s="1"/>
  <c r="FS135" i="2" s="1"/>
  <c r="FS136" i="2" s="1"/>
  <c r="FS137" i="2" s="1"/>
  <c r="FS138" i="2" s="1"/>
  <c r="FS139" i="2" s="1"/>
  <c r="FS140" i="2" s="1"/>
  <c r="FS141" i="2" s="1"/>
  <c r="FS142" i="2" s="1"/>
  <c r="FS143" i="2" s="1"/>
  <c r="FS144" i="2" s="1"/>
  <c r="FS145" i="2" s="1"/>
  <c r="FS146" i="2" s="1"/>
  <c r="FS147" i="2" s="1"/>
  <c r="FS148" i="2" s="1"/>
  <c r="FS149" i="2" s="1"/>
  <c r="FS150" i="2" s="1"/>
  <c r="FS151" i="2" s="1"/>
  <c r="FS152" i="2" s="1"/>
  <c r="FS153" i="2" s="1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FS4" i="2"/>
  <c r="FR4" i="2"/>
  <c r="FQ4" i="2"/>
  <c r="EV5" i="2"/>
  <c r="EV6" i="2" s="1"/>
  <c r="EV7" i="2" s="1"/>
  <c r="EV8" i="2" s="1"/>
  <c r="EV9" i="2" s="1"/>
  <c r="EV10" i="2" s="1"/>
  <c r="EV11" i="2" s="1"/>
  <c r="EV12" i="2" s="1"/>
  <c r="EV13" i="2" s="1"/>
  <c r="EV14" i="2" s="1"/>
  <c r="EV15" i="2" s="1"/>
  <c r="EV16" i="2" s="1"/>
  <c r="EV17" i="2" s="1"/>
  <c r="EV18" i="2" s="1"/>
  <c r="EV19" i="2" s="1"/>
  <c r="EV20" i="2" s="1"/>
  <c r="EV21" i="2" s="1"/>
  <c r="EV22" i="2" s="1"/>
  <c r="EV23" i="2" s="1"/>
  <c r="EV24" i="2" s="1"/>
  <c r="EV25" i="2" s="1"/>
  <c r="EV26" i="2" s="1"/>
  <c r="EV27" i="2" s="1"/>
  <c r="EV28" i="2" s="1"/>
  <c r="EV29" i="2" s="1"/>
  <c r="EV30" i="2" s="1"/>
  <c r="EV31" i="2" s="1"/>
  <c r="EV32" i="2" s="1"/>
  <c r="EV33" i="2" s="1"/>
  <c r="EV34" i="2" s="1"/>
  <c r="EV35" i="2" s="1"/>
  <c r="EV36" i="2" s="1"/>
  <c r="EV37" i="2" s="1"/>
  <c r="EV38" i="2" s="1"/>
  <c r="EV39" i="2" s="1"/>
  <c r="EV40" i="2" s="1"/>
  <c r="EV41" i="2" s="1"/>
  <c r="EV42" i="2" s="1"/>
  <c r="EV43" i="2" s="1"/>
  <c r="EV44" i="2" s="1"/>
  <c r="EV45" i="2" s="1"/>
  <c r="EV46" i="2" s="1"/>
  <c r="EV47" i="2" s="1"/>
  <c r="EV48" i="2" s="1"/>
  <c r="EV49" i="2" s="1"/>
  <c r="EV50" i="2" s="1"/>
  <c r="EV51" i="2" s="1"/>
  <c r="EV52" i="2" s="1"/>
  <c r="EV53" i="2" s="1"/>
  <c r="EV54" i="2" s="1"/>
  <c r="EV55" i="2" s="1"/>
  <c r="EV56" i="2" s="1"/>
  <c r="EV57" i="2" s="1"/>
  <c r="EV58" i="2" s="1"/>
  <c r="EV59" i="2" s="1"/>
  <c r="EV60" i="2" s="1"/>
  <c r="EV61" i="2" s="1"/>
  <c r="EV62" i="2" s="1"/>
  <c r="EV63" i="2" s="1"/>
  <c r="EV64" i="2" s="1"/>
  <c r="EV65" i="2" s="1"/>
  <c r="EV66" i="2" s="1"/>
  <c r="EV67" i="2" s="1"/>
  <c r="EV68" i="2" s="1"/>
  <c r="EV69" i="2" s="1"/>
  <c r="EV70" i="2" s="1"/>
  <c r="EV71" i="2" s="1"/>
  <c r="EV72" i="2" s="1"/>
  <c r="EV73" i="2" s="1"/>
  <c r="EV74" i="2" s="1"/>
  <c r="EV75" i="2" s="1"/>
  <c r="EV76" i="2" s="1"/>
  <c r="EV77" i="2" s="1"/>
  <c r="EV78" i="2" s="1"/>
  <c r="EV79" i="2" s="1"/>
  <c r="EV80" i="2" s="1"/>
  <c r="EV81" i="2" s="1"/>
  <c r="EV82" i="2" s="1"/>
  <c r="EV83" i="2" s="1"/>
  <c r="EV84" i="2" s="1"/>
  <c r="EV85" i="2" s="1"/>
  <c r="EV86" i="2" s="1"/>
  <c r="EV87" i="2" s="1"/>
  <c r="EV88" i="2" s="1"/>
  <c r="EV89" i="2" s="1"/>
  <c r="EV90" i="2" s="1"/>
  <c r="EV91" i="2" s="1"/>
  <c r="EV92" i="2" s="1"/>
  <c r="EV93" i="2" s="1"/>
  <c r="EV94" i="2" s="1"/>
  <c r="EV95" i="2" s="1"/>
  <c r="EV96" i="2" s="1"/>
  <c r="EV97" i="2" s="1"/>
  <c r="EV98" i="2" s="1"/>
  <c r="EV99" i="2" s="1"/>
  <c r="EV100" i="2" s="1"/>
  <c r="EV101" i="2" s="1"/>
  <c r="EV102" i="2" s="1"/>
  <c r="EV103" i="2" s="1"/>
  <c r="EV104" i="2" s="1"/>
  <c r="EV105" i="2" s="1"/>
  <c r="EV106" i="2" s="1"/>
  <c r="EV107" i="2" s="1"/>
  <c r="EV108" i="2" s="1"/>
  <c r="EV109" i="2" s="1"/>
  <c r="EV110" i="2" s="1"/>
  <c r="EV111" i="2" s="1"/>
  <c r="EV112" i="2" s="1"/>
  <c r="EV113" i="2" s="1"/>
  <c r="EV114" i="2" s="1"/>
  <c r="EV115" i="2" s="1"/>
  <c r="EV116" i="2" s="1"/>
  <c r="EV117" i="2" s="1"/>
  <c r="EV118" i="2" s="1"/>
  <c r="EV119" i="2" s="1"/>
  <c r="EV120" i="2" s="1"/>
  <c r="EV121" i="2" s="1"/>
  <c r="EV122" i="2" s="1"/>
  <c r="EV123" i="2" s="1"/>
  <c r="EV124" i="2" s="1"/>
  <c r="EV125" i="2" s="1"/>
  <c r="EV126" i="2" s="1"/>
  <c r="EV127" i="2" s="1"/>
  <c r="EV128" i="2" s="1"/>
  <c r="EV129" i="2" s="1"/>
  <c r="EV130" i="2" s="1"/>
  <c r="EV131" i="2" s="1"/>
  <c r="EV132" i="2" s="1"/>
  <c r="EV133" i="2" s="1"/>
  <c r="EV134" i="2" s="1"/>
  <c r="EV135" i="2" s="1"/>
  <c r="EV136" i="2" s="1"/>
  <c r="EV137" i="2" s="1"/>
  <c r="EV138" i="2" s="1"/>
  <c r="EV139" i="2" s="1"/>
  <c r="EV140" i="2" s="1"/>
  <c r="EV141" i="2" s="1"/>
  <c r="EV142" i="2" s="1"/>
  <c r="EV143" i="2" s="1"/>
  <c r="EV144" i="2" s="1"/>
  <c r="EV145" i="2" s="1"/>
  <c r="EV146" i="2" s="1"/>
  <c r="EV147" i="2" s="1"/>
  <c r="EV148" i="2" s="1"/>
  <c r="EV149" i="2" s="1"/>
  <c r="EV150" i="2" s="1"/>
  <c r="EV151" i="2" s="1"/>
  <c r="EV152" i="2" s="1"/>
  <c r="EV153" i="2" s="1"/>
  <c r="EV154" i="2" s="1"/>
  <c r="EV155" i="2" s="1"/>
  <c r="EV156" i="2" s="1"/>
  <c r="EV157" i="2" s="1"/>
  <c r="EV158" i="2" s="1"/>
  <c r="EV159" i="2" s="1"/>
  <c r="EV160" i="2" s="1"/>
  <c r="EV161" i="2" s="1"/>
  <c r="EV162" i="2" s="1"/>
  <c r="EV163" i="2" s="1"/>
  <c r="EV164" i="2" s="1"/>
  <c r="EV165" i="2" s="1"/>
  <c r="EV166" i="2" s="1"/>
  <c r="EV167" i="2" s="1"/>
  <c r="EV168" i="2" s="1"/>
  <c r="EV169" i="2" s="1"/>
  <c r="EV170" i="2" s="1"/>
  <c r="EV171" i="2" s="1"/>
  <c r="EV172" i="2" s="1"/>
  <c r="EV173" i="2" s="1"/>
  <c r="EV174" i="2" s="1"/>
  <c r="EV175" i="2" s="1"/>
  <c r="EV176" i="2" s="1"/>
  <c r="EV177" i="2" s="1"/>
  <c r="EV178" i="2" s="1"/>
  <c r="EV179" i="2" s="1"/>
  <c r="EV180" i="2" s="1"/>
  <c r="EV181" i="2" s="1"/>
  <c r="EV182" i="2" s="1"/>
  <c r="EV183" i="2" s="1"/>
  <c r="EV184" i="2" s="1"/>
  <c r="EV185" i="2" s="1"/>
  <c r="EV186" i="2" s="1"/>
  <c r="EV187" i="2" s="1"/>
  <c r="EV188" i="2" s="1"/>
  <c r="EV189" i="2" s="1"/>
  <c r="EV190" i="2" s="1"/>
  <c r="EV191" i="2" s="1"/>
  <c r="EV192" i="2" s="1"/>
  <c r="EV193" i="2" s="1"/>
  <c r="EV194" i="2" s="1"/>
  <c r="EV195" i="2" s="1"/>
  <c r="EV196" i="2" s="1"/>
  <c r="EV197" i="2" s="1"/>
  <c r="EV198" i="2" s="1"/>
  <c r="EV199" i="2" s="1"/>
  <c r="EV200" i="2" s="1"/>
  <c r="EV201" i="2" s="1"/>
  <c r="EV202" i="2" s="1"/>
  <c r="EV203" i="2" s="1"/>
  <c r="EW5" i="2"/>
  <c r="EW6" i="2" s="1"/>
  <c r="EW7" i="2" s="1"/>
  <c r="EW8" i="2" s="1"/>
  <c r="EW9" i="2" s="1"/>
  <c r="EW10" i="2" s="1"/>
  <c r="EW11" i="2" s="1"/>
  <c r="EX5" i="2"/>
  <c r="EX6" i="2"/>
  <c r="EX7" i="2" s="1"/>
  <c r="EX8" i="2" s="1"/>
  <c r="EX9" i="2" s="1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EX66" i="2" s="1"/>
  <c r="EX67" i="2" s="1"/>
  <c r="EX68" i="2" s="1"/>
  <c r="EX69" i="2" s="1"/>
  <c r="EX70" i="2" s="1"/>
  <c r="EX71" i="2" s="1"/>
  <c r="EX72" i="2" s="1"/>
  <c r="EX73" i="2" s="1"/>
  <c r="EX74" i="2" s="1"/>
  <c r="EX75" i="2" s="1"/>
  <c r="EX76" i="2" s="1"/>
  <c r="EX77" i="2" s="1"/>
  <c r="EX78" i="2" s="1"/>
  <c r="EX79" i="2" s="1"/>
  <c r="EX80" i="2" s="1"/>
  <c r="EX81" i="2" s="1"/>
  <c r="EX82" i="2" s="1"/>
  <c r="EX83" i="2" s="1"/>
  <c r="EX84" i="2" s="1"/>
  <c r="EX85" i="2" s="1"/>
  <c r="EX86" i="2" s="1"/>
  <c r="EX87" i="2" s="1"/>
  <c r="EX88" i="2" s="1"/>
  <c r="EX89" i="2" s="1"/>
  <c r="EX90" i="2" s="1"/>
  <c r="EX91" i="2" s="1"/>
  <c r="EX92" i="2" s="1"/>
  <c r="EX93" i="2" s="1"/>
  <c r="EX94" i="2" s="1"/>
  <c r="EX95" i="2" s="1"/>
  <c r="EX96" i="2" s="1"/>
  <c r="EX97" i="2" s="1"/>
  <c r="EX98" i="2" s="1"/>
  <c r="EX99" i="2" s="1"/>
  <c r="EX100" i="2" s="1"/>
  <c r="EX101" i="2" s="1"/>
  <c r="EX102" i="2" s="1"/>
  <c r="EX103" i="2" s="1"/>
  <c r="EX104" i="2" s="1"/>
  <c r="EX105" i="2" s="1"/>
  <c r="EX106" i="2" s="1"/>
  <c r="EX107" i="2" s="1"/>
  <c r="EX108" i="2" s="1"/>
  <c r="EX109" i="2" s="1"/>
  <c r="EX110" i="2" s="1"/>
  <c r="EX111" i="2" s="1"/>
  <c r="EX112" i="2" s="1"/>
  <c r="EX113" i="2" s="1"/>
  <c r="EX114" i="2" s="1"/>
  <c r="EX115" i="2" s="1"/>
  <c r="EX116" i="2" s="1"/>
  <c r="EX117" i="2" s="1"/>
  <c r="EX118" i="2" s="1"/>
  <c r="EX119" i="2" s="1"/>
  <c r="EX120" i="2" s="1"/>
  <c r="EX121" i="2" s="1"/>
  <c r="EX122" i="2" s="1"/>
  <c r="EX123" i="2" s="1"/>
  <c r="EX124" i="2" s="1"/>
  <c r="EX125" i="2" s="1"/>
  <c r="EX126" i="2" s="1"/>
  <c r="EX127" i="2" s="1"/>
  <c r="EX128" i="2" s="1"/>
  <c r="EX129" i="2" s="1"/>
  <c r="EX130" i="2" s="1"/>
  <c r="EX131" i="2" s="1"/>
  <c r="EX132" i="2" s="1"/>
  <c r="EX133" i="2" s="1"/>
  <c r="EX134" i="2" s="1"/>
  <c r="EX135" i="2" s="1"/>
  <c r="EX136" i="2" s="1"/>
  <c r="EX137" i="2" s="1"/>
  <c r="EX138" i="2" s="1"/>
  <c r="EX139" i="2" s="1"/>
  <c r="EX140" i="2" s="1"/>
  <c r="EX141" i="2" s="1"/>
  <c r="EX142" i="2" s="1"/>
  <c r="EX143" i="2" s="1"/>
  <c r="EX144" i="2" s="1"/>
  <c r="EX145" i="2" s="1"/>
  <c r="EX146" i="2" s="1"/>
  <c r="EX147" i="2" s="1"/>
  <c r="EX148" i="2" s="1"/>
  <c r="EX149" i="2" s="1"/>
  <c r="EX150" i="2" s="1"/>
  <c r="EX151" i="2" s="1"/>
  <c r="EX152" i="2" s="1"/>
  <c r="EX153" i="2" s="1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EW12" i="2"/>
  <c r="EW13" i="2" s="1"/>
  <c r="EW14" i="2" s="1"/>
  <c r="EW15" i="2" s="1"/>
  <c r="EW16" i="2" s="1"/>
  <c r="EW17" i="2" s="1"/>
  <c r="EW18" i="2" s="1"/>
  <c r="EW19" i="2" s="1"/>
  <c r="EW20" i="2" s="1"/>
  <c r="EW21" i="2" s="1"/>
  <c r="EW22" i="2" s="1"/>
  <c r="EW23" i="2" s="1"/>
  <c r="EW24" i="2" s="1"/>
  <c r="EW25" i="2" s="1"/>
  <c r="EW26" i="2" s="1"/>
  <c r="EW27" i="2" s="1"/>
  <c r="EW28" i="2" s="1"/>
  <c r="EW29" i="2" s="1"/>
  <c r="EW30" i="2" s="1"/>
  <c r="EW31" i="2" s="1"/>
  <c r="EW32" i="2" s="1"/>
  <c r="EW33" i="2" s="1"/>
  <c r="EW34" i="2" s="1"/>
  <c r="EW35" i="2" s="1"/>
  <c r="EW36" i="2" s="1"/>
  <c r="EW37" i="2" s="1"/>
  <c r="EW38" i="2" s="1"/>
  <c r="EW39" i="2" s="1"/>
  <c r="EW40" i="2" s="1"/>
  <c r="EW41" i="2" s="1"/>
  <c r="EW42" i="2" s="1"/>
  <c r="EW43" i="2" s="1"/>
  <c r="EW44" i="2" s="1"/>
  <c r="EW45" i="2" s="1"/>
  <c r="EW46" i="2" s="1"/>
  <c r="EW47" i="2" s="1"/>
  <c r="EW48" i="2" s="1"/>
  <c r="EW49" i="2" s="1"/>
  <c r="EW50" i="2" s="1"/>
  <c r="EW51" i="2" s="1"/>
  <c r="EW52" i="2" s="1"/>
  <c r="EW53" i="2" s="1"/>
  <c r="EW54" i="2" s="1"/>
  <c r="EW55" i="2" s="1"/>
  <c r="EW56" i="2" s="1"/>
  <c r="EW57" i="2" s="1"/>
  <c r="EW58" i="2" s="1"/>
  <c r="EW59" i="2" s="1"/>
  <c r="EW60" i="2" s="1"/>
  <c r="EW61" i="2" s="1"/>
  <c r="EW62" i="2" s="1"/>
  <c r="EW63" i="2" s="1"/>
  <c r="EW64" i="2" s="1"/>
  <c r="EW65" i="2" s="1"/>
  <c r="EW66" i="2" s="1"/>
  <c r="EW67" i="2" s="1"/>
  <c r="EW68" i="2" s="1"/>
  <c r="EW69" i="2" s="1"/>
  <c r="EW70" i="2" s="1"/>
  <c r="EW71" i="2" s="1"/>
  <c r="EW72" i="2" s="1"/>
  <c r="EW73" i="2" s="1"/>
  <c r="EW74" i="2" s="1"/>
  <c r="EW75" i="2" s="1"/>
  <c r="EW76" i="2" s="1"/>
  <c r="EW77" i="2" s="1"/>
  <c r="EW78" i="2" s="1"/>
  <c r="EW79" i="2" s="1"/>
  <c r="EW80" i="2" s="1"/>
  <c r="EW81" i="2" s="1"/>
  <c r="EW82" i="2" s="1"/>
  <c r="EW83" i="2" s="1"/>
  <c r="EW84" i="2" s="1"/>
  <c r="EW85" i="2" s="1"/>
  <c r="EW86" i="2" s="1"/>
  <c r="EW87" i="2" s="1"/>
  <c r="EW88" i="2" s="1"/>
  <c r="EW89" i="2" s="1"/>
  <c r="EW90" i="2" s="1"/>
  <c r="EW91" i="2" s="1"/>
  <c r="EW92" i="2" s="1"/>
  <c r="EW93" i="2" s="1"/>
  <c r="EW94" i="2" s="1"/>
  <c r="EW95" i="2" s="1"/>
  <c r="EW96" i="2" s="1"/>
  <c r="EW97" i="2" s="1"/>
  <c r="EW98" i="2" s="1"/>
  <c r="EW99" i="2" s="1"/>
  <c r="EW100" i="2" s="1"/>
  <c r="EW101" i="2" s="1"/>
  <c r="EW102" i="2" s="1"/>
  <c r="EW103" i="2" s="1"/>
  <c r="EW104" i="2" s="1"/>
  <c r="EW105" i="2" s="1"/>
  <c r="EW106" i="2" s="1"/>
  <c r="EW107" i="2" s="1"/>
  <c r="EW108" i="2" s="1"/>
  <c r="EW109" i="2" s="1"/>
  <c r="EW110" i="2" s="1"/>
  <c r="EW111" i="2" s="1"/>
  <c r="EW112" i="2" s="1"/>
  <c r="EW113" i="2" s="1"/>
  <c r="EW114" i="2" s="1"/>
  <c r="EW115" i="2" s="1"/>
  <c r="EW116" i="2" s="1"/>
  <c r="EW117" i="2" s="1"/>
  <c r="EW118" i="2" s="1"/>
  <c r="EW119" i="2" s="1"/>
  <c r="EW120" i="2" s="1"/>
  <c r="EW121" i="2" s="1"/>
  <c r="EW122" i="2" s="1"/>
  <c r="EW123" i="2" s="1"/>
  <c r="EW124" i="2" s="1"/>
  <c r="EW125" i="2" s="1"/>
  <c r="EW126" i="2" s="1"/>
  <c r="EW127" i="2" s="1"/>
  <c r="EW128" i="2" s="1"/>
  <c r="EW129" i="2" s="1"/>
  <c r="EW130" i="2" s="1"/>
  <c r="EW131" i="2" s="1"/>
  <c r="EW132" i="2" s="1"/>
  <c r="EW133" i="2" s="1"/>
  <c r="EW134" i="2" s="1"/>
  <c r="EW135" i="2" s="1"/>
  <c r="EW136" i="2" s="1"/>
  <c r="EW137" i="2" s="1"/>
  <c r="EW138" i="2" s="1"/>
  <c r="EW139" i="2" s="1"/>
  <c r="EW140" i="2" s="1"/>
  <c r="EW141" i="2" s="1"/>
  <c r="EW142" i="2" s="1"/>
  <c r="EW143" i="2" s="1"/>
  <c r="EW144" i="2" s="1"/>
  <c r="EW145" i="2" s="1"/>
  <c r="EW146" i="2" s="1"/>
  <c r="EW147" i="2" s="1"/>
  <c r="EW148" i="2" s="1"/>
  <c r="EW149" i="2" s="1"/>
  <c r="EW150" i="2" s="1"/>
  <c r="EW151" i="2" s="1"/>
  <c r="EW152" i="2" s="1"/>
  <c r="EW153" i="2" s="1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EX4" i="2"/>
  <c r="EW4" i="2"/>
  <c r="EV4" i="2"/>
  <c r="EA5" i="2"/>
  <c r="EA6" i="2" s="1"/>
  <c r="EA7" i="2" s="1"/>
  <c r="EA8" i="2" s="1"/>
  <c r="EA9" i="2" s="1"/>
  <c r="EA10" i="2" s="1"/>
  <c r="EA11" i="2" s="1"/>
  <c r="EA12" i="2" s="1"/>
  <c r="EA13" i="2" s="1"/>
  <c r="EA14" i="2" s="1"/>
  <c r="EA15" i="2" s="1"/>
  <c r="EA16" i="2" s="1"/>
  <c r="EA17" i="2" s="1"/>
  <c r="EA18" i="2" s="1"/>
  <c r="EA19" i="2" s="1"/>
  <c r="EA20" i="2" s="1"/>
  <c r="EA21" i="2" s="1"/>
  <c r="EA22" i="2" s="1"/>
  <c r="EA23" i="2" s="1"/>
  <c r="EA24" i="2" s="1"/>
  <c r="EA25" i="2" s="1"/>
  <c r="EA26" i="2" s="1"/>
  <c r="EA27" i="2" s="1"/>
  <c r="EA28" i="2" s="1"/>
  <c r="EA29" i="2" s="1"/>
  <c r="EA30" i="2" s="1"/>
  <c r="EA31" i="2" s="1"/>
  <c r="EA32" i="2" s="1"/>
  <c r="EA33" i="2" s="1"/>
  <c r="EA34" i="2" s="1"/>
  <c r="EA35" i="2" s="1"/>
  <c r="EA36" i="2" s="1"/>
  <c r="EA37" i="2" s="1"/>
  <c r="EA38" i="2" s="1"/>
  <c r="EA39" i="2" s="1"/>
  <c r="EA40" i="2" s="1"/>
  <c r="EA41" i="2" s="1"/>
  <c r="EA42" i="2" s="1"/>
  <c r="EA43" i="2" s="1"/>
  <c r="EA44" i="2" s="1"/>
  <c r="EA45" i="2" s="1"/>
  <c r="EA46" i="2" s="1"/>
  <c r="EA47" i="2" s="1"/>
  <c r="EA48" i="2" s="1"/>
  <c r="EA49" i="2" s="1"/>
  <c r="EA50" i="2" s="1"/>
  <c r="EA51" i="2" s="1"/>
  <c r="EA52" i="2" s="1"/>
  <c r="EA53" i="2" s="1"/>
  <c r="EA54" i="2" s="1"/>
  <c r="EA55" i="2" s="1"/>
  <c r="EA56" i="2" s="1"/>
  <c r="EA57" i="2" s="1"/>
  <c r="EA58" i="2" s="1"/>
  <c r="EA59" i="2" s="1"/>
  <c r="EA60" i="2" s="1"/>
  <c r="EA61" i="2" s="1"/>
  <c r="EA62" i="2" s="1"/>
  <c r="EA63" i="2" s="1"/>
  <c r="EA64" i="2" s="1"/>
  <c r="EA65" i="2" s="1"/>
  <c r="EA66" i="2" s="1"/>
  <c r="EA67" i="2" s="1"/>
  <c r="EA68" i="2" s="1"/>
  <c r="EA69" i="2" s="1"/>
  <c r="EA70" i="2" s="1"/>
  <c r="EA71" i="2" s="1"/>
  <c r="EA72" i="2" s="1"/>
  <c r="EA73" i="2" s="1"/>
  <c r="EA74" i="2" s="1"/>
  <c r="EA75" i="2" s="1"/>
  <c r="EA76" i="2" s="1"/>
  <c r="EA77" i="2" s="1"/>
  <c r="EA78" i="2" s="1"/>
  <c r="EA79" i="2" s="1"/>
  <c r="EA80" i="2" s="1"/>
  <c r="EA81" i="2" s="1"/>
  <c r="EA82" i="2" s="1"/>
  <c r="EA83" i="2" s="1"/>
  <c r="EA84" i="2" s="1"/>
  <c r="EA85" i="2" s="1"/>
  <c r="EA86" i="2" s="1"/>
  <c r="EA87" i="2" s="1"/>
  <c r="EA88" i="2" s="1"/>
  <c r="EA89" i="2" s="1"/>
  <c r="EA90" i="2" s="1"/>
  <c r="EA91" i="2" s="1"/>
  <c r="EA92" i="2" s="1"/>
  <c r="EA93" i="2" s="1"/>
  <c r="EA94" i="2" s="1"/>
  <c r="EA95" i="2" s="1"/>
  <c r="EA96" i="2" s="1"/>
  <c r="EA97" i="2" s="1"/>
  <c r="EA98" i="2" s="1"/>
  <c r="EA99" i="2" s="1"/>
  <c r="EA100" i="2" s="1"/>
  <c r="EA101" i="2" s="1"/>
  <c r="EA102" i="2" s="1"/>
  <c r="EA103" i="2" s="1"/>
  <c r="EA104" i="2" s="1"/>
  <c r="EA105" i="2" s="1"/>
  <c r="EA106" i="2" s="1"/>
  <c r="EA107" i="2" s="1"/>
  <c r="EA108" i="2" s="1"/>
  <c r="EA109" i="2" s="1"/>
  <c r="EA110" i="2" s="1"/>
  <c r="EA111" i="2" s="1"/>
  <c r="EA112" i="2" s="1"/>
  <c r="EA113" i="2" s="1"/>
  <c r="EA114" i="2" s="1"/>
  <c r="EA115" i="2" s="1"/>
  <c r="EA116" i="2" s="1"/>
  <c r="EA117" i="2" s="1"/>
  <c r="EA118" i="2" s="1"/>
  <c r="EA119" i="2" s="1"/>
  <c r="EA120" i="2" s="1"/>
  <c r="EA121" i="2" s="1"/>
  <c r="EA122" i="2" s="1"/>
  <c r="EA123" i="2" s="1"/>
  <c r="EA124" i="2" s="1"/>
  <c r="EA125" i="2" s="1"/>
  <c r="EA126" i="2" s="1"/>
  <c r="EA127" i="2" s="1"/>
  <c r="EA128" i="2" s="1"/>
  <c r="EA129" i="2" s="1"/>
  <c r="EA130" i="2" s="1"/>
  <c r="EA131" i="2" s="1"/>
  <c r="EA132" i="2" s="1"/>
  <c r="EA133" i="2" s="1"/>
  <c r="EA134" i="2" s="1"/>
  <c r="EA135" i="2" s="1"/>
  <c r="EA136" i="2" s="1"/>
  <c r="EA137" i="2" s="1"/>
  <c r="EA138" i="2" s="1"/>
  <c r="EA139" i="2" s="1"/>
  <c r="EA140" i="2" s="1"/>
  <c r="EA141" i="2" s="1"/>
  <c r="EA142" i="2" s="1"/>
  <c r="EA143" i="2" s="1"/>
  <c r="EA144" i="2" s="1"/>
  <c r="EA145" i="2" s="1"/>
  <c r="EA146" i="2" s="1"/>
  <c r="EA147" i="2" s="1"/>
  <c r="EA148" i="2" s="1"/>
  <c r="EA149" i="2" s="1"/>
  <c r="EA150" i="2" s="1"/>
  <c r="EA151" i="2" s="1"/>
  <c r="EA152" i="2" s="1"/>
  <c r="EA153" i="2" s="1"/>
  <c r="EA154" i="2" s="1"/>
  <c r="EA155" i="2" s="1"/>
  <c r="EA156" i="2" s="1"/>
  <c r="EA157" i="2" s="1"/>
  <c r="EA158" i="2" s="1"/>
  <c r="EA159" i="2" s="1"/>
  <c r="EA160" i="2" s="1"/>
  <c r="EA161" i="2" s="1"/>
  <c r="EA162" i="2" s="1"/>
  <c r="EA163" i="2" s="1"/>
  <c r="EA164" i="2" s="1"/>
  <c r="EA165" i="2" s="1"/>
  <c r="EA166" i="2" s="1"/>
  <c r="EA167" i="2" s="1"/>
  <c r="EA168" i="2" s="1"/>
  <c r="EA169" i="2" s="1"/>
  <c r="EA170" i="2" s="1"/>
  <c r="EA171" i="2" s="1"/>
  <c r="EA172" i="2" s="1"/>
  <c r="EA173" i="2" s="1"/>
  <c r="EA174" i="2" s="1"/>
  <c r="EA175" i="2" s="1"/>
  <c r="EA176" i="2" s="1"/>
  <c r="EA177" i="2" s="1"/>
  <c r="EA178" i="2" s="1"/>
  <c r="EA179" i="2" s="1"/>
  <c r="EA180" i="2" s="1"/>
  <c r="EA181" i="2" s="1"/>
  <c r="EA182" i="2" s="1"/>
  <c r="EA183" i="2" s="1"/>
  <c r="EA184" i="2" s="1"/>
  <c r="EA185" i="2" s="1"/>
  <c r="EA186" i="2" s="1"/>
  <c r="EA187" i="2" s="1"/>
  <c r="EA188" i="2" s="1"/>
  <c r="EA189" i="2" s="1"/>
  <c r="EA190" i="2" s="1"/>
  <c r="EA191" i="2" s="1"/>
  <c r="EA192" i="2" s="1"/>
  <c r="EA193" i="2" s="1"/>
  <c r="EA194" i="2" s="1"/>
  <c r="EA195" i="2" s="1"/>
  <c r="EA196" i="2" s="1"/>
  <c r="EA197" i="2" s="1"/>
  <c r="EA198" i="2" s="1"/>
  <c r="EA199" i="2" s="1"/>
  <c r="EA200" i="2" s="1"/>
  <c r="EA201" i="2" s="1"/>
  <c r="EA202" i="2" s="1"/>
  <c r="EA203" i="2" s="1"/>
  <c r="EB5" i="2"/>
  <c r="EB6" i="2" s="1"/>
  <c r="EB7" i="2" s="1"/>
  <c r="EB8" i="2" s="1"/>
  <c r="EB9" i="2" s="1"/>
  <c r="EB10" i="2" s="1"/>
  <c r="EB11" i="2" s="1"/>
  <c r="EB12" i="2" s="1"/>
  <c r="EB13" i="2" s="1"/>
  <c r="EB14" i="2" s="1"/>
  <c r="EB15" i="2" s="1"/>
  <c r="EB16" i="2" s="1"/>
  <c r="EB17" i="2" s="1"/>
  <c r="EB18" i="2" s="1"/>
  <c r="EB19" i="2" s="1"/>
  <c r="EB20" i="2" s="1"/>
  <c r="EB21" i="2" s="1"/>
  <c r="EB22" i="2" s="1"/>
  <c r="EB23" i="2" s="1"/>
  <c r="EB24" i="2" s="1"/>
  <c r="EB25" i="2" s="1"/>
  <c r="EB26" i="2" s="1"/>
  <c r="EB27" i="2" s="1"/>
  <c r="EB28" i="2" s="1"/>
  <c r="EB29" i="2" s="1"/>
  <c r="EB30" i="2" s="1"/>
  <c r="EB31" i="2" s="1"/>
  <c r="EB32" i="2" s="1"/>
  <c r="EB33" i="2" s="1"/>
  <c r="EB34" i="2" s="1"/>
  <c r="EB35" i="2" s="1"/>
  <c r="EB36" i="2" s="1"/>
  <c r="EB37" i="2" s="1"/>
  <c r="EB38" i="2" s="1"/>
  <c r="EB39" i="2" s="1"/>
  <c r="EB40" i="2" s="1"/>
  <c r="EB41" i="2" s="1"/>
  <c r="EB42" i="2" s="1"/>
  <c r="EB43" i="2" s="1"/>
  <c r="EB44" i="2" s="1"/>
  <c r="EB45" i="2" s="1"/>
  <c r="EB46" i="2" s="1"/>
  <c r="EB47" i="2" s="1"/>
  <c r="EB48" i="2" s="1"/>
  <c r="EB49" i="2" s="1"/>
  <c r="EB50" i="2" s="1"/>
  <c r="EB51" i="2" s="1"/>
  <c r="EB52" i="2" s="1"/>
  <c r="EB53" i="2" s="1"/>
  <c r="EB54" i="2" s="1"/>
  <c r="EB55" i="2" s="1"/>
  <c r="EB56" i="2" s="1"/>
  <c r="EB57" i="2" s="1"/>
  <c r="EB58" i="2" s="1"/>
  <c r="EB59" i="2" s="1"/>
  <c r="EB60" i="2" s="1"/>
  <c r="EB61" i="2" s="1"/>
  <c r="EB62" i="2" s="1"/>
  <c r="EB63" i="2" s="1"/>
  <c r="EB64" i="2" s="1"/>
  <c r="EB65" i="2" s="1"/>
  <c r="EB66" i="2" s="1"/>
  <c r="EB67" i="2" s="1"/>
  <c r="EB68" i="2" s="1"/>
  <c r="EB69" i="2" s="1"/>
  <c r="EB70" i="2" s="1"/>
  <c r="EB71" i="2" s="1"/>
  <c r="EB72" i="2" s="1"/>
  <c r="EB73" i="2" s="1"/>
  <c r="EB74" i="2" s="1"/>
  <c r="EB75" i="2" s="1"/>
  <c r="EB76" i="2" s="1"/>
  <c r="EB77" i="2" s="1"/>
  <c r="EB78" i="2" s="1"/>
  <c r="EB79" i="2" s="1"/>
  <c r="EB80" i="2" s="1"/>
  <c r="EB81" i="2" s="1"/>
  <c r="EB82" i="2" s="1"/>
  <c r="EB83" i="2" s="1"/>
  <c r="EB84" i="2" s="1"/>
  <c r="EB85" i="2" s="1"/>
  <c r="EB86" i="2" s="1"/>
  <c r="EB87" i="2" s="1"/>
  <c r="EB88" i="2" s="1"/>
  <c r="EB89" i="2" s="1"/>
  <c r="EB90" i="2" s="1"/>
  <c r="EB91" i="2" s="1"/>
  <c r="EB92" i="2" s="1"/>
  <c r="EB93" i="2" s="1"/>
  <c r="EB94" i="2" s="1"/>
  <c r="EB95" i="2" s="1"/>
  <c r="EB96" i="2" s="1"/>
  <c r="EB97" i="2" s="1"/>
  <c r="EB98" i="2" s="1"/>
  <c r="EB99" i="2" s="1"/>
  <c r="EB100" i="2" s="1"/>
  <c r="EB101" i="2" s="1"/>
  <c r="EB102" i="2" s="1"/>
  <c r="EB103" i="2" s="1"/>
  <c r="EB104" i="2" s="1"/>
  <c r="EB105" i="2" s="1"/>
  <c r="EB106" i="2" s="1"/>
  <c r="EB107" i="2" s="1"/>
  <c r="EB108" i="2" s="1"/>
  <c r="EB109" i="2" s="1"/>
  <c r="EB110" i="2" s="1"/>
  <c r="EB111" i="2" s="1"/>
  <c r="EB112" i="2" s="1"/>
  <c r="EB113" i="2" s="1"/>
  <c r="EB114" i="2" s="1"/>
  <c r="EB115" i="2" s="1"/>
  <c r="EB116" i="2" s="1"/>
  <c r="EB117" i="2" s="1"/>
  <c r="EB118" i="2" s="1"/>
  <c r="EB119" i="2" s="1"/>
  <c r="EB120" i="2" s="1"/>
  <c r="EB121" i="2" s="1"/>
  <c r="EB122" i="2" s="1"/>
  <c r="EB123" i="2" s="1"/>
  <c r="EB124" i="2" s="1"/>
  <c r="EB125" i="2" s="1"/>
  <c r="EB126" i="2" s="1"/>
  <c r="EB127" i="2" s="1"/>
  <c r="EB128" i="2" s="1"/>
  <c r="EB129" i="2" s="1"/>
  <c r="EB130" i="2" s="1"/>
  <c r="EB131" i="2" s="1"/>
  <c r="EB132" i="2" s="1"/>
  <c r="EB133" i="2" s="1"/>
  <c r="EB134" i="2" s="1"/>
  <c r="EB135" i="2" s="1"/>
  <c r="EB136" i="2" s="1"/>
  <c r="EB137" i="2" s="1"/>
  <c r="EB138" i="2" s="1"/>
  <c r="EB139" i="2" s="1"/>
  <c r="EB140" i="2" s="1"/>
  <c r="EB141" i="2" s="1"/>
  <c r="EB142" i="2" s="1"/>
  <c r="EB143" i="2" s="1"/>
  <c r="EB144" i="2" s="1"/>
  <c r="EB145" i="2" s="1"/>
  <c r="EB146" i="2" s="1"/>
  <c r="EB147" i="2" s="1"/>
  <c r="EB148" i="2" s="1"/>
  <c r="EB149" i="2" s="1"/>
  <c r="EB150" i="2" s="1"/>
  <c r="EB151" i="2" s="1"/>
  <c r="EB152" i="2" s="1"/>
  <c r="EB153" i="2" s="1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EC5" i="2"/>
  <c r="EC6" i="2" s="1"/>
  <c r="EC7" i="2" s="1"/>
  <c r="EC8" i="2" s="1"/>
  <c r="EC9" i="2" s="1"/>
  <c r="EC10" i="2" s="1"/>
  <c r="EC11" i="2" s="1"/>
  <c r="EC12" i="2" s="1"/>
  <c r="EC13" i="2" s="1"/>
  <c r="EC14" i="2" s="1"/>
  <c r="EC15" i="2" s="1"/>
  <c r="EC16" i="2" s="1"/>
  <c r="EC17" i="2" s="1"/>
  <c r="EC18" i="2" s="1"/>
  <c r="EC19" i="2" s="1"/>
  <c r="EC20" i="2" s="1"/>
  <c r="EC21" i="2" s="1"/>
  <c r="EC22" i="2" s="1"/>
  <c r="EC23" i="2" s="1"/>
  <c r="EC24" i="2" s="1"/>
  <c r="EC25" i="2" s="1"/>
  <c r="EC26" i="2" s="1"/>
  <c r="EC27" i="2" s="1"/>
  <c r="EC28" i="2" s="1"/>
  <c r="EC29" i="2" s="1"/>
  <c r="EC30" i="2" s="1"/>
  <c r="EC31" i="2" s="1"/>
  <c r="EC32" i="2" s="1"/>
  <c r="EC33" i="2" s="1"/>
  <c r="EC34" i="2" s="1"/>
  <c r="EC35" i="2" s="1"/>
  <c r="EC36" i="2" s="1"/>
  <c r="EC37" i="2" s="1"/>
  <c r="EC38" i="2" s="1"/>
  <c r="EC39" i="2" s="1"/>
  <c r="EC40" i="2" s="1"/>
  <c r="EC41" i="2" s="1"/>
  <c r="EC42" i="2" s="1"/>
  <c r="EC43" i="2" s="1"/>
  <c r="EC44" i="2" s="1"/>
  <c r="EC45" i="2" s="1"/>
  <c r="EC46" i="2" s="1"/>
  <c r="EC47" i="2" s="1"/>
  <c r="EC48" i="2" s="1"/>
  <c r="EC49" i="2" s="1"/>
  <c r="EC50" i="2" s="1"/>
  <c r="EC51" i="2" s="1"/>
  <c r="EC52" i="2" s="1"/>
  <c r="EC53" i="2" s="1"/>
  <c r="EC54" i="2" s="1"/>
  <c r="EC55" i="2" s="1"/>
  <c r="EC56" i="2" s="1"/>
  <c r="EC57" i="2" s="1"/>
  <c r="EC58" i="2" s="1"/>
  <c r="EC59" i="2" s="1"/>
  <c r="EC60" i="2" s="1"/>
  <c r="EC61" i="2" s="1"/>
  <c r="EC62" i="2" s="1"/>
  <c r="EC63" i="2" s="1"/>
  <c r="EC64" i="2" s="1"/>
  <c r="EC65" i="2" s="1"/>
  <c r="EC66" i="2" s="1"/>
  <c r="EC67" i="2" s="1"/>
  <c r="EC68" i="2" s="1"/>
  <c r="EC69" i="2" s="1"/>
  <c r="EC70" i="2" s="1"/>
  <c r="EC71" i="2" s="1"/>
  <c r="EC72" i="2" s="1"/>
  <c r="EC73" i="2" s="1"/>
  <c r="EC74" i="2" s="1"/>
  <c r="EC75" i="2" s="1"/>
  <c r="EC76" i="2" s="1"/>
  <c r="EC77" i="2" s="1"/>
  <c r="EC78" i="2" s="1"/>
  <c r="EC79" i="2" s="1"/>
  <c r="EC80" i="2" s="1"/>
  <c r="EC81" i="2" s="1"/>
  <c r="EC82" i="2" s="1"/>
  <c r="EC83" i="2" s="1"/>
  <c r="EC84" i="2" s="1"/>
  <c r="EC85" i="2" s="1"/>
  <c r="EC86" i="2" s="1"/>
  <c r="EC87" i="2" s="1"/>
  <c r="EC88" i="2" s="1"/>
  <c r="EC89" i="2" s="1"/>
  <c r="EC90" i="2" s="1"/>
  <c r="EC91" i="2" s="1"/>
  <c r="EC92" i="2" s="1"/>
  <c r="EC93" i="2" s="1"/>
  <c r="EC94" i="2" s="1"/>
  <c r="EC95" i="2" s="1"/>
  <c r="EC96" i="2" s="1"/>
  <c r="EC97" i="2" s="1"/>
  <c r="EC98" i="2" s="1"/>
  <c r="EC99" i="2" s="1"/>
  <c r="EC100" i="2" s="1"/>
  <c r="EC101" i="2" s="1"/>
  <c r="EC102" i="2" s="1"/>
  <c r="EC103" i="2" s="1"/>
  <c r="EC104" i="2" s="1"/>
  <c r="EC105" i="2" s="1"/>
  <c r="EC106" i="2" s="1"/>
  <c r="EC107" i="2" s="1"/>
  <c r="EC108" i="2" s="1"/>
  <c r="EC109" i="2" s="1"/>
  <c r="EC110" i="2" s="1"/>
  <c r="EC111" i="2" s="1"/>
  <c r="EC112" i="2" s="1"/>
  <c r="EC113" i="2" s="1"/>
  <c r="EC114" i="2" s="1"/>
  <c r="EC115" i="2" s="1"/>
  <c r="EC116" i="2" s="1"/>
  <c r="EC117" i="2" s="1"/>
  <c r="EC118" i="2" s="1"/>
  <c r="EC119" i="2" s="1"/>
  <c r="EC120" i="2" s="1"/>
  <c r="EC121" i="2" s="1"/>
  <c r="EC122" i="2" s="1"/>
  <c r="EC123" i="2" s="1"/>
  <c r="EC124" i="2" s="1"/>
  <c r="EC125" i="2" s="1"/>
  <c r="EC126" i="2" s="1"/>
  <c r="EC127" i="2" s="1"/>
  <c r="EC128" i="2" s="1"/>
  <c r="EC129" i="2" s="1"/>
  <c r="EC130" i="2" s="1"/>
  <c r="EC131" i="2" s="1"/>
  <c r="EC132" i="2" s="1"/>
  <c r="EC133" i="2" s="1"/>
  <c r="EC134" i="2" s="1"/>
  <c r="EC135" i="2" s="1"/>
  <c r="EC136" i="2" s="1"/>
  <c r="EC137" i="2" s="1"/>
  <c r="EC138" i="2" s="1"/>
  <c r="EC139" i="2" s="1"/>
  <c r="EC140" i="2" s="1"/>
  <c r="EC141" i="2" s="1"/>
  <c r="EC142" i="2" s="1"/>
  <c r="EC143" i="2" s="1"/>
  <c r="EC144" i="2" s="1"/>
  <c r="EC145" i="2" s="1"/>
  <c r="EC146" i="2" s="1"/>
  <c r="EC147" i="2" s="1"/>
  <c r="EC148" i="2" s="1"/>
  <c r="EC149" i="2" s="1"/>
  <c r="EC150" i="2" s="1"/>
  <c r="EC151" i="2" s="1"/>
  <c r="EC152" i="2" s="1"/>
  <c r="EC153" i="2" s="1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EC4" i="2"/>
  <c r="EB4" i="2"/>
  <c r="EA4" i="2"/>
  <c r="DF5" i="2"/>
  <c r="DF6" i="2" s="1"/>
  <c r="DF7" i="2" s="1"/>
  <c r="DF8" i="2" s="1"/>
  <c r="DF9" i="2" s="1"/>
  <c r="DF10" i="2" s="1"/>
  <c r="DF11" i="2" s="1"/>
  <c r="DF12" i="2" s="1"/>
  <c r="DF13" i="2" s="1"/>
  <c r="DF14" i="2" s="1"/>
  <c r="DF15" i="2" s="1"/>
  <c r="DF16" i="2" s="1"/>
  <c r="DF17" i="2" s="1"/>
  <c r="DF18" i="2" s="1"/>
  <c r="DF19" i="2" s="1"/>
  <c r="DF20" i="2" s="1"/>
  <c r="DF21" i="2" s="1"/>
  <c r="DF22" i="2" s="1"/>
  <c r="DF23" i="2" s="1"/>
  <c r="DF24" i="2" s="1"/>
  <c r="DF25" i="2" s="1"/>
  <c r="DF26" i="2" s="1"/>
  <c r="DF27" i="2" s="1"/>
  <c r="DF28" i="2" s="1"/>
  <c r="DF29" i="2" s="1"/>
  <c r="DF30" i="2" s="1"/>
  <c r="DF31" i="2" s="1"/>
  <c r="DF32" i="2" s="1"/>
  <c r="DF33" i="2" s="1"/>
  <c r="DF34" i="2" s="1"/>
  <c r="DF35" i="2" s="1"/>
  <c r="DF36" i="2" s="1"/>
  <c r="DF37" i="2" s="1"/>
  <c r="DF38" i="2" s="1"/>
  <c r="DF39" i="2" s="1"/>
  <c r="DF40" i="2" s="1"/>
  <c r="DF41" i="2" s="1"/>
  <c r="DF42" i="2" s="1"/>
  <c r="DF43" i="2" s="1"/>
  <c r="DF44" i="2" s="1"/>
  <c r="DF45" i="2" s="1"/>
  <c r="DF46" i="2" s="1"/>
  <c r="DF47" i="2" s="1"/>
  <c r="DF48" i="2" s="1"/>
  <c r="DF49" i="2" s="1"/>
  <c r="DF50" i="2" s="1"/>
  <c r="DF51" i="2" s="1"/>
  <c r="DF52" i="2" s="1"/>
  <c r="DF53" i="2" s="1"/>
  <c r="DF54" i="2" s="1"/>
  <c r="DF55" i="2" s="1"/>
  <c r="DF56" i="2" s="1"/>
  <c r="DF57" i="2" s="1"/>
  <c r="DF58" i="2" s="1"/>
  <c r="DF59" i="2" s="1"/>
  <c r="DF60" i="2" s="1"/>
  <c r="DF61" i="2" s="1"/>
  <c r="DF62" i="2" s="1"/>
  <c r="DF63" i="2" s="1"/>
  <c r="DF64" i="2" s="1"/>
  <c r="DF65" i="2" s="1"/>
  <c r="DF66" i="2" s="1"/>
  <c r="DF67" i="2" s="1"/>
  <c r="DF68" i="2" s="1"/>
  <c r="DF69" i="2" s="1"/>
  <c r="DF70" i="2" s="1"/>
  <c r="DF71" i="2" s="1"/>
  <c r="DF72" i="2" s="1"/>
  <c r="DF73" i="2" s="1"/>
  <c r="DF74" i="2" s="1"/>
  <c r="DF75" i="2" s="1"/>
  <c r="DF76" i="2" s="1"/>
  <c r="DF77" i="2" s="1"/>
  <c r="DF78" i="2" s="1"/>
  <c r="DF79" i="2" s="1"/>
  <c r="DF80" i="2" s="1"/>
  <c r="DF81" i="2" s="1"/>
  <c r="DF82" i="2" s="1"/>
  <c r="DF83" i="2" s="1"/>
  <c r="DF84" i="2" s="1"/>
  <c r="DF85" i="2" s="1"/>
  <c r="DF86" i="2" s="1"/>
  <c r="DF87" i="2" s="1"/>
  <c r="DF88" i="2" s="1"/>
  <c r="DF89" i="2" s="1"/>
  <c r="DF90" i="2" s="1"/>
  <c r="DF91" i="2" s="1"/>
  <c r="DF92" i="2" s="1"/>
  <c r="DF93" i="2" s="1"/>
  <c r="DF94" i="2" s="1"/>
  <c r="DF95" i="2" s="1"/>
  <c r="DF96" i="2" s="1"/>
  <c r="DF97" i="2" s="1"/>
  <c r="DF98" i="2" s="1"/>
  <c r="DF99" i="2" s="1"/>
  <c r="DF100" i="2" s="1"/>
  <c r="DF101" i="2" s="1"/>
  <c r="DF102" i="2" s="1"/>
  <c r="DF103" i="2" s="1"/>
  <c r="DF104" i="2" s="1"/>
  <c r="DF105" i="2" s="1"/>
  <c r="DF106" i="2" s="1"/>
  <c r="DF107" i="2" s="1"/>
  <c r="DF108" i="2" s="1"/>
  <c r="DF109" i="2" s="1"/>
  <c r="DF110" i="2" s="1"/>
  <c r="DF111" i="2" s="1"/>
  <c r="DF112" i="2" s="1"/>
  <c r="DF113" i="2" s="1"/>
  <c r="DF114" i="2" s="1"/>
  <c r="DF115" i="2" s="1"/>
  <c r="DF116" i="2" s="1"/>
  <c r="DF117" i="2" s="1"/>
  <c r="DF118" i="2" s="1"/>
  <c r="DF119" i="2" s="1"/>
  <c r="DF120" i="2" s="1"/>
  <c r="DF121" i="2" s="1"/>
  <c r="DF122" i="2" s="1"/>
  <c r="DF123" i="2" s="1"/>
  <c r="DF124" i="2" s="1"/>
  <c r="DF125" i="2" s="1"/>
  <c r="DF126" i="2" s="1"/>
  <c r="DF127" i="2" s="1"/>
  <c r="DF128" i="2" s="1"/>
  <c r="DF129" i="2" s="1"/>
  <c r="DF130" i="2" s="1"/>
  <c r="DF131" i="2" s="1"/>
  <c r="DF132" i="2" s="1"/>
  <c r="DF133" i="2" s="1"/>
  <c r="DF134" i="2" s="1"/>
  <c r="DF135" i="2" s="1"/>
  <c r="DF136" i="2" s="1"/>
  <c r="DF137" i="2" s="1"/>
  <c r="DF138" i="2" s="1"/>
  <c r="DF139" i="2" s="1"/>
  <c r="DF140" i="2" s="1"/>
  <c r="DF141" i="2" s="1"/>
  <c r="DF142" i="2" s="1"/>
  <c r="DF143" i="2" s="1"/>
  <c r="DF144" i="2" s="1"/>
  <c r="DF145" i="2" s="1"/>
  <c r="DF146" i="2" s="1"/>
  <c r="DF147" i="2" s="1"/>
  <c r="DF148" i="2" s="1"/>
  <c r="DF149" i="2" s="1"/>
  <c r="DF150" i="2" s="1"/>
  <c r="DF151" i="2" s="1"/>
  <c r="DF152" i="2" s="1"/>
  <c r="DF153" i="2" s="1"/>
  <c r="DF154" i="2" s="1"/>
  <c r="DF155" i="2" s="1"/>
  <c r="DF156" i="2" s="1"/>
  <c r="DF157" i="2" s="1"/>
  <c r="DF158" i="2" s="1"/>
  <c r="DF159" i="2" s="1"/>
  <c r="DF160" i="2" s="1"/>
  <c r="DF161" i="2" s="1"/>
  <c r="DF162" i="2" s="1"/>
  <c r="DF163" i="2" s="1"/>
  <c r="DF164" i="2" s="1"/>
  <c r="DF165" i="2" s="1"/>
  <c r="DF166" i="2" s="1"/>
  <c r="DF167" i="2" s="1"/>
  <c r="DF168" i="2" s="1"/>
  <c r="DF169" i="2" s="1"/>
  <c r="DF170" i="2" s="1"/>
  <c r="DF171" i="2" s="1"/>
  <c r="DF172" i="2" s="1"/>
  <c r="DF173" i="2" s="1"/>
  <c r="DF174" i="2" s="1"/>
  <c r="DF175" i="2" s="1"/>
  <c r="DF176" i="2" s="1"/>
  <c r="DF177" i="2" s="1"/>
  <c r="DF178" i="2" s="1"/>
  <c r="DF179" i="2" s="1"/>
  <c r="DF180" i="2" s="1"/>
  <c r="DF181" i="2" s="1"/>
  <c r="DF182" i="2" s="1"/>
  <c r="DF183" i="2" s="1"/>
  <c r="DF184" i="2" s="1"/>
  <c r="DF185" i="2" s="1"/>
  <c r="DF186" i="2" s="1"/>
  <c r="DF187" i="2" s="1"/>
  <c r="DF188" i="2" s="1"/>
  <c r="DF189" i="2" s="1"/>
  <c r="DF190" i="2" s="1"/>
  <c r="DF191" i="2" s="1"/>
  <c r="DF192" i="2" s="1"/>
  <c r="DF193" i="2" s="1"/>
  <c r="DF194" i="2" s="1"/>
  <c r="DF195" i="2" s="1"/>
  <c r="DF196" i="2" s="1"/>
  <c r="DF197" i="2" s="1"/>
  <c r="DF198" i="2" s="1"/>
  <c r="DF199" i="2" s="1"/>
  <c r="DF200" i="2" s="1"/>
  <c r="DF201" i="2" s="1"/>
  <c r="DF202" i="2" s="1"/>
  <c r="DF203" i="2" s="1"/>
  <c r="DG5" i="2"/>
  <c r="DG6" i="2" s="1"/>
  <c r="DG7" i="2" s="1"/>
  <c r="DG8" i="2" s="1"/>
  <c r="DG9" i="2" s="1"/>
  <c r="DG10" i="2" s="1"/>
  <c r="DG11" i="2" s="1"/>
  <c r="DG12" i="2" s="1"/>
  <c r="DG13" i="2" s="1"/>
  <c r="DG14" i="2" s="1"/>
  <c r="DG15" i="2" s="1"/>
  <c r="DG16" i="2" s="1"/>
  <c r="DG17" i="2" s="1"/>
  <c r="DG18" i="2" s="1"/>
  <c r="DG19" i="2" s="1"/>
  <c r="DG20" i="2" s="1"/>
  <c r="DG21" i="2" s="1"/>
  <c r="DG22" i="2" s="1"/>
  <c r="DG23" i="2" s="1"/>
  <c r="DG24" i="2" s="1"/>
  <c r="DG25" i="2" s="1"/>
  <c r="DG26" i="2" s="1"/>
  <c r="DG27" i="2" s="1"/>
  <c r="DG28" i="2" s="1"/>
  <c r="DG29" i="2" s="1"/>
  <c r="DG30" i="2" s="1"/>
  <c r="DG31" i="2" s="1"/>
  <c r="DG32" i="2" s="1"/>
  <c r="DG33" i="2" s="1"/>
  <c r="DG34" i="2" s="1"/>
  <c r="DG35" i="2" s="1"/>
  <c r="DG36" i="2" s="1"/>
  <c r="DG37" i="2" s="1"/>
  <c r="DG38" i="2" s="1"/>
  <c r="DG39" i="2" s="1"/>
  <c r="DG40" i="2" s="1"/>
  <c r="DG41" i="2" s="1"/>
  <c r="DG42" i="2" s="1"/>
  <c r="DG43" i="2" s="1"/>
  <c r="DG44" i="2" s="1"/>
  <c r="DG45" i="2" s="1"/>
  <c r="DG46" i="2" s="1"/>
  <c r="DG47" i="2" s="1"/>
  <c r="DG48" i="2" s="1"/>
  <c r="DG49" i="2" s="1"/>
  <c r="DG50" i="2" s="1"/>
  <c r="DG51" i="2" s="1"/>
  <c r="DG52" i="2" s="1"/>
  <c r="DG53" i="2" s="1"/>
  <c r="DG54" i="2" s="1"/>
  <c r="DG55" i="2" s="1"/>
  <c r="DG56" i="2" s="1"/>
  <c r="DG57" i="2" s="1"/>
  <c r="DG58" i="2" s="1"/>
  <c r="DG59" i="2" s="1"/>
  <c r="DG60" i="2" s="1"/>
  <c r="DG61" i="2" s="1"/>
  <c r="DG62" i="2" s="1"/>
  <c r="DG63" i="2" s="1"/>
  <c r="DG64" i="2" s="1"/>
  <c r="DG65" i="2" s="1"/>
  <c r="DG66" i="2" s="1"/>
  <c r="DG67" i="2" s="1"/>
  <c r="DG68" i="2" s="1"/>
  <c r="DG69" i="2" s="1"/>
  <c r="DG70" i="2" s="1"/>
  <c r="DG71" i="2" s="1"/>
  <c r="DG72" i="2" s="1"/>
  <c r="DG73" i="2" s="1"/>
  <c r="DG74" i="2" s="1"/>
  <c r="DG75" i="2" s="1"/>
  <c r="DG76" i="2" s="1"/>
  <c r="DG77" i="2" s="1"/>
  <c r="DG78" i="2" s="1"/>
  <c r="DG79" i="2" s="1"/>
  <c r="DG80" i="2" s="1"/>
  <c r="DG81" i="2" s="1"/>
  <c r="DG82" i="2" s="1"/>
  <c r="DG83" i="2" s="1"/>
  <c r="DG84" i="2" s="1"/>
  <c r="DG85" i="2" s="1"/>
  <c r="DG86" i="2" s="1"/>
  <c r="DG87" i="2" s="1"/>
  <c r="DG88" i="2" s="1"/>
  <c r="DG89" i="2" s="1"/>
  <c r="DG90" i="2" s="1"/>
  <c r="DG91" i="2" s="1"/>
  <c r="DG92" i="2" s="1"/>
  <c r="DG93" i="2" s="1"/>
  <c r="DG94" i="2" s="1"/>
  <c r="DG95" i="2" s="1"/>
  <c r="DG96" i="2" s="1"/>
  <c r="DG97" i="2" s="1"/>
  <c r="DG98" i="2" s="1"/>
  <c r="DG99" i="2" s="1"/>
  <c r="DG100" i="2" s="1"/>
  <c r="DG101" i="2" s="1"/>
  <c r="DG102" i="2" s="1"/>
  <c r="DG103" i="2" s="1"/>
  <c r="DG104" i="2" s="1"/>
  <c r="DG105" i="2" s="1"/>
  <c r="DG106" i="2" s="1"/>
  <c r="DG107" i="2" s="1"/>
  <c r="DG108" i="2" s="1"/>
  <c r="DG109" i="2" s="1"/>
  <c r="DG110" i="2" s="1"/>
  <c r="DG111" i="2" s="1"/>
  <c r="DG112" i="2" s="1"/>
  <c r="DG113" i="2" s="1"/>
  <c r="DG114" i="2" s="1"/>
  <c r="DG115" i="2" s="1"/>
  <c r="DG116" i="2" s="1"/>
  <c r="DG117" i="2" s="1"/>
  <c r="DG118" i="2" s="1"/>
  <c r="DG119" i="2" s="1"/>
  <c r="DG120" i="2" s="1"/>
  <c r="DG121" i="2" s="1"/>
  <c r="DG122" i="2" s="1"/>
  <c r="DG123" i="2" s="1"/>
  <c r="DG124" i="2" s="1"/>
  <c r="DG125" i="2" s="1"/>
  <c r="DG126" i="2" s="1"/>
  <c r="DG127" i="2" s="1"/>
  <c r="DG128" i="2" s="1"/>
  <c r="DG129" i="2" s="1"/>
  <c r="DG130" i="2" s="1"/>
  <c r="DG131" i="2" s="1"/>
  <c r="DG132" i="2" s="1"/>
  <c r="DG133" i="2" s="1"/>
  <c r="DG134" i="2" s="1"/>
  <c r="DG135" i="2" s="1"/>
  <c r="DG136" i="2" s="1"/>
  <c r="DG137" i="2" s="1"/>
  <c r="DG138" i="2" s="1"/>
  <c r="DG139" i="2" s="1"/>
  <c r="DG140" i="2" s="1"/>
  <c r="DG141" i="2" s="1"/>
  <c r="DG142" i="2" s="1"/>
  <c r="DG143" i="2" s="1"/>
  <c r="DG144" i="2" s="1"/>
  <c r="DG145" i="2" s="1"/>
  <c r="DG146" i="2" s="1"/>
  <c r="DG147" i="2" s="1"/>
  <c r="DG148" i="2" s="1"/>
  <c r="DG149" i="2" s="1"/>
  <c r="DG150" i="2" s="1"/>
  <c r="DG151" i="2" s="1"/>
  <c r="DG152" i="2" s="1"/>
  <c r="DG153" i="2" s="1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DH5" i="2"/>
  <c r="DH6" i="2" s="1"/>
  <c r="DH7" i="2" s="1"/>
  <c r="DH8" i="2" s="1"/>
  <c r="DH9" i="2" s="1"/>
  <c r="DH10" i="2" s="1"/>
  <c r="DH11" i="2" s="1"/>
  <c r="DH12" i="2" s="1"/>
  <c r="DH13" i="2" s="1"/>
  <c r="DH14" i="2" s="1"/>
  <c r="DH15" i="2" s="1"/>
  <c r="DH16" i="2" s="1"/>
  <c r="DH17" i="2" s="1"/>
  <c r="DH18" i="2" s="1"/>
  <c r="DH19" i="2" s="1"/>
  <c r="DH20" i="2" s="1"/>
  <c r="DH21" i="2" s="1"/>
  <c r="DH22" i="2" s="1"/>
  <c r="DH23" i="2" s="1"/>
  <c r="DH24" i="2" s="1"/>
  <c r="DH25" i="2" s="1"/>
  <c r="DH26" i="2" s="1"/>
  <c r="DH27" i="2" s="1"/>
  <c r="DH28" i="2" s="1"/>
  <c r="DH29" i="2" s="1"/>
  <c r="DH30" i="2" s="1"/>
  <c r="DH31" i="2" s="1"/>
  <c r="DH32" i="2" s="1"/>
  <c r="DH33" i="2" s="1"/>
  <c r="DH34" i="2" s="1"/>
  <c r="DH35" i="2" s="1"/>
  <c r="DH36" i="2" s="1"/>
  <c r="DH37" i="2" s="1"/>
  <c r="DH38" i="2" s="1"/>
  <c r="DH39" i="2" s="1"/>
  <c r="DH40" i="2" s="1"/>
  <c r="DH41" i="2" s="1"/>
  <c r="DH42" i="2" s="1"/>
  <c r="DH43" i="2" s="1"/>
  <c r="DH44" i="2" s="1"/>
  <c r="DH45" i="2" s="1"/>
  <c r="DH46" i="2" s="1"/>
  <c r="DH47" i="2" s="1"/>
  <c r="DH48" i="2" s="1"/>
  <c r="DH49" i="2" s="1"/>
  <c r="DH50" i="2" s="1"/>
  <c r="DH51" i="2" s="1"/>
  <c r="DH52" i="2" s="1"/>
  <c r="DH53" i="2" s="1"/>
  <c r="DH54" i="2" s="1"/>
  <c r="DH55" i="2" s="1"/>
  <c r="DH56" i="2" s="1"/>
  <c r="DH57" i="2" s="1"/>
  <c r="DH58" i="2" s="1"/>
  <c r="DH59" i="2" s="1"/>
  <c r="DH60" i="2" s="1"/>
  <c r="DH61" i="2" s="1"/>
  <c r="DH62" i="2" s="1"/>
  <c r="DH63" i="2" s="1"/>
  <c r="DH64" i="2" s="1"/>
  <c r="DH65" i="2" s="1"/>
  <c r="DH66" i="2" s="1"/>
  <c r="DH67" i="2" s="1"/>
  <c r="DH68" i="2" s="1"/>
  <c r="DH69" i="2" s="1"/>
  <c r="DH70" i="2" s="1"/>
  <c r="DH71" i="2" s="1"/>
  <c r="DH72" i="2" s="1"/>
  <c r="DH73" i="2" s="1"/>
  <c r="DH74" i="2" s="1"/>
  <c r="DH75" i="2" s="1"/>
  <c r="DH76" i="2" s="1"/>
  <c r="DH77" i="2" s="1"/>
  <c r="DH78" i="2" s="1"/>
  <c r="DH79" i="2" s="1"/>
  <c r="DH80" i="2" s="1"/>
  <c r="DH81" i="2" s="1"/>
  <c r="DH82" i="2" s="1"/>
  <c r="DH83" i="2" s="1"/>
  <c r="DH84" i="2" s="1"/>
  <c r="DH85" i="2" s="1"/>
  <c r="DH86" i="2" s="1"/>
  <c r="DH87" i="2" s="1"/>
  <c r="DH88" i="2" s="1"/>
  <c r="DH89" i="2" s="1"/>
  <c r="DH90" i="2" s="1"/>
  <c r="DH91" i="2" s="1"/>
  <c r="DH92" i="2" s="1"/>
  <c r="DH93" i="2" s="1"/>
  <c r="DH94" i="2" s="1"/>
  <c r="DH95" i="2" s="1"/>
  <c r="DH96" i="2" s="1"/>
  <c r="DH97" i="2" s="1"/>
  <c r="DH98" i="2" s="1"/>
  <c r="DH99" i="2" s="1"/>
  <c r="DH100" i="2" s="1"/>
  <c r="DH101" i="2" s="1"/>
  <c r="DH102" i="2" s="1"/>
  <c r="DH103" i="2" s="1"/>
  <c r="DH104" i="2" s="1"/>
  <c r="DH105" i="2" s="1"/>
  <c r="DH106" i="2" s="1"/>
  <c r="DH107" i="2" s="1"/>
  <c r="DH108" i="2" s="1"/>
  <c r="DH109" i="2" s="1"/>
  <c r="DH110" i="2" s="1"/>
  <c r="DH111" i="2" s="1"/>
  <c r="DH112" i="2" s="1"/>
  <c r="DH113" i="2" s="1"/>
  <c r="DH114" i="2" s="1"/>
  <c r="DH115" i="2" s="1"/>
  <c r="DH116" i="2" s="1"/>
  <c r="DH117" i="2" s="1"/>
  <c r="DH118" i="2" s="1"/>
  <c r="DH119" i="2" s="1"/>
  <c r="DH120" i="2" s="1"/>
  <c r="DH121" i="2" s="1"/>
  <c r="DH122" i="2" s="1"/>
  <c r="DH123" i="2" s="1"/>
  <c r="DH124" i="2" s="1"/>
  <c r="DH125" i="2" s="1"/>
  <c r="DH126" i="2" s="1"/>
  <c r="DH127" i="2" s="1"/>
  <c r="DH128" i="2" s="1"/>
  <c r="DH129" i="2" s="1"/>
  <c r="DH130" i="2" s="1"/>
  <c r="DH131" i="2" s="1"/>
  <c r="DH132" i="2" s="1"/>
  <c r="DH133" i="2" s="1"/>
  <c r="DH134" i="2" s="1"/>
  <c r="DH135" i="2" s="1"/>
  <c r="DH136" i="2" s="1"/>
  <c r="DH137" i="2" s="1"/>
  <c r="DH138" i="2" s="1"/>
  <c r="DH139" i="2" s="1"/>
  <c r="DH140" i="2" s="1"/>
  <c r="DH141" i="2" s="1"/>
  <c r="DH142" i="2" s="1"/>
  <c r="DH143" i="2" s="1"/>
  <c r="DH144" i="2" s="1"/>
  <c r="DH145" i="2" s="1"/>
  <c r="DH146" i="2" s="1"/>
  <c r="DH147" i="2" s="1"/>
  <c r="DH148" i="2" s="1"/>
  <c r="DH149" i="2" s="1"/>
  <c r="DH150" i="2" s="1"/>
  <c r="DH151" i="2" s="1"/>
  <c r="DH152" i="2" s="1"/>
  <c r="DH153" i="2" s="1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DH4" i="2"/>
  <c r="DG4" i="2"/>
  <c r="DF4" i="2"/>
  <c r="AF205" i="2" l="1"/>
  <c r="O3" i="2" l="1"/>
  <c r="R90" i="6" l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L3" i="2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GF3" i="2" s="1"/>
  <c r="FX3" i="2"/>
  <c r="FU1" i="2"/>
  <c r="GO3" i="2"/>
  <c r="FP3" i="2"/>
  <c r="FM3" i="2"/>
  <c r="FL3" i="2"/>
  <c r="FF3" i="2"/>
  <c r="FH3" i="2" s="1"/>
  <c r="FI3" i="2" s="1"/>
  <c r="FK3" i="2" s="1"/>
  <c r="FC3" i="2"/>
  <c r="EZ1" i="2"/>
  <c r="FT3" i="2"/>
  <c r="EU3" i="2"/>
  <c r="ER3" i="2"/>
  <c r="EQ3" i="2"/>
  <c r="EK3" i="2"/>
  <c r="EM3" i="2" s="1"/>
  <c r="EN3" i="2" s="1"/>
  <c r="EP3" i="2" s="1"/>
  <c r="EH3" i="2"/>
  <c r="EE1" i="2"/>
  <c r="EY3" i="2"/>
  <c r="DZ3" i="2"/>
  <c r="DW3" i="2"/>
  <c r="DV3" i="2"/>
  <c r="DP3" i="2"/>
  <c r="DR3" i="2" s="1"/>
  <c r="DS3" i="2" s="1"/>
  <c r="DU3" i="2" s="1"/>
  <c r="DM3" i="2"/>
  <c r="DJ1" i="2"/>
  <c r="ED3" i="2"/>
  <c r="CJ3" i="2"/>
  <c r="DE3" i="2"/>
  <c r="DB3" i="2"/>
  <c r="DA3" i="2"/>
  <c r="CU3" i="2"/>
  <c r="CW3" i="2" s="1"/>
  <c r="CX3" i="2" s="1"/>
  <c r="CZ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HA3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S63" i="6" l="1"/>
  <c r="H19" i="2"/>
  <c r="D20" i="2"/>
  <c r="G20" i="2" s="1"/>
  <c r="J33" i="6"/>
  <c r="S36" i="6"/>
  <c r="S64" i="6" l="1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AW4" i="2" l="1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CM5" i="2" l="1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CM6" i="2" l="1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CM7" i="2" l="1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CM8" i="2" s="1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AW8" i="2" l="1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CM9" i="2" l="1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CM10" i="2" s="1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AW10" i="2" l="1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CM11" i="2" s="1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AU11" i="2" l="1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AW12" i="2" l="1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CM13" i="2" s="1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AU13" i="2" l="1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CK14" i="2" s="1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CM14" i="2" s="1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AW14" i="2" l="1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CM15" i="2" s="1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AU15" i="2" l="1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CM16" i="2" l="1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R17" i="2" s="1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CM17" i="2" l="1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CM18" i="2" s="1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CK18" i="2" l="1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CL19" i="2" l="1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CM20" i="2" s="1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W20" i="2" l="1"/>
  <c r="AV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CM21" i="2" s="1"/>
  <c r="BV21" i="2"/>
  <c r="BO21" i="2"/>
  <c r="BB21" i="2"/>
  <c r="BK21" i="2"/>
  <c r="BW21" i="2"/>
  <c r="BL21" i="2"/>
  <c r="BR21" i="2" s="1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AU21" i="2" l="1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CM22" i="2" s="1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AU22" i="2" l="1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CM23" i="2" s="1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CK23" i="2" l="1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CM24" i="2" s="1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CK24" i="2" l="1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CM25" i="2" s="1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AV25" i="2" l="1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CM26" i="2" s="1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AU26" i="2" l="1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CM27" i="2" s="1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AW27" i="2" l="1"/>
  <c r="AV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CM28" i="2" s="1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CL28" i="2" l="1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CM29" i="2" s="1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CL29" i="2" l="1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CM30" i="2" s="1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CK30" i="2" l="1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CM31" i="2" s="1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CK31" i="2" l="1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CM32" i="2" s="1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AU32" i="2" l="1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AV33" i="2" l="1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AU34" i="2" l="1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AV35" i="2" l="1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CM36" i="2" l="1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AV37" i="2" l="1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CM38" i="2" s="1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BR38" i="2" l="1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CM39" i="2" s="1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W39" i="2" l="1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CM40" i="2" s="1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AV40" i="2" l="1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CM41" i="2" s="1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AW41" i="2" l="1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CM42" i="2" s="1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AV42" i="2" l="1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CM43" i="2" s="1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AW43" i="2" l="1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CM44" i="2" s="1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AU44" i="2" l="1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CM45" i="2" s="1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BQ45" i="2" l="1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CM46" i="2" s="1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AV46" i="2" l="1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CM47" i="2" s="1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BR47" i="2" l="1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CM48" i="2" s="1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BR48" i="2" l="1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CM49" i="2" s="1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BR49" i="2" l="1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CM50" i="2" l="1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AW51" i="2" l="1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BR52" i="2" s="1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AU52" i="2" l="1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AW53" i="2" l="1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CM54" i="2" l="1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BR55" i="2" s="1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CM55" i="2" l="1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CM56" i="2" l="1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CM57" i="2" l="1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CM58" i="2" l="1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CM59" i="2" l="1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CM60" i="2" l="1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CM61" i="2" l="1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CM62" i="2" l="1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CM63" i="2" l="1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CM64" i="2" l="1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CM65" i="2" l="1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CM66" i="2" l="1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CM67" i="2" l="1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AU68" i="2" l="1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CM69" i="2" l="1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AU70" i="2" l="1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CM71" i="2" l="1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CM72" i="2" l="1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CM73" i="2" l="1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CM74" i="2" l="1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CM75" i="2" l="1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CM76" i="2" l="1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CM77" i="2" l="1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CM79" i="2" l="1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AU80" i="2" l="1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AW81" i="2" l="1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CM82" i="2" l="1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CM83" i="2" l="1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CM84" i="2" l="1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CM85" i="2" l="1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CM86" i="2" l="1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CM87" i="2" l="1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CM88" i="2" l="1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CM89" i="2" l="1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R90" i="2" s="1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CM90" i="2" l="1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CM91" i="2" l="1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CM92" i="2" l="1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BR93" i="2" s="1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CM94" i="2" l="1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CM95" i="2" l="1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CM96" i="2" l="1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AW97" i="2" l="1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CM98" i="2" l="1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CM99" i="2" l="1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BR101" i="2" s="1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AW101" i="2" l="1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R102" i="2" s="1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AU102" i="2" l="1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BR103" i="2" s="1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AW103" i="2" l="1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AU104" i="2" l="1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CM105" i="2" l="1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BP106" i="2" s="1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AU106" i="2" l="1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CM107" i="2" l="1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CM108" i="2" l="1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CM109" i="2" l="1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AU110" i="2" l="1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AW111" i="2" l="1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CM112" i="2" l="1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AU114" i="2" l="1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AW115" i="2" l="1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CM116" i="2" l="1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CM117" i="2" l="1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CM118" i="2" l="1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CM119" i="2" l="1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AU120" i="2" l="1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CM123" i="2" l="1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CM124" i="2" l="1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CM125" i="2" l="1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CM126" i="2" l="1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CM127" i="2" l="1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BR128" i="2" s="1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CM128" i="2" l="1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BR129" i="2" s="1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CM129" i="2" l="1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CM130" i="2" l="1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CM131" i="2" l="1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CM132" i="2" l="1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CM133" i="2" l="1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CM134" i="2" l="1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CM135" i="2" l="1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AU136" i="2" l="1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CM137" i="2" l="1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CM138" i="2" l="1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CM139" i="2" l="1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CM140" i="2" l="1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CM141" i="2" l="1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CM142" i="2" l="1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CM143" i="2" l="1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BR144" i="2" s="1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CM144" i="2" l="1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BR145" i="2" s="1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CM145" i="2" l="1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CM146" i="2" l="1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CM147" i="2" l="1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CM148" i="2" l="1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CM149" i="2" l="1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CM150" i="2" l="1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BQ151" i="2" s="1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BR151" i="2" s="1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AW151" i="2" l="1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BR152" i="2" s="1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CM152" i="2" l="1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CM153" i="2" l="1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Z154" i="2" s="1"/>
  <c r="AC152" i="2"/>
  <c r="CM154" i="2" l="1"/>
  <c r="BR154" i="2"/>
  <c r="AV154" i="2"/>
  <c r="AU154" i="2"/>
  <c r="AW154" i="2"/>
  <c r="BQ154" i="2"/>
  <c r="BP154" i="2"/>
  <c r="CL154" i="2"/>
  <c r="CK154" i="2"/>
  <c r="CN154" i="2" s="1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AC154" i="2"/>
  <c r="HJ154" i="2"/>
  <c r="EY154" i="2"/>
  <c r="ED154" i="2"/>
  <c r="GO154" i="2"/>
  <c r="FT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W155" i="2" l="1"/>
  <c r="Z155" i="2"/>
  <c r="CM155" i="2"/>
  <c r="BQ155" i="2"/>
  <c r="AV155" i="2"/>
  <c r="AU155" i="2"/>
  <c r="BR155" i="2"/>
  <c r="BP155" i="2"/>
  <c r="CK155" i="2"/>
  <c r="CN155" i="2" s="1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ED155" i="2"/>
  <c r="DI155" i="2"/>
  <c r="AX152" i="2"/>
  <c r="CM156" i="2" l="1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M157" i="2" l="1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DI157" i="2"/>
  <c r="AU158" i="2" l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ED158" i="2"/>
  <c r="D198" i="2"/>
  <c r="G198" i="2" s="1"/>
  <c r="DI158" i="2"/>
  <c r="CM159" i="2" l="1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ED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DI159" i="2"/>
  <c r="AU160" i="2" l="1"/>
  <c r="CM160" i="2"/>
  <c r="BR160" i="2"/>
  <c r="AV160" i="2"/>
  <c r="AW160" i="2"/>
  <c r="BQ160" i="2"/>
  <c r="BP160" i="2"/>
  <c r="CL160" i="2"/>
  <c r="CK160" i="2"/>
  <c r="CN160" i="2" s="1"/>
  <c r="CN159" i="2"/>
  <c r="FT159" i="2"/>
  <c r="GO159" i="2"/>
  <c r="Z160" i="2"/>
  <c r="AC159" i="2"/>
  <c r="HJ159" i="2"/>
  <c r="ED160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W161" i="2" l="1"/>
  <c r="AB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ED161" i="2"/>
  <c r="DI161" i="2"/>
  <c r="AU162" i="2" l="1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CM163" i="2" l="1"/>
  <c r="AV163" i="2"/>
  <c r="AW163" i="2"/>
  <c r="AU163" i="2"/>
  <c r="BR163" i="2"/>
  <c r="BQ163" i="2"/>
  <c r="BP163" i="2"/>
  <c r="CK163" i="2"/>
  <c r="CL163" i="2"/>
  <c r="DI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CN163" i="2" l="1"/>
  <c r="CM164" i="2"/>
  <c r="BQ164" i="2"/>
  <c r="AV164" i="2"/>
  <c r="AU164" i="2"/>
  <c r="AW164" i="2"/>
  <c r="BP164" i="2"/>
  <c r="BR164" i="2"/>
  <c r="CK164" i="2"/>
  <c r="CL164" i="2"/>
  <c r="HJ163" i="2"/>
  <c r="DI164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CM165" i="2" l="1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CM166" i="2" l="1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I166" i="2"/>
  <c r="CM167" i="2" l="1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/>
  <c r="CM168" i="2" l="1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DI168" i="2"/>
  <c r="CM169" i="2" l="1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M170" i="2" l="1"/>
  <c r="BR170" i="2"/>
  <c r="AV170" i="2"/>
  <c r="AU170" i="2"/>
  <c r="AW170" i="2"/>
  <c r="BQ170" i="2"/>
  <c r="BP170" i="2"/>
  <c r="CL170" i="2"/>
  <c r="CK170" i="2"/>
  <c r="DI169" i="2"/>
  <c r="DI170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CL171" i="2" l="1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CL172" i="2" l="1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BQ173" i="2" s="1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CL173" i="2" s="1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CM173" i="2" l="1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CL174" i="2" s="1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DI173" i="2"/>
  <c r="CM174" i="2" l="1"/>
  <c r="BR174" i="2"/>
  <c r="AV174" i="2"/>
  <c r="AU174" i="2"/>
  <c r="AW174" i="2"/>
  <c r="BQ174" i="2"/>
  <c r="BP174" i="2"/>
  <c r="CK174" i="2"/>
  <c r="CN174" i="2" s="1"/>
  <c r="FT173" i="2"/>
  <c r="CN173" i="2"/>
  <c r="DI174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BR175" i="2" s="1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CL175" i="2" l="1"/>
  <c r="CM175" i="2"/>
  <c r="AV175" i="2"/>
  <c r="AW175" i="2"/>
  <c r="AU175" i="2"/>
  <c r="BP175" i="2"/>
  <c r="BQ175" i="2"/>
  <c r="CK175" i="2"/>
  <c r="CN175" i="2" s="1"/>
  <c r="HJ174" i="2"/>
  <c r="GO174" i="2"/>
  <c r="EY174" i="2"/>
  <c r="EY175" i="2"/>
  <c r="FT174" i="2"/>
  <c r="Z175" i="2"/>
  <c r="AB175" i="2"/>
  <c r="AC174" i="2"/>
  <c r="DI175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AU176" i="2" l="1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CM177" i="2" l="1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7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CL178" i="2" l="1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AW179" i="2" l="1"/>
  <c r="CL179" i="2"/>
  <c r="CM179" i="2"/>
  <c r="BP179" i="2"/>
  <c r="AV179" i="2"/>
  <c r="AU179" i="2"/>
  <c r="BR179" i="2"/>
  <c r="BQ179" i="2"/>
  <c r="CK179" i="2"/>
  <c r="CN179" i="2" s="1"/>
  <c r="DI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CM180" i="2" l="1"/>
  <c r="BR180" i="2"/>
  <c r="AV180" i="2"/>
  <c r="AW180" i="2"/>
  <c r="AU180" i="2"/>
  <c r="BP180" i="2"/>
  <c r="BQ180" i="2"/>
  <c r="CL180" i="2"/>
  <c r="CK180" i="2"/>
  <c r="CN180" i="2" s="1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DI180" i="2"/>
  <c r="AU181" i="2" l="1"/>
  <c r="CM181" i="2"/>
  <c r="BP181" i="2"/>
  <c r="AV181" i="2"/>
  <c r="AW181" i="2"/>
  <c r="BQ181" i="2"/>
  <c r="BR181" i="2"/>
  <c r="CL181" i="2"/>
  <c r="CK181" i="2"/>
  <c r="CN181" i="2" s="1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AW182" i="2" l="1"/>
  <c r="A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DI182" i="2"/>
  <c r="CM183" i="2" l="1"/>
  <c r="AV183" i="2"/>
  <c r="AU183" i="2"/>
  <c r="AW183" i="2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DI183" i="2"/>
  <c r="AX181" i="2"/>
  <c r="AW184" i="2" l="1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DI184" i="2"/>
  <c r="AU185" i="2" l="1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ED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DI185" i="2"/>
  <c r="CM186" i="2" l="1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DI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CM187" i="2" l="1"/>
  <c r="BQ187" i="2"/>
  <c r="BR187" i="2"/>
  <c r="AV187" i="2"/>
  <c r="AU187" i="2"/>
  <c r="AW187" i="2"/>
  <c r="BP187" i="2"/>
  <c r="CK187" i="2"/>
  <c r="CL187" i="2"/>
  <c r="CN186" i="2"/>
  <c r="ED187" i="2"/>
  <c r="FT186" i="2"/>
  <c r="HJ186" i="2"/>
  <c r="GO186" i="2"/>
  <c r="Z187" i="2"/>
  <c r="AC186" i="2"/>
  <c r="ED186" i="2"/>
  <c r="AA187" i="2"/>
  <c r="DI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BQ188" i="2" s="1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CN187" i="2" l="1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CM189" i="2"/>
  <c r="AV189" i="2"/>
  <c r="AU189" i="2"/>
  <c r="AW189" i="2"/>
  <c r="BR189" i="2"/>
  <c r="BP189" i="2"/>
  <c r="BQ189" i="2"/>
  <c r="CL189" i="2"/>
  <c r="CK189" i="2"/>
  <c r="CN189" i="2" s="1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AC189" i="2" l="1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CM191" i="2" l="1"/>
  <c r="BR191" i="2"/>
  <c r="BP191" i="2"/>
  <c r="AV191" i="2"/>
  <c r="AU191" i="2"/>
  <c r="AW191" i="2"/>
  <c r="BQ191" i="2"/>
  <c r="CL191" i="2"/>
  <c r="CK191" i="2"/>
  <c r="EY190" i="2"/>
  <c r="CN190" i="2"/>
  <c r="DI190" i="2"/>
  <c r="DI191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BR192" i="2" s="1"/>
  <c r="CG192" i="2"/>
  <c r="U192" i="2"/>
  <c r="V192" i="2"/>
  <c r="EY191" i="2"/>
  <c r="AX189" i="2"/>
  <c r="AW192" i="2" l="1"/>
  <c r="CM192" i="2"/>
  <c r="AV192" i="2"/>
  <c r="AU192" i="2"/>
  <c r="BQ192" i="2"/>
  <c r="BP192" i="2"/>
  <c r="CL192" i="2"/>
  <c r="CK192" i="2"/>
  <c r="CN192" i="2" s="1"/>
  <c r="DI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CM193" i="2" l="1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DI193" i="2"/>
  <c r="AX191" i="2"/>
  <c r="ED193" i="2"/>
  <c r="AW194" i="2" l="1"/>
  <c r="CM194" i="2"/>
  <c r="AV194" i="2"/>
  <c r="AU194" i="2"/>
  <c r="BR194" i="2"/>
  <c r="BQ194" i="2"/>
  <c r="BP194" i="2"/>
  <c r="CL194" i="2"/>
  <c r="CK194" i="2"/>
  <c r="CN194" i="2" s="1"/>
  <c r="FT193" i="2"/>
  <c r="GO193" i="2"/>
  <c r="HJ193" i="2"/>
  <c r="EY194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U195" i="2" l="1"/>
  <c r="AA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AW196" i="2" l="1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DI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D196" i="2"/>
  <c r="Z197" i="2" l="1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AW198" i="2" l="1"/>
  <c r="AC197" i="2"/>
  <c r="Z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DI198" i="2"/>
  <c r="AU199" i="2" l="1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BP200" i="2" s="1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CM200" i="2" l="1"/>
  <c r="AV200" i="2"/>
  <c r="AW200" i="2"/>
  <c r="AU200" i="2"/>
  <c r="BQ200" i="2"/>
  <c r="BR200" i="2"/>
  <c r="CL200" i="2"/>
  <c r="CK200" i="2"/>
  <c r="CN200" i="2" s="1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CM201" i="2" s="1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ED200" i="2"/>
  <c r="DI200" i="2"/>
  <c r="AC200" i="2" l="1"/>
  <c r="CL201" i="2"/>
  <c r="CK201" i="2"/>
  <c r="CN201" i="2" s="1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CM202" i="2" s="1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BQ202" i="2" s="1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CL202" i="2" l="1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BQ203" i="2" s="1"/>
  <c r="CF203" i="2"/>
  <c r="L203" i="2"/>
  <c r="M203" i="2" s="1" a="1"/>
  <c r="M203" i="2" s="1"/>
  <c r="AP203" i="2"/>
  <c r="W203" i="2"/>
  <c r="CG203" i="2"/>
  <c r="CM203" i="2" s="1"/>
  <c r="U203" i="2"/>
  <c r="CJ203" i="2"/>
  <c r="AG203" i="2"/>
  <c r="AH140" i="2" s="1" a="1"/>
  <c r="AH140" i="2" s="1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162" i="2" a="1"/>
  <c r="AH162" i="2" s="1"/>
  <c r="AH155" i="2" a="1"/>
  <c r="AH155" i="2" s="1"/>
  <c r="AH17" i="2" a="1"/>
  <c r="AH17" i="2" s="1"/>
  <c r="AH37" i="2" a="1"/>
  <c r="AH37" i="2" s="1"/>
  <c r="AH198" i="2" a="1"/>
  <c r="AH198" i="2" s="1"/>
  <c r="AH92" i="2" a="1"/>
  <c r="AH92" i="2" s="1"/>
  <c r="AH38" i="2" a="1"/>
  <c r="AH38" i="2" s="1"/>
  <c r="AH83" i="2" a="1"/>
  <c r="AH83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196" i="2" a="1"/>
  <c r="BC196" i="2" s="1"/>
  <c r="BC15" i="2" a="1"/>
  <c r="BC15" i="2" s="1"/>
  <c r="BC146" i="2" a="1"/>
  <c r="BC146" i="2" s="1"/>
  <c r="BC68" i="2" a="1"/>
  <c r="BC68" i="2" s="1"/>
  <c r="BC71" i="2" a="1"/>
  <c r="BC71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BX29" i="2" a="1"/>
  <c r="BX29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AH151" i="2" a="1"/>
  <c r="AH151" i="2" s="1"/>
  <c r="AH14" i="2" a="1"/>
  <c r="AH14" i="2" s="1"/>
  <c r="AH157" i="2" a="1"/>
  <c r="AH157" i="2" s="1"/>
  <c r="AH79" i="2" a="1"/>
  <c r="AH79" i="2" s="1"/>
  <c r="AH201" i="2" a="1"/>
  <c r="AH201" i="2" s="1"/>
  <c r="DN103" i="2" a="1"/>
  <c r="DN103" i="2" s="1"/>
  <c r="DN114" i="2" a="1"/>
  <c r="DN114" i="2" s="1"/>
  <c r="CS77" i="2" a="1"/>
  <c r="CS77" i="2" s="1"/>
  <c r="BX8" i="2" a="1"/>
  <c r="BX8" i="2" s="1"/>
  <c r="AH90" i="2" a="1"/>
  <c r="AH90" i="2" s="1"/>
  <c r="AH89" i="2" a="1"/>
  <c r="AH89" i="2" s="1"/>
  <c r="AH19" i="2" a="1"/>
  <c r="AH19" i="2" s="1"/>
  <c r="AH186" i="2" a="1"/>
  <c r="AH186" i="2" s="1"/>
  <c r="AH56" i="2" a="1"/>
  <c r="AH56" i="2" s="1"/>
  <c r="AH197" i="2" a="1"/>
  <c r="AH197" i="2" s="1"/>
  <c r="AH146" i="2" a="1"/>
  <c r="AH146" i="2" s="1"/>
  <c r="AH144" i="2" a="1"/>
  <c r="AH144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BX50" i="2" a="1"/>
  <c r="BX50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DN187" i="2" a="1"/>
  <c r="DN187" i="2" s="1"/>
  <c r="HJ202" i="2"/>
  <c r="EY202" i="2"/>
  <c r="AX200" i="2"/>
  <c r="AH185" i="2" l="1" a="1"/>
  <c r="AH185" i="2" s="1"/>
  <c r="AH136" i="2" a="1"/>
  <c r="AH136" i="2" s="1"/>
  <c r="AH143" i="2" a="1"/>
  <c r="AH143" i="2" s="1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0" i="4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1" i="4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CE3" i="2" s="1"/>
  <c r="D9" i="4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T34" i="2"/>
  <c r="CU33" i="2"/>
  <c r="CV33" i="2" s="1"/>
  <c r="CW33" i="2" s="1"/>
  <c r="CX33" i="2" s="1"/>
  <c r="BY34" i="2"/>
  <c r="BZ33" i="2"/>
  <c r="CA33" i="2" s="1"/>
  <c r="CB33" i="2" s="1"/>
  <c r="CC33" i="2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CY172" i="2"/>
  <c r="CY21" i="2"/>
  <c r="CY130" i="2"/>
  <c r="CY74" i="2"/>
  <c r="CY93" i="2"/>
  <c r="CY26" i="2"/>
  <c r="CY80" i="2"/>
  <c r="CY47" i="2"/>
  <c r="CY85" i="2"/>
  <c r="CY201" i="2"/>
  <c r="CY175" i="2"/>
  <c r="CY176" i="2"/>
  <c r="CY70" i="2"/>
  <c r="CY62" i="2"/>
  <c r="CY4" i="2"/>
  <c r="CY164" i="2"/>
  <c r="CY7" i="2"/>
  <c r="CY168" i="2"/>
  <c r="CY51" i="2"/>
  <c r="CY66" i="2"/>
  <c r="CY69" i="2"/>
  <c r="CY10" i="2"/>
  <c r="CY39" i="2"/>
  <c r="CY68" i="2"/>
  <c r="CY73" i="2"/>
  <c r="CY60" i="2"/>
  <c r="CY107" i="2"/>
  <c r="CY6" i="2"/>
  <c r="CY117" i="2"/>
  <c r="CY13" i="2"/>
  <c r="CY109" i="2"/>
  <c r="CY24" i="2"/>
  <c r="CY152" i="2"/>
  <c r="CY44" i="2"/>
  <c r="CY137" i="2"/>
  <c r="CY91" i="2"/>
  <c r="CY174" i="2"/>
  <c r="CY18" i="2"/>
  <c r="CY81" i="2"/>
  <c r="CY187" i="2"/>
  <c r="CY75" i="2"/>
  <c r="CY194" i="2"/>
  <c r="CY9" i="2"/>
  <c r="CY193" i="2"/>
  <c r="CY22" i="2"/>
  <c r="CY101" i="2"/>
  <c r="CY147" i="2"/>
  <c r="CY203" i="2"/>
  <c r="CY40" i="2"/>
  <c r="CY195" i="2"/>
  <c r="CY83" i="2"/>
  <c r="CY77" i="2"/>
  <c r="CY45" i="2"/>
  <c r="CY36" i="2"/>
  <c r="CY127" i="2"/>
  <c r="CY88" i="2"/>
  <c r="CY119" i="2"/>
  <c r="CY25" i="2"/>
  <c r="CY183" i="2"/>
  <c r="CY196" i="2"/>
  <c r="CY184" i="2"/>
  <c r="CY54" i="2"/>
  <c r="CY160" i="2"/>
  <c r="CY78" i="2"/>
  <c r="CY67" i="2"/>
  <c r="CY171" i="2"/>
  <c r="CY169" i="2"/>
  <c r="CY163" i="2"/>
  <c r="CY14" i="2"/>
  <c r="CY65" i="2"/>
  <c r="CY82" i="2"/>
  <c r="CY84" i="2"/>
  <c r="CY113" i="2"/>
  <c r="CY8" i="2"/>
  <c r="CY118" i="2"/>
  <c r="CY5" i="2"/>
  <c r="CY42" i="2"/>
  <c r="CY157" i="2"/>
  <c r="CY178" i="2"/>
  <c r="CY140" i="2"/>
  <c r="CY202" i="2"/>
  <c r="CY182" i="2"/>
  <c r="CY29" i="2"/>
  <c r="CY129" i="2"/>
  <c r="CY71" i="2"/>
  <c r="CY188" i="2"/>
  <c r="CY49" i="2"/>
  <c r="CY27" i="2"/>
  <c r="CY106" i="2"/>
  <c r="CY53" i="2"/>
  <c r="CY35" i="2"/>
  <c r="CY34" i="2"/>
  <c r="CY23" i="2"/>
  <c r="CY185" i="2"/>
  <c r="CY167" i="2"/>
  <c r="CY165" i="2"/>
  <c r="CY30" i="2"/>
  <c r="CY156" i="2"/>
  <c r="CY112" i="2"/>
  <c r="CY64" i="2"/>
  <c r="CY161" i="2"/>
  <c r="CY132" i="2"/>
  <c r="CY20" i="2"/>
  <c r="CY170" i="2"/>
  <c r="CY55" i="2"/>
  <c r="CY57" i="2"/>
  <c r="CY148" i="2"/>
  <c r="CY136" i="2"/>
  <c r="CY124" i="2"/>
  <c r="CY145" i="2"/>
  <c r="CY151" i="2"/>
  <c r="CY58" i="2"/>
  <c r="CY121" i="2"/>
  <c r="CY159" i="2"/>
  <c r="CY126" i="2"/>
  <c r="CY115" i="2"/>
  <c r="CY33" i="2"/>
  <c r="CY97" i="2"/>
  <c r="CY192" i="2"/>
  <c r="CY153" i="2"/>
  <c r="CY134" i="2"/>
  <c r="CY197" i="2"/>
  <c r="CY38" i="2"/>
  <c r="CY138" i="2"/>
  <c r="CY86" i="2"/>
  <c r="CY162" i="2"/>
  <c r="CY122" i="2"/>
  <c r="CY15" i="2"/>
  <c r="CY41" i="2"/>
  <c r="CY158" i="2"/>
  <c r="CY48" i="2"/>
  <c r="CY180" i="2"/>
  <c r="CY11" i="2"/>
  <c r="CY16" i="2"/>
  <c r="CY63" i="2"/>
  <c r="CY87" i="2"/>
  <c r="CY155" i="2"/>
  <c r="CY149" i="2"/>
  <c r="CY79" i="2"/>
  <c r="CY125" i="2"/>
  <c r="CY111" i="2"/>
  <c r="CY173" i="2"/>
  <c r="CY56" i="2"/>
  <c r="CY141" i="2"/>
  <c r="CY181" i="2"/>
  <c r="CY144" i="2"/>
  <c r="CY99" i="2"/>
  <c r="CY96" i="2"/>
  <c r="CY95" i="2"/>
  <c r="CY94" i="2"/>
  <c r="CY72" i="2"/>
  <c r="CY116" i="2"/>
  <c r="CY19" i="2"/>
  <c r="CY59" i="2"/>
  <c r="CY100" i="2"/>
  <c r="CY108" i="2"/>
  <c r="CY139" i="2"/>
  <c r="CY32" i="2"/>
  <c r="CY166" i="2"/>
  <c r="CY103" i="2"/>
  <c r="CY190" i="2"/>
  <c r="CY186" i="2"/>
  <c r="CY135" i="2"/>
  <c r="CY150" i="2"/>
  <c r="CY179" i="2"/>
  <c r="CY52" i="2"/>
  <c r="CY37" i="2"/>
  <c r="CY102" i="2"/>
  <c r="CY131" i="2"/>
  <c r="CY46" i="2"/>
  <c r="CY114" i="2"/>
  <c r="CY50" i="2"/>
  <c r="CY123" i="2"/>
  <c r="CY142" i="2"/>
  <c r="CY200" i="2"/>
  <c r="CY31" i="2"/>
  <c r="CY105" i="2"/>
  <c r="CY12" i="2"/>
  <c r="CY143" i="2"/>
  <c r="CY98" i="2"/>
  <c r="CY177" i="2"/>
  <c r="CY198" i="2"/>
  <c r="CY133" i="2"/>
  <c r="CY110" i="2"/>
  <c r="CY92" i="2"/>
  <c r="CY154" i="2"/>
  <c r="CY28" i="2"/>
  <c r="CY191" i="2"/>
  <c r="CY146" i="2"/>
  <c r="CY104" i="2"/>
  <c r="CY76" i="2"/>
  <c r="CY90" i="2"/>
  <c r="CY189" i="2"/>
  <c r="CY61" i="2"/>
  <c r="CY120" i="2"/>
  <c r="CY17" i="2"/>
  <c r="CY199" i="2"/>
  <c r="CY43" i="2"/>
  <c r="CY89" i="2"/>
  <c r="CY128" i="2"/>
  <c r="CY3" i="2"/>
  <c r="C10" i="4" s="1"/>
  <c r="E10" i="4" s="1"/>
  <c r="F10" i="4" s="1"/>
  <c r="G10" i="4" s="1"/>
  <c r="L10" i="4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CD61" i="2"/>
  <c r="CD158" i="2"/>
  <c r="CD152" i="2"/>
  <c r="CD101" i="2"/>
  <c r="CD10" i="2"/>
  <c r="CD97" i="2"/>
  <c r="CD65" i="2"/>
  <c r="CD176" i="2"/>
  <c r="CD60" i="2"/>
  <c r="CD133" i="2"/>
  <c r="CD174" i="2"/>
  <c r="CD43" i="2"/>
  <c r="CD119" i="2"/>
  <c r="CD29" i="2"/>
  <c r="CD52" i="2"/>
  <c r="CD168" i="2"/>
  <c r="CD177" i="2"/>
  <c r="CD150" i="2"/>
  <c r="CD167" i="2"/>
  <c r="CD163" i="2"/>
  <c r="CD106" i="2"/>
  <c r="CD22" i="2"/>
  <c r="CD169" i="2"/>
  <c r="CD120" i="2"/>
  <c r="CD99" i="2"/>
  <c r="CD121" i="2"/>
  <c r="CD21" i="2"/>
  <c r="CD151" i="2"/>
  <c r="CD187" i="2"/>
  <c r="CD18" i="2"/>
  <c r="CD193" i="2"/>
  <c r="CD74" i="2"/>
  <c r="CD143" i="2"/>
  <c r="CD57" i="2"/>
  <c r="CD147" i="2"/>
  <c r="CD14" i="2"/>
  <c r="CD34" i="2"/>
  <c r="CD42" i="2"/>
  <c r="CD123" i="2"/>
  <c r="CD198" i="2"/>
  <c r="CD53" i="2"/>
  <c r="CD98" i="2"/>
  <c r="CD75" i="2"/>
  <c r="CD95" i="2"/>
  <c r="CD142" i="2"/>
  <c r="CD199" i="2"/>
  <c r="CD69" i="2"/>
  <c r="CD32" i="2"/>
  <c r="CD155" i="2"/>
  <c r="CD192" i="2"/>
  <c r="CD33" i="2"/>
  <c r="CD36" i="2"/>
  <c r="CD129" i="2"/>
  <c r="CD109" i="2"/>
  <c r="CD178" i="2"/>
  <c r="CD159" i="2"/>
  <c r="CD78" i="2"/>
  <c r="CD68" i="2"/>
  <c r="CD139" i="2"/>
  <c r="CD113" i="2"/>
  <c r="CD114" i="2"/>
  <c r="CD48" i="2"/>
  <c r="CD200" i="2"/>
  <c r="CD90" i="2"/>
  <c r="CD180" i="2"/>
  <c r="CD125" i="2"/>
  <c r="CD196" i="2"/>
  <c r="CD145" i="2"/>
  <c r="CD50" i="2"/>
  <c r="CD55" i="2"/>
  <c r="CD156" i="2"/>
  <c r="CD112" i="2"/>
  <c r="CD146" i="2"/>
  <c r="CD76" i="2"/>
  <c r="CD44" i="2"/>
  <c r="CD135" i="2"/>
  <c r="CD79" i="2"/>
  <c r="CD96" i="2"/>
  <c r="CD49" i="2"/>
  <c r="CD41" i="2"/>
  <c r="CD85" i="2"/>
  <c r="CD23" i="2"/>
  <c r="CD51" i="2"/>
  <c r="CD141" i="2"/>
  <c r="CD144" i="2"/>
  <c r="CD107" i="2"/>
  <c r="CD67" i="2"/>
  <c r="CD45" i="2"/>
  <c r="CD162" i="2"/>
  <c r="CD15" i="2"/>
  <c r="CD54" i="2"/>
  <c r="CD66" i="2"/>
  <c r="CD132" i="2"/>
  <c r="CD37" i="2"/>
  <c r="CD175" i="2"/>
  <c r="CD70" i="2"/>
  <c r="CD154" i="2"/>
  <c r="CD6" i="2"/>
  <c r="CD179" i="2"/>
  <c r="CD190" i="2"/>
  <c r="CD81" i="2"/>
  <c r="CD64" i="2"/>
  <c r="CD197" i="2"/>
  <c r="CD46" i="2"/>
  <c r="CD182" i="2"/>
  <c r="CD166" i="2"/>
  <c r="CD102" i="2"/>
  <c r="CD19" i="2"/>
  <c r="CD118" i="2"/>
  <c r="CD191" i="2"/>
  <c r="CD28" i="2"/>
  <c r="CD9" i="2"/>
  <c r="CD39" i="2"/>
  <c r="CD181" i="2"/>
  <c r="CD92" i="2"/>
  <c r="CD73" i="2"/>
  <c r="CD136" i="2"/>
  <c r="CD148" i="2"/>
  <c r="CD89" i="2"/>
  <c r="CD71" i="2"/>
  <c r="CD137" i="2"/>
  <c r="CD62" i="2"/>
  <c r="CD105" i="2"/>
  <c r="CD111" i="2"/>
  <c r="CD183" i="2"/>
  <c r="CD31" i="2"/>
  <c r="CD58" i="2"/>
  <c r="CD164" i="2"/>
  <c r="CD128" i="2"/>
  <c r="CD171" i="2"/>
  <c r="CD173" i="2"/>
  <c r="CD195" i="2"/>
  <c r="CD77" i="2"/>
  <c r="CD103" i="2"/>
  <c r="CD80" i="2"/>
  <c r="CD59" i="2"/>
  <c r="CD4" i="2"/>
  <c r="CD87" i="2"/>
  <c r="CD5" i="2"/>
  <c r="CD88" i="2"/>
  <c r="CD127" i="2"/>
  <c r="CD30" i="2"/>
  <c r="CD20" i="2"/>
  <c r="CD122" i="2"/>
  <c r="CD63" i="2"/>
  <c r="CD82" i="2"/>
  <c r="CD138" i="2"/>
  <c r="CD25" i="2"/>
  <c r="CD12" i="2"/>
  <c r="CD35" i="2"/>
  <c r="CD124" i="2"/>
  <c r="CD189" i="2"/>
  <c r="CD24" i="2"/>
  <c r="CD188" i="2"/>
  <c r="CD94" i="2"/>
  <c r="CD26" i="2"/>
  <c r="CD56" i="2"/>
  <c r="CD83" i="2"/>
  <c r="CD91" i="2"/>
  <c r="CD165" i="2"/>
  <c r="CD115" i="2"/>
  <c r="CD153" i="2"/>
  <c r="CD7" i="2"/>
  <c r="CD186" i="2"/>
  <c r="CD108" i="2"/>
  <c r="CD131" i="2"/>
  <c r="CD13" i="2"/>
  <c r="CD38" i="2"/>
  <c r="CD160" i="2"/>
  <c r="CD157" i="2"/>
  <c r="CD84" i="2"/>
  <c r="CD184" i="2"/>
  <c r="CD27" i="2"/>
  <c r="CD201" i="2"/>
  <c r="CD100" i="2"/>
  <c r="CD117" i="2"/>
  <c r="CD17" i="2"/>
  <c r="CD130" i="2"/>
  <c r="CD86" i="2"/>
  <c r="CD47" i="2"/>
  <c r="CD72" i="2"/>
  <c r="CD203" i="2"/>
  <c r="CD8" i="2"/>
  <c r="CD202" i="2"/>
  <c r="CD16" i="2"/>
  <c r="CD172" i="2"/>
  <c r="CD40" i="2"/>
  <c r="CD161" i="2"/>
  <c r="CD116" i="2"/>
  <c r="CD149" i="2"/>
  <c r="CD170" i="2"/>
  <c r="CD134" i="2"/>
  <c r="CD185" i="2"/>
  <c r="CD194" i="2"/>
  <c r="CD126" i="2"/>
  <c r="CD140" i="2"/>
  <c r="CD110" i="2"/>
  <c r="CD104" i="2"/>
  <c r="CD11" i="2"/>
  <c r="CD93" i="2"/>
  <c r="CD3" i="2"/>
  <c r="C9" i="4" s="1"/>
  <c r="E9" i="4" s="1"/>
  <c r="F9" i="4" s="1"/>
  <c r="G9" i="4" s="1"/>
  <c r="L9" i="4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<sst xmlns="http://schemas.openxmlformats.org/spreadsheetml/2006/main" count="1005" uniqueCount="318">
  <si>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</si>
  <si>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</si>
  <si>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</si>
  <si>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</si>
  <si>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</si>
  <si>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</si>
  <si>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</si>
  <si>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</si>
  <si>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</si>
  <si>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</si>
  <si>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</si>
  <si>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</si>
  <si>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</si>
  <si>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</si>
  <si>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</si>
  <si>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</si>
  <si>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</si>
  <si>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</si>
  <si>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</si>
  <si>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</si>
  <si>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</si>
  <si>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</si>
  <si>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</si>
  <si>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</si>
  <si>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</si>
  <si>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</si>
  <si>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</si>
  <si>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</si>
  <si>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</si>
  <si>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</si>
  <si>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</si>
  <si>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</si>
  <si>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</si>
  <si>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</si>
  <si>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</si>
  <si>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</si>
  <si>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</si>
  <si>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</si>
  <si>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</si>
  <si>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</si>
  <si>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</si>
  <si>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</si>
  <si>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</si>
  <si>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</si>
  <si>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</si>
  <si>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</si>
  <si>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</si>
  <si>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</si>
  <si>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</si>
  <si>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</si>
  <si>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</si>
  <si>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</si>
  <si>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</si>
  <si>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</si>
  <si>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</si>
  <si>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</si>
  <si>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</si>
  <si>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</si>
  <si>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</si>
  <si>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</si>
  <si>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</si>
  <si>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</si>
  <si>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</si>
  <si>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</si>
  <si>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</si>
  <si>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</si>
  <si>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</si>
  <si>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</si>
  <si>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</si>
  <si>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</si>
  <si>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</si>
  <si>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</si>
  <si>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</si>
  <si>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</si>
  <si>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</si>
  <si>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</si>
  <si>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</si>
  <si>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</si>
  <si>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</si>
  <si>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</si>
  <si>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</si>
  <si>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</si>
  <si>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</si>
  <si>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</si>
  <si>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</si>
  <si>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</si>
  <si>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</si>
  <si>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</si>
  <si>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</si>
  <si>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</si>
  <si>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</si>
  <si>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</si>
  <si>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</si>
  <si>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</si>
  <si>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</si>
  <si>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</si>
  <si>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</si>
  <si>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</si>
  <si>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</si>
  <si>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</si>
  <si>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</si>
  <si>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</si>
  <si>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</si>
  <si>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</si>
  <si>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</si>
  <si>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</si>
  <si>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</si>
  <si>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</si>
  <si>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</si>
  <si>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</si>
  <si>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</si>
  <si>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</si>
  <si>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</si>
  <si>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</si>
  <si>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</si>
  <si>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</si>
  <si>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</si>
  <si>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</si>
  <si>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</si>
  <si>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</si>
  <si>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</si>
  <si>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</si>
  <si>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</si>
  <si>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</si>
  <si>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</si>
  <si>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</si>
  <si>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</si>
  <si>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</si>
  <si>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</si>
  <si>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</si>
  <si>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</si>
  <si>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</si>
  <si>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</si>
  <si>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</si>
  <si>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</si>
  <si>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</si>
  <si>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</si>
  <si>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</si>
  <si>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</si>
  <si>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</si>
  <si>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</si>
  <si>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</si>
  <si>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</si>
  <si>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</si>
  <si>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</si>
  <si>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</si>
  <si>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</si>
  <si>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</si>
  <si>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</si>
  <si>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</si>
  <si>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</si>
  <si>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</si>
  <si>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</si>
  <si>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</si>
  <si>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</si>
  <si>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</si>
  <si>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</si>
  <si>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</si>
  <si>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</si>
  <si>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</si>
  <si>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</si>
  <si>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</si>
  <si>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</si>
  <si>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</si>
  <si>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</si>
  <si>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</si>
  <si>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</si>
  <si>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</si>
  <si>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</si>
  <si>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</si>
  <si>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</si>
  <si>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</si>
  <si>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</si>
  <si>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</si>
  <si>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</si>
  <si>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</si>
  <si>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</si>
  <si>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</si>
  <si>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</si>
  <si>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</si>
  <si>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</si>
  <si>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</si>
  <si>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</si>
  <si>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</si>
  <si>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</si>
  <si>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</si>
  <si>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</si>
  <si>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</si>
  <si>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</si>
  <si>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</si>
  <si>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</si>
  <si>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</si>
  <si>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</si>
  <si>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</si>
  <si>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</si>
  <si>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</si>
  <si>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</si>
  <si>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</si>
  <si>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</si>
  <si>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</si>
  <si>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</si>
  <si>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</si>
  <si>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</si>
  <si>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</si>
  <si>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</si>
  <si>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</si>
  <si>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</si>
  <si>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</si>
  <si>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</si>
  <si>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</si>
  <si>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</si>
  <si>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</si>
  <si>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</si>
  <si>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</si>
  <si>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</si>
  <si>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</si>
  <si>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</si>
  <si>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</si>
  <si>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</si>
  <si>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</si>
  <si>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</si>
  <si>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</si>
  <si>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</si>
  <si>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</si>
  <si>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</si>
  <si>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</si>
  <si>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</si>
  <si>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</si>
  <si>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</si>
  <si>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</si>
  <si>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</si>
  <si>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</si>
  <si>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</si>
  <si>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</si>
  <si>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</si>
  <si>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</si>
  <si>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</si>
  <si>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</si>
  <si>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</si>
  <si>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</si>
  <si>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</si>
  <si>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</si>
  <si>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</si>
  <si>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</si>
  <si>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</si>
  <si>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</si>
  <si>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</si>
  <si>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</si>
  <si>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</si>
  <si>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</si>
  <si>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</si>
  <si>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</si>
  <si>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</si>
  <si>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</si>
  <si>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</si>
  <si>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</si>
  <si>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</si>
  <si>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</si>
  <si>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</si>
  <si>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</si>
  <si>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</si>
  <si>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</si>
  <si>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</si>
  <si>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</si>
  <si>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</si>
  <si>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</si>
  <si>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</si>
  <si>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</si>
  <si>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</si>
  <si>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</si>
  <si>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</si>
  <si>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</si>
  <si>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</si>
  <si>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</si>
  <si>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</si>
  <si>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</si>
  <si>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</si>
  <si>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</si>
  <si>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</si>
  <si>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</si>
  <si>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</si>
  <si>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</si>
  <si>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</si>
  <si>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</si>
  <si>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</si>
  <si>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</si>
  <si>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</si>
  <si>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</si>
  <si>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</si>
  <si>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</si>
  <si>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</si>
  <si>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</si>
  <si>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</si>
  <si>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</si>
  <si>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</si>
  <si>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</si>
  <si>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</si>
  <si>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</si>
  <si>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</si>
  <si>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</si>
  <si>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</si>
  <si>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</si>
  <si>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</si>
  <si>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</si>
  <si>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</si>
  <si>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</si>
  <si>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</si>
  <si>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</si>
  <si>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</si>
  <si>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</si>
  <si>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</si>
  <si>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</si>
  <si>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</si>
  <si>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</si>
  <si>
    <t>Coûts HT estimés incluent la préparation du sol, les plants, la plantation, les protections, les premiers entretiens</t>
  </si>
  <si>
    <t>Parcelles en location, pas d'autres revenus pour la propriétaire</t>
  </si>
  <si>
    <t>Location à 130 €/ha/an</t>
  </si>
  <si>
    <t>130 €/ha/an --&gt; 650 €/ha pour 5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</si>
</sst>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2.0132055447722164</c:v>
                </c:pt>
                <c:pt idx="2">
                  <c:v>3.926037520829468</c:v>
                </c:pt>
                <c:pt idx="3">
                  <c:v>5.8064538726297519</c:v>
                </c:pt>
                <c:pt idx="4">
                  <c:v>7.6668884794096641</c:v>
                </c:pt>
                <c:pt idx="5">
                  <c:v>9.5129767828487442</c:v>
                </c:pt>
                <c:pt idx="6">
                  <c:v>11.347933474167261</c:v>
                </c:pt>
                <c:pt idx="7">
                  <c:v>13.173830940497083</c:v>
                </c:pt>
                <c:pt idx="8">
                  <c:v>14.992112681293341</c:v>
                </c:pt>
                <c:pt idx="9">
                  <c:v>16.803839687018339</c:v>
                </c:pt>
                <c:pt idx="10">
                  <c:v>18.609823340666384</c:v>
                </c:pt>
                <c:pt idx="11">
                  <c:v>20.410703358119832</c:v>
                </c:pt>
                <c:pt idx="12">
                  <c:v>22.20699647200998</c:v>
                </c:pt>
                <c:pt idx="13">
                  <c:v>23.999128381817087</c:v>
                </c:pt>
                <c:pt idx="14">
                  <c:v>25.787455574413709</c:v>
                </c:pt>
                <c:pt idx="15">
                  <c:v>27.572280724229575</c:v>
                </c:pt>
                <c:pt idx="16">
                  <c:v>29.353863865945112</c:v>
                </c:pt>
                <c:pt idx="17">
                  <c:v>31.132430692754767</c:v>
                </c:pt>
                <c:pt idx="18">
                  <c:v>32.908178845762677</c:v>
                </c:pt>
                <c:pt idx="19">
                  <c:v>34.681282765665735</c:v>
                </c:pt>
                <c:pt idx="20">
                  <c:v>36.451897493891167</c:v>
                </c:pt>
                <c:pt idx="21">
                  <c:v>38.220161691902327</c:v>
                </c:pt>
                <c:pt idx="22">
                  <c:v>39.986200069103766</c:v>
                </c:pt>
                <c:pt idx="23">
                  <c:v>41.750125356830807</c:v>
                </c:pt>
                <c:pt idx="24">
                  <c:v>43.512039929349363</c:v>
                </c:pt>
                <c:pt idx="25">
                  <c:v>45.272037147076624</c:v>
                </c:pt>
                <c:pt idx="26">
                  <c:v>47.030202478836543</c:v>
                </c:pt>
                <c:pt idx="27">
                  <c:v>48.786614446604496</c:v>
                </c:pt>
                <c:pt idx="28">
                  <c:v>50.541345426355186</c:v>
                </c:pt>
                <c:pt idx="29">
                  <c:v>52.294462331288656</c:v>
                </c:pt>
                <c:pt idx="30">
                  <c:v>54.046027198170698</c:v>
                </c:pt>
                <c:pt idx="31">
                  <c:v>55.796097693298456</c:v>
                </c:pt>
                <c:pt idx="32">
                  <c:v>57.544727551346114</c:v>
                </c:pt>
                <c:pt idx="33">
                  <c:v>59.291966957813862</c:v>
                </c:pt>
                <c:pt idx="34">
                  <c:v>61.037862883817048</c:v>
                </c:pt>
                <c:pt idx="35">
                  <c:v>62.782459380381376</c:v>
                </c:pt>
                <c:pt idx="36">
                  <c:v>64.525797838159264</c:v>
                </c:pt>
                <c:pt idx="37">
                  <c:v>66.267917217477347</c:v>
                </c:pt>
                <c:pt idx="38">
                  <c:v>68.008854252814757</c:v>
                </c:pt>
                <c:pt idx="39">
                  <c:v>69.748643635151652</c:v>
                </c:pt>
                <c:pt idx="40">
                  <c:v>71.487318175089442</c:v>
                </c:pt>
                <c:pt idx="41">
                  <c:v>73.224908949199445</c:v>
                </c:pt>
                <c:pt idx="42">
                  <c:v>74.961445431691899</c:v>
                </c:pt>
                <c:pt idx="43">
                  <c:v>76.696955613191633</c:v>
                </c:pt>
                <c:pt idx="44">
                  <c:v>78.431466108153685</c:v>
                </c:pt>
                <c:pt idx="45">
                  <c:v>80.16500225223848</c:v>
                </c:pt>
                <c:pt idx="46">
                  <c:v>28.343542013380443</c:v>
                </c:pt>
                <c:pt idx="47">
                  <c:v>47.46946692206334</c:v>
                </c:pt>
                <c:pt idx="48">
                  <c:v>66.385132385958812</c:v>
                </c:pt>
                <c:pt idx="49">
                  <c:v>85.160343732410311</c:v>
                </c:pt>
                <c:pt idx="50">
                  <c:v>103.83076301030054</c:v>
                </c:pt>
                <c:pt idx="51">
                  <c:v>122.41799184734045</c:v>
                </c:pt>
                <c:pt idx="52">
                  <c:v>140.93647882965803</c:v>
                </c:pt>
                <c:pt idx="53">
                  <c:v>159.39654402501083</c:v>
                </c:pt>
                <c:pt idx="54">
                  <c:v>76.913823563925334</c:v>
                </c:pt>
                <c:pt idx="55">
                  <c:v>93.635736390446098</c:v>
                </c:pt>
                <c:pt idx="56">
                  <c:v>110.28291106031725</c:v>
                </c:pt>
                <c:pt idx="57">
                  <c:v>126.86825511545187</c:v>
                </c:pt>
                <c:pt idx="58">
                  <c:v>143.40100599037936</c:v>
                </c:pt>
                <c:pt idx="59">
                  <c:v>159.88808861683779</c:v>
                </c:pt>
                <c:pt idx="60">
                  <c:v>176.33487904031597</c:v>
                </c:pt>
                <c:pt idx="61">
                  <c:v>192.74566644892991</c:v>
                </c:pt>
                <c:pt idx="62">
                  <c:v>106.26385577565964</c:v>
                </c:pt>
                <c:pt idx="63">
                  <c:v>118.35988020228893</c:v>
                </c:pt>
                <c:pt idx="64">
                  <c:v>130.42573443556822</c:v>
                </c:pt>
                <c:pt idx="65">
                  <c:v>142.46460627475957</c:v>
                </c:pt>
                <c:pt idx="66">
                  <c:v>154.47909951130922</c:v>
                </c:pt>
                <c:pt idx="67">
                  <c:v>166.47137906609976</c:v>
                </c:pt>
                <c:pt idx="68">
                  <c:v>178.44327196435256</c:v>
                </c:pt>
                <c:pt idx="69">
                  <c:v>190.39633971218646</c:v>
                </c:pt>
                <c:pt idx="70">
                  <c:v>202.33193150019562</c:v>
                </c:pt>
                <c:pt idx="71">
                  <c:v>214.25122416862823</c:v>
                </c:pt>
                <c:pt idx="72">
                  <c:v>87.954479513642539</c:v>
                </c:pt>
                <c:pt idx="73">
                  <c:v>99.706162151849568</c:v>
                </c:pt>
                <c:pt idx="74">
                  <c:v>111.42346178873775</c:v>
                </c:pt>
                <c:pt idx="75">
                  <c:v>123.11050975941235</c:v>
                </c:pt>
                <c:pt idx="76">
                  <c:v>134.77058652577546</c:v>
                </c:pt>
                <c:pt idx="77">
                  <c:v>146.40635712639872</c:v>
                </c:pt>
                <c:pt idx="78">
                  <c:v>158.02002750359128</c:v>
                </c:pt>
                <c:pt idx="79">
                  <c:v>169.61345228889297</c:v>
                </c:pt>
                <c:pt idx="80">
                  <c:v>181.18821148070015</c:v>
                </c:pt>
                <c:pt idx="81">
                  <c:v>192.74566644892982</c:v>
                </c:pt>
                <c:pt idx="82">
                  <c:v>65.45061062493464</c:v>
                </c:pt>
                <c:pt idx="83">
                  <c:v>76.803723322250192</c:v>
                </c:pt>
                <c:pt idx="84">
                  <c:v>88.114076305012361</c:v>
                </c:pt>
                <c:pt idx="85">
                  <c:v>99.387947057988711</c:v>
                </c:pt>
                <c:pt idx="86">
                  <c:v>110.63006574472034</c:v>
                </c:pt>
                <c:pt idx="87">
                  <c:v>121.84411908432686</c:v>
                </c:pt>
                <c:pt idx="88">
                  <c:v>133.03305772308167</c:v>
                </c:pt>
                <c:pt idx="89">
                  <c:v>144.19929420980682</c:v>
                </c:pt>
                <c:pt idx="90">
                  <c:v>155.34483616126656</c:v>
                </c:pt>
                <c:pt idx="91">
                  <c:v>166.47137906609973</c:v>
                </c:pt>
                <c:pt idx="92">
                  <c:v>37.898177603745729</c:v>
                </c:pt>
                <c:pt idx="93">
                  <c:v>48.957187241854911</c:v>
                </c:pt>
                <c:pt idx="94">
                  <c:v>59.949483840872226</c:v>
                </c:pt>
                <c:pt idx="95">
                  <c:v>70.8891127218713</c:v>
                </c:pt>
                <c:pt idx="96">
                  <c:v>81.78538422992888</c:v>
                </c:pt>
                <c:pt idx="97">
                  <c:v>92.644907229391251</c:v>
                </c:pt>
                <c:pt idx="98">
                  <c:v>103.47260647594709</c:v>
                </c:pt>
                <c:pt idx="99">
                  <c:v>114.2722876545741</c:v>
                </c:pt>
                <c:pt idx="100">
                  <c:v>125.0469760151398</c:v>
                </c:pt>
                <c:pt idx="101">
                  <c:v>135.79913148276731</c:v>
                </c:pt>
                <c:pt idx="102">
                  <c:v>146.53079174185527</c:v>
                </c:pt>
                <c:pt idx="103">
                  <c:v>157.24367103892757</c:v>
                </c:pt>
                <c:pt idx="104">
                  <c:v>167.93923055846105</c:v>
                </c:pt>
                <c:pt idx="105">
                  <c:v>178.6187298796676</c:v>
                </c:pt>
                <c:pt idx="106">
                  <c:v>189.28326545170782</c:v>
                </c:pt>
                <c:pt idx="107">
                  <c:v>199.93379992486851</c:v>
                </c:pt>
                <c:pt idx="108">
                  <c:v>210.57118489256428</c:v>
                </c:pt>
                <c:pt idx="109">
                  <c:v>221.19617878952081</c:v>
                </c:pt>
                <c:pt idx="110">
                  <c:v>231.80946116582979</c:v>
                </c:pt>
                <c:pt idx="111">
                  <c:v>8.3287223069965432E-13</c:v>
                </c:pt>
                <c:pt idx="112">
                  <c:v>8.3287223069965432E-13</c:v>
                </c:pt>
                <c:pt idx="113">
                  <c:v>8.3287223069965432E-13</c:v>
                </c:pt>
                <c:pt idx="114">
                  <c:v>8.3287223069965432E-13</c:v>
                </c:pt>
                <c:pt idx="115">
                  <c:v>8.3287223069965432E-13</c:v>
                </c:pt>
                <c:pt idx="116">
                  <c:v>8.3287223069965432E-13</c:v>
                </c:pt>
                <c:pt idx="117">
                  <c:v>8.3287223069965432E-13</c:v>
                </c:pt>
                <c:pt idx="118">
                  <c:v>8.3287223069965432E-13</c:v>
                </c:pt>
                <c:pt idx="119">
                  <c:v>8.3287223069965432E-13</c:v>
                </c:pt>
                <c:pt idx="120">
                  <c:v>8.3287223069965432E-13</c:v>
                </c:pt>
                <c:pt idx="121">
                  <c:v>8.3287223069965432E-13</c:v>
                </c:pt>
                <c:pt idx="122">
                  <c:v>8.3287223069965432E-13</c:v>
                </c:pt>
                <c:pt idx="123">
                  <c:v>8.3287223069965432E-13</c:v>
                </c:pt>
                <c:pt idx="124">
                  <c:v>8.3287223069965432E-13</c:v>
                </c:pt>
                <c:pt idx="125">
                  <c:v>8.3287223069965432E-13</c:v>
                </c:pt>
                <c:pt idx="126">
                  <c:v>8.3287223069965432E-13</c:v>
                </c:pt>
                <c:pt idx="127">
                  <c:v>8.3287223069965432E-13</c:v>
                </c:pt>
                <c:pt idx="128">
                  <c:v>8.3287223069965432E-13</c:v>
                </c:pt>
                <c:pt idx="129">
                  <c:v>8.3287223069965432E-13</c:v>
                </c:pt>
                <c:pt idx="130">
                  <c:v>8.3287223069965432E-13</c:v>
                </c:pt>
                <c:pt idx="131">
                  <c:v>8.3287223069965432E-13</c:v>
                </c:pt>
                <c:pt idx="132">
                  <c:v>8.3287223069965432E-13</c:v>
                </c:pt>
                <c:pt idx="133">
                  <c:v>8.3287223069965432E-13</c:v>
                </c:pt>
                <c:pt idx="134">
                  <c:v>8.3287223069965432E-13</c:v>
                </c:pt>
                <c:pt idx="135">
                  <c:v>8.3287223069965432E-13</c:v>
                </c:pt>
                <c:pt idx="136">
                  <c:v>8.3287223069965432E-13</c:v>
                </c:pt>
                <c:pt idx="137">
                  <c:v>8.3287223069965432E-13</c:v>
                </c:pt>
                <c:pt idx="138">
                  <c:v>8.3287223069965432E-13</c:v>
                </c:pt>
                <c:pt idx="139">
                  <c:v>8.3287223069965432E-13</c:v>
                </c:pt>
                <c:pt idx="140">
                  <c:v>8.3287223069965432E-13</c:v>
                </c:pt>
                <c:pt idx="141">
                  <c:v>8.3287223069965432E-13</c:v>
                </c:pt>
                <c:pt idx="142">
                  <c:v>8.3287223069965432E-13</c:v>
                </c:pt>
                <c:pt idx="143">
                  <c:v>8.3287223069965432E-13</c:v>
                </c:pt>
                <c:pt idx="144">
                  <c:v>8.3287223069965432E-13</c:v>
                </c:pt>
                <c:pt idx="145">
                  <c:v>8.3287223069965432E-13</c:v>
                </c:pt>
                <c:pt idx="146">
                  <c:v>8.3287223069965432E-13</c:v>
                </c:pt>
                <c:pt idx="147">
                  <c:v>8.3287223069965432E-13</c:v>
                </c:pt>
                <c:pt idx="148">
                  <c:v>8.3287223069965432E-13</c:v>
                </c:pt>
                <c:pt idx="149">
                  <c:v>8.3287223069965432E-13</c:v>
                </c:pt>
                <c:pt idx="150">
                  <c:v>8.3287223069965432E-13</c:v>
                </c:pt>
                <c:pt idx="151">
                  <c:v>8.3287223069965432E-13</c:v>
                </c:pt>
                <c:pt idx="152">
                  <c:v>8.3287223069965432E-13</c:v>
                </c:pt>
                <c:pt idx="153">
                  <c:v>8.3287223069965432E-13</c:v>
                </c:pt>
                <c:pt idx="154">
                  <c:v>8.3287223069965432E-13</c:v>
                </c:pt>
                <c:pt idx="155">
                  <c:v>8.3287223069965432E-13</c:v>
                </c:pt>
                <c:pt idx="156">
                  <c:v>8.3287223069965432E-13</c:v>
                </c:pt>
                <c:pt idx="157">
                  <c:v>8.3287223069965432E-13</c:v>
                </c:pt>
                <c:pt idx="158">
                  <c:v>8.3287223069965432E-13</c:v>
                </c:pt>
                <c:pt idx="159">
                  <c:v>8.3287223069965432E-13</c:v>
                </c:pt>
                <c:pt idx="160">
                  <c:v>8.3287223069965432E-13</c:v>
                </c:pt>
                <c:pt idx="161">
                  <c:v>8.3287223069965432E-13</c:v>
                </c:pt>
                <c:pt idx="162">
                  <c:v>8.3287223069965432E-13</c:v>
                </c:pt>
                <c:pt idx="163">
                  <c:v>8.3287223069965432E-13</c:v>
                </c:pt>
                <c:pt idx="164">
                  <c:v>8.3287223069965432E-13</c:v>
                </c:pt>
                <c:pt idx="165">
                  <c:v>8.3287223069965432E-13</c:v>
                </c:pt>
                <c:pt idx="166">
                  <c:v>8.3287223069965432E-13</c:v>
                </c:pt>
                <c:pt idx="167">
                  <c:v>8.3287223069965432E-13</c:v>
                </c:pt>
                <c:pt idx="168">
                  <c:v>8.3287223069965432E-13</c:v>
                </c:pt>
                <c:pt idx="169">
                  <c:v>8.3287223069965432E-13</c:v>
                </c:pt>
                <c:pt idx="170">
                  <c:v>8.3287223069965432E-13</c:v>
                </c:pt>
                <c:pt idx="171">
                  <c:v>8.3287223069965432E-13</c:v>
                </c:pt>
                <c:pt idx="172">
                  <c:v>8.3287223069965432E-13</c:v>
                </c:pt>
                <c:pt idx="173">
                  <c:v>8.3287223069965432E-13</c:v>
                </c:pt>
                <c:pt idx="174">
                  <c:v>8.3287223069965432E-13</c:v>
                </c:pt>
                <c:pt idx="175">
                  <c:v>8.3287223069965432E-13</c:v>
                </c:pt>
                <c:pt idx="176">
                  <c:v>8.3287223069965432E-13</c:v>
                </c:pt>
                <c:pt idx="177">
                  <c:v>8.3287223069965432E-13</c:v>
                </c:pt>
                <c:pt idx="178">
                  <c:v>8.3287223069965432E-13</c:v>
                </c:pt>
                <c:pt idx="179">
                  <c:v>8.3287223069965432E-13</c:v>
                </c:pt>
                <c:pt idx="180">
                  <c:v>8.3287223069965432E-13</c:v>
                </c:pt>
                <c:pt idx="181">
                  <c:v>8.3287223069965432E-13</c:v>
                </c:pt>
                <c:pt idx="182">
                  <c:v>8.3287223069965432E-13</c:v>
                </c:pt>
                <c:pt idx="183">
                  <c:v>8.3287223069965432E-13</c:v>
                </c:pt>
                <c:pt idx="184">
                  <c:v>8.3287223069965432E-13</c:v>
                </c:pt>
                <c:pt idx="185">
                  <c:v>8.3287223069965432E-13</c:v>
                </c:pt>
                <c:pt idx="186">
                  <c:v>8.3287223069965432E-13</c:v>
                </c:pt>
                <c:pt idx="187">
                  <c:v>8.3287223069965432E-13</c:v>
                </c:pt>
                <c:pt idx="188">
                  <c:v>8.3287223069965432E-13</c:v>
                </c:pt>
                <c:pt idx="189">
                  <c:v>8.3287223069965432E-13</c:v>
                </c:pt>
                <c:pt idx="190">
                  <c:v>8.3287223069965432E-13</c:v>
                </c:pt>
                <c:pt idx="191">
                  <c:v>8.3287223069965432E-13</c:v>
                </c:pt>
                <c:pt idx="192">
                  <c:v>8.3287223069965432E-13</c:v>
                </c:pt>
                <c:pt idx="193">
                  <c:v>8.3287223069965432E-13</c:v>
                </c:pt>
                <c:pt idx="194">
                  <c:v>8.3287223069965432E-13</c:v>
                </c:pt>
                <c:pt idx="195">
                  <c:v>8.3287223069965432E-13</c:v>
                </c:pt>
                <c:pt idx="196">
                  <c:v>8.3287223069965432E-13</c:v>
                </c:pt>
                <c:pt idx="197">
                  <c:v>8.3287223069965432E-13</c:v>
                </c:pt>
                <c:pt idx="198">
                  <c:v>8.3287223069965432E-13</c:v>
                </c:pt>
                <c:pt idx="199">
                  <c:v>8.3287223069965432E-13</c:v>
                </c:pt>
                <c:pt idx="200">
                  <c:v>8.3287223069965432E-13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01552112"/>
        <c:axId val="-901571696"/>
      </c:scatterChart>
      <c:valAx>
        <c:axId val="-901552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71696"/>
        <c:crosses val="autoZero"/>
        <c:crossBetween val="midCat"/>
      </c:valAx>
      <c:valAx>
        <c:axId val="-90157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52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01545584"/>
        <c:axId val="-901545040"/>
      </c:scatterChart>
      <c:valAx>
        <c:axId val="-901545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45040"/>
        <c:crosses val="autoZero"/>
        <c:crossBetween val="midCat"/>
      </c:valAx>
      <c:valAx>
        <c:axId val="-90154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45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138.47942045752964</c:v>
                </c:pt>
                <c:pt idx="22">
                  <c:v>147.86008251943289</c:v>
                </c:pt>
                <c:pt idx="23">
                  <c:v>157.226536630081</c:v>
                </c:pt>
                <c:pt idx="24">
                  <c:v>166.57974956981323</c:v>
                </c:pt>
                <c:pt idx="25">
                  <c:v>175.92057051227536</c:v>
                </c:pt>
                <c:pt idx="26">
                  <c:v>149.69373543126193</c:v>
                </c:pt>
                <c:pt idx="27">
                  <c:v>159.05752681622565</c:v>
                </c:pt>
                <c:pt idx="28">
                  <c:v>168.408251731631</c:v>
                </c:pt>
                <c:pt idx="29">
                  <c:v>177.74673882318038</c:v>
                </c:pt>
                <c:pt idx="30">
                  <c:v>187.07372242622966</c:v>
                </c:pt>
                <c:pt idx="31">
                  <c:v>146.43353271796298</c:v>
                </c:pt>
                <c:pt idx="32">
                  <c:v>156.61609434461192</c:v>
                </c:pt>
                <c:pt idx="33">
                  <c:v>166.78293977832848</c:v>
                </c:pt>
                <c:pt idx="34">
                  <c:v>176.93516310576442</c:v>
                </c:pt>
                <c:pt idx="35">
                  <c:v>187.07372242622966</c:v>
                </c:pt>
                <c:pt idx="36">
                  <c:v>197.19946337106239</c:v>
                </c:pt>
                <c:pt idx="37">
                  <c:v>207.31313753029772</c:v>
                </c:pt>
                <c:pt idx="38">
                  <c:v>167.6536888624527</c:v>
                </c:pt>
                <c:pt idx="39">
                  <c:v>178.67414750598275</c:v>
                </c:pt>
                <c:pt idx="40">
                  <c:v>189.67867707512858</c:v>
                </c:pt>
                <c:pt idx="41">
                  <c:v>200.66833272928136</c:v>
                </c:pt>
                <c:pt idx="42">
                  <c:v>211.64404448548677</c:v>
                </c:pt>
                <c:pt idx="43">
                  <c:v>222.60663792261985</c:v>
                </c:pt>
                <c:pt idx="44">
                  <c:v>233.5568505873855</c:v>
                </c:pt>
                <c:pt idx="45">
                  <c:v>184.9022803714488</c:v>
                </c:pt>
                <c:pt idx="46">
                  <c:v>196.91032732181304</c:v>
                </c:pt>
                <c:pt idx="47">
                  <c:v>208.90137702028542</c:v>
                </c:pt>
                <c:pt idx="48">
                  <c:v>220.87654319528517</c:v>
                </c:pt>
                <c:pt idx="49">
                  <c:v>232.83680883849482</c:v>
                </c:pt>
                <c:pt idx="50">
                  <c:v>244.78304762467158</c:v>
                </c:pt>
                <c:pt idx="51">
                  <c:v>256.71604092575205</c:v>
                </c:pt>
                <c:pt idx="52">
                  <c:v>199.6727821613074</c:v>
                </c:pt>
                <c:pt idx="53">
                  <c:v>213.26359685720604</c:v>
                </c:pt>
                <c:pt idx="54">
                  <c:v>226.83446508061607</c:v>
                </c:pt>
                <c:pt idx="55">
                  <c:v>240.38674870398219</c:v>
                </c:pt>
                <c:pt idx="56">
                  <c:v>253.92164339965282</c:v>
                </c:pt>
                <c:pt idx="57">
                  <c:v>267.44020689106782</c:v>
                </c:pt>
                <c:pt idx="58">
                  <c:v>280.94338118634391</c:v>
                </c:pt>
                <c:pt idx="59">
                  <c:v>294.43201030959904</c:v>
                </c:pt>
                <c:pt idx="60">
                  <c:v>307.90685461043876</c:v>
                </c:pt>
                <c:pt idx="61">
                  <c:v>8.583811758418665E-13</c:v>
                </c:pt>
                <c:pt idx="62">
                  <c:v>8.583811758418665E-13</c:v>
                </c:pt>
                <c:pt idx="63">
                  <c:v>8.583811758418665E-13</c:v>
                </c:pt>
                <c:pt idx="64">
                  <c:v>8.583811758418665E-13</c:v>
                </c:pt>
                <c:pt idx="65">
                  <c:v>8.583811758418665E-13</c:v>
                </c:pt>
                <c:pt idx="66">
                  <c:v>8.583811758418665E-13</c:v>
                </c:pt>
                <c:pt idx="67">
                  <c:v>8.583811758418665E-13</c:v>
                </c:pt>
                <c:pt idx="68">
                  <c:v>8.583811758418665E-13</c:v>
                </c:pt>
                <c:pt idx="69">
                  <c:v>8.583811758418665E-13</c:v>
                </c:pt>
                <c:pt idx="70">
                  <c:v>8.583811758418665E-13</c:v>
                </c:pt>
                <c:pt idx="71">
                  <c:v>8.583811758418665E-13</c:v>
                </c:pt>
                <c:pt idx="72">
                  <c:v>8.583811758418665E-13</c:v>
                </c:pt>
                <c:pt idx="73">
                  <c:v>8.583811758418665E-13</c:v>
                </c:pt>
                <c:pt idx="74">
                  <c:v>8.583811758418665E-13</c:v>
                </c:pt>
                <c:pt idx="75">
                  <c:v>8.583811758418665E-13</c:v>
                </c:pt>
                <c:pt idx="76">
                  <c:v>8.583811758418665E-13</c:v>
                </c:pt>
                <c:pt idx="77">
                  <c:v>8.583811758418665E-13</c:v>
                </c:pt>
                <c:pt idx="78">
                  <c:v>8.583811758418665E-13</c:v>
                </c:pt>
                <c:pt idx="79">
                  <c:v>8.583811758418665E-13</c:v>
                </c:pt>
                <c:pt idx="80">
                  <c:v>8.583811758418665E-13</c:v>
                </c:pt>
                <c:pt idx="81">
                  <c:v>8.583811758418665E-13</c:v>
                </c:pt>
                <c:pt idx="82">
                  <c:v>8.583811758418665E-13</c:v>
                </c:pt>
                <c:pt idx="83">
                  <c:v>8.583811758418665E-13</c:v>
                </c:pt>
                <c:pt idx="84">
                  <c:v>8.583811758418665E-13</c:v>
                </c:pt>
                <c:pt idx="85">
                  <c:v>8.583811758418665E-13</c:v>
                </c:pt>
                <c:pt idx="86">
                  <c:v>8.583811758418665E-13</c:v>
                </c:pt>
                <c:pt idx="87">
                  <c:v>8.583811758418665E-13</c:v>
                </c:pt>
                <c:pt idx="88">
                  <c:v>8.583811758418665E-13</c:v>
                </c:pt>
                <c:pt idx="89">
                  <c:v>8.583811758418665E-13</c:v>
                </c:pt>
                <c:pt idx="90">
                  <c:v>8.583811758418665E-13</c:v>
                </c:pt>
                <c:pt idx="91">
                  <c:v>8.583811758418665E-13</c:v>
                </c:pt>
                <c:pt idx="92">
                  <c:v>8.583811758418665E-13</c:v>
                </c:pt>
                <c:pt idx="93">
                  <c:v>8.583811758418665E-13</c:v>
                </c:pt>
                <c:pt idx="94">
                  <c:v>8.583811758418665E-13</c:v>
                </c:pt>
                <c:pt idx="95">
                  <c:v>8.583811758418665E-13</c:v>
                </c:pt>
                <c:pt idx="96">
                  <c:v>8.583811758418665E-13</c:v>
                </c:pt>
                <c:pt idx="97">
                  <c:v>8.583811758418665E-13</c:v>
                </c:pt>
                <c:pt idx="98">
                  <c:v>8.583811758418665E-13</c:v>
                </c:pt>
                <c:pt idx="99">
                  <c:v>8.583811758418665E-13</c:v>
                </c:pt>
                <c:pt idx="100">
                  <c:v>8.583811758418665E-13</c:v>
                </c:pt>
                <c:pt idx="101">
                  <c:v>8.583811758418665E-13</c:v>
                </c:pt>
                <c:pt idx="102">
                  <c:v>8.583811758418665E-13</c:v>
                </c:pt>
                <c:pt idx="103">
                  <c:v>8.583811758418665E-13</c:v>
                </c:pt>
                <c:pt idx="104">
                  <c:v>8.583811758418665E-13</c:v>
                </c:pt>
                <c:pt idx="105">
                  <c:v>8.583811758418665E-13</c:v>
                </c:pt>
                <c:pt idx="106">
                  <c:v>8.583811758418665E-13</c:v>
                </c:pt>
                <c:pt idx="107">
                  <c:v>8.583811758418665E-13</c:v>
                </c:pt>
                <c:pt idx="108">
                  <c:v>8.583811758418665E-13</c:v>
                </c:pt>
                <c:pt idx="109">
                  <c:v>8.583811758418665E-13</c:v>
                </c:pt>
                <c:pt idx="110">
                  <c:v>8.583811758418665E-13</c:v>
                </c:pt>
                <c:pt idx="111">
                  <c:v>8.583811758418665E-13</c:v>
                </c:pt>
                <c:pt idx="112">
                  <c:v>8.583811758418665E-13</c:v>
                </c:pt>
                <c:pt idx="113">
                  <c:v>8.583811758418665E-13</c:v>
                </c:pt>
                <c:pt idx="114">
                  <c:v>8.583811758418665E-13</c:v>
                </c:pt>
                <c:pt idx="115">
                  <c:v>8.583811758418665E-13</c:v>
                </c:pt>
                <c:pt idx="116">
                  <c:v>8.583811758418665E-13</c:v>
                </c:pt>
                <c:pt idx="117">
                  <c:v>8.583811758418665E-13</c:v>
                </c:pt>
                <c:pt idx="118">
                  <c:v>8.583811758418665E-13</c:v>
                </c:pt>
                <c:pt idx="119">
                  <c:v>8.583811758418665E-13</c:v>
                </c:pt>
                <c:pt idx="120">
                  <c:v>8.583811758418665E-13</c:v>
                </c:pt>
                <c:pt idx="121">
                  <c:v>8.583811758418665E-13</c:v>
                </c:pt>
                <c:pt idx="122">
                  <c:v>8.583811758418665E-13</c:v>
                </c:pt>
                <c:pt idx="123">
                  <c:v>8.583811758418665E-13</c:v>
                </c:pt>
                <c:pt idx="124">
                  <c:v>8.583811758418665E-13</c:v>
                </c:pt>
                <c:pt idx="125">
                  <c:v>8.583811758418665E-13</c:v>
                </c:pt>
                <c:pt idx="126">
                  <c:v>8.583811758418665E-13</c:v>
                </c:pt>
                <c:pt idx="127">
                  <c:v>8.583811758418665E-13</c:v>
                </c:pt>
                <c:pt idx="128">
                  <c:v>8.583811758418665E-13</c:v>
                </c:pt>
                <c:pt idx="129">
                  <c:v>8.583811758418665E-13</c:v>
                </c:pt>
                <c:pt idx="130">
                  <c:v>8.583811758418665E-13</c:v>
                </c:pt>
                <c:pt idx="131">
                  <c:v>8.583811758418665E-13</c:v>
                </c:pt>
                <c:pt idx="132">
                  <c:v>8.583811758418665E-13</c:v>
                </c:pt>
                <c:pt idx="133">
                  <c:v>8.583811758418665E-13</c:v>
                </c:pt>
                <c:pt idx="134">
                  <c:v>8.583811758418665E-13</c:v>
                </c:pt>
                <c:pt idx="135">
                  <c:v>8.583811758418665E-13</c:v>
                </c:pt>
                <c:pt idx="136">
                  <c:v>8.583811758418665E-13</c:v>
                </c:pt>
                <c:pt idx="137">
                  <c:v>8.583811758418665E-13</c:v>
                </c:pt>
                <c:pt idx="138">
                  <c:v>8.583811758418665E-13</c:v>
                </c:pt>
                <c:pt idx="139">
                  <c:v>8.583811758418665E-13</c:v>
                </c:pt>
                <c:pt idx="140">
                  <c:v>8.583811758418665E-13</c:v>
                </c:pt>
                <c:pt idx="141">
                  <c:v>8.583811758418665E-13</c:v>
                </c:pt>
                <c:pt idx="142">
                  <c:v>8.583811758418665E-13</c:v>
                </c:pt>
                <c:pt idx="143">
                  <c:v>8.583811758418665E-13</c:v>
                </c:pt>
                <c:pt idx="144">
                  <c:v>8.583811758418665E-13</c:v>
                </c:pt>
                <c:pt idx="145">
                  <c:v>8.583811758418665E-13</c:v>
                </c:pt>
                <c:pt idx="146">
                  <c:v>8.583811758418665E-13</c:v>
                </c:pt>
                <c:pt idx="147">
                  <c:v>8.583811758418665E-13</c:v>
                </c:pt>
                <c:pt idx="148">
                  <c:v>8.583811758418665E-13</c:v>
                </c:pt>
                <c:pt idx="149">
                  <c:v>8.583811758418665E-13</c:v>
                </c:pt>
                <c:pt idx="150">
                  <c:v>8.583811758418665E-13</c:v>
                </c:pt>
                <c:pt idx="151">
                  <c:v>8.583811758418665E-13</c:v>
                </c:pt>
                <c:pt idx="152">
                  <c:v>8.583811758418665E-13</c:v>
                </c:pt>
                <c:pt idx="153">
                  <c:v>8.583811758418665E-13</c:v>
                </c:pt>
                <c:pt idx="154">
                  <c:v>8.583811758418665E-13</c:v>
                </c:pt>
                <c:pt idx="155">
                  <c:v>8.583811758418665E-13</c:v>
                </c:pt>
                <c:pt idx="156">
                  <c:v>8.583811758418665E-13</c:v>
                </c:pt>
                <c:pt idx="157">
                  <c:v>8.583811758418665E-13</c:v>
                </c:pt>
                <c:pt idx="158">
                  <c:v>8.583811758418665E-13</c:v>
                </c:pt>
                <c:pt idx="159">
                  <c:v>8.583811758418665E-13</c:v>
                </c:pt>
                <c:pt idx="160">
                  <c:v>8.583811758418665E-13</c:v>
                </c:pt>
                <c:pt idx="161">
                  <c:v>8.583811758418665E-13</c:v>
                </c:pt>
                <c:pt idx="162">
                  <c:v>8.583811758418665E-13</c:v>
                </c:pt>
                <c:pt idx="163">
                  <c:v>8.583811758418665E-13</c:v>
                </c:pt>
                <c:pt idx="164">
                  <c:v>8.583811758418665E-13</c:v>
                </c:pt>
                <c:pt idx="165">
                  <c:v>8.583811758418665E-13</c:v>
                </c:pt>
                <c:pt idx="166">
                  <c:v>8.583811758418665E-13</c:v>
                </c:pt>
                <c:pt idx="167">
                  <c:v>8.583811758418665E-13</c:v>
                </c:pt>
                <c:pt idx="168">
                  <c:v>8.583811758418665E-13</c:v>
                </c:pt>
                <c:pt idx="169">
                  <c:v>8.583811758418665E-13</c:v>
                </c:pt>
                <c:pt idx="170">
                  <c:v>8.583811758418665E-13</c:v>
                </c:pt>
                <c:pt idx="171">
                  <c:v>8.583811758418665E-13</c:v>
                </c:pt>
                <c:pt idx="172">
                  <c:v>8.583811758418665E-13</c:v>
                </c:pt>
                <c:pt idx="173">
                  <c:v>8.583811758418665E-13</c:v>
                </c:pt>
                <c:pt idx="174">
                  <c:v>8.583811758418665E-13</c:v>
                </c:pt>
                <c:pt idx="175">
                  <c:v>8.583811758418665E-13</c:v>
                </c:pt>
                <c:pt idx="176">
                  <c:v>8.583811758418665E-13</c:v>
                </c:pt>
                <c:pt idx="177">
                  <c:v>8.583811758418665E-13</c:v>
                </c:pt>
                <c:pt idx="178">
                  <c:v>8.583811758418665E-13</c:v>
                </c:pt>
                <c:pt idx="179">
                  <c:v>8.583811758418665E-13</c:v>
                </c:pt>
                <c:pt idx="180">
                  <c:v>8.583811758418665E-13</c:v>
                </c:pt>
                <c:pt idx="181">
                  <c:v>8.583811758418665E-13</c:v>
                </c:pt>
                <c:pt idx="182">
                  <c:v>8.583811758418665E-13</c:v>
                </c:pt>
                <c:pt idx="183">
                  <c:v>8.583811758418665E-13</c:v>
                </c:pt>
                <c:pt idx="184">
                  <c:v>8.583811758418665E-13</c:v>
                </c:pt>
                <c:pt idx="185">
                  <c:v>8.583811758418665E-13</c:v>
                </c:pt>
                <c:pt idx="186">
                  <c:v>8.583811758418665E-13</c:v>
                </c:pt>
                <c:pt idx="187">
                  <c:v>8.583811758418665E-13</c:v>
                </c:pt>
                <c:pt idx="188">
                  <c:v>8.583811758418665E-13</c:v>
                </c:pt>
                <c:pt idx="189">
                  <c:v>8.583811758418665E-13</c:v>
                </c:pt>
                <c:pt idx="190">
                  <c:v>8.583811758418665E-13</c:v>
                </c:pt>
                <c:pt idx="191">
                  <c:v>8.583811758418665E-13</c:v>
                </c:pt>
                <c:pt idx="192">
                  <c:v>8.583811758418665E-13</c:v>
                </c:pt>
                <c:pt idx="193">
                  <c:v>8.583811758418665E-13</c:v>
                </c:pt>
                <c:pt idx="194">
                  <c:v>8.583811758418665E-13</c:v>
                </c:pt>
                <c:pt idx="195">
                  <c:v>8.583811758418665E-13</c:v>
                </c:pt>
                <c:pt idx="196">
                  <c:v>8.583811758418665E-13</c:v>
                </c:pt>
                <c:pt idx="197">
                  <c:v>8.583811758418665E-13</c:v>
                </c:pt>
                <c:pt idx="198">
                  <c:v>8.583811758418665E-13</c:v>
                </c:pt>
                <c:pt idx="199">
                  <c:v>8.583811758418665E-13</c:v>
                </c:pt>
                <c:pt idx="200">
                  <c:v>8.583811758418665E-13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01548304"/>
        <c:axId val="-901559184"/>
      </c:scatterChart>
      <c:valAx>
        <c:axId val="-90154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59184"/>
        <c:crosses val="autoZero"/>
        <c:crossBetween val="midCat"/>
      </c:valAx>
      <c:valAx>
        <c:axId val="-90155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4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01562992"/>
        <c:axId val="-901569520"/>
      </c:scatterChart>
      <c:valAx>
        <c:axId val="-901562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69520"/>
        <c:crosses val="autoZero"/>
        <c:crossBetween val="midCat"/>
      </c:valAx>
      <c:valAx>
        <c:axId val="-90156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62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01547760"/>
        <c:axId val="-901543952"/>
      </c:scatterChart>
      <c:valAx>
        <c:axId val="-9015477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43952"/>
        <c:crosses val="autoZero"/>
        <c:crossBetween val="midCat"/>
      </c:valAx>
      <c:valAx>
        <c:axId val="-90154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47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01571152"/>
        <c:axId val="-901546672"/>
      </c:scatterChart>
      <c:valAx>
        <c:axId val="-9015711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46672"/>
        <c:crosses val="autoZero"/>
        <c:crossBetween val="midCat"/>
      </c:valAx>
      <c:valAx>
        <c:axId val="-90154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711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01555920"/>
        <c:axId val="-901551024"/>
      </c:scatterChart>
      <c:valAx>
        <c:axId val="-9015559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51024"/>
        <c:crosses val="autoZero"/>
        <c:crossBetween val="midCat"/>
      </c:valAx>
      <c:valAx>
        <c:axId val="-90155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55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01570608"/>
        <c:axId val="-901546128"/>
      </c:scatterChart>
      <c:valAx>
        <c:axId val="-901570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46128"/>
        <c:crosses val="autoZero"/>
        <c:crossBetween val="midCat"/>
      </c:valAx>
      <c:valAx>
        <c:axId val="-90154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70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01568976"/>
        <c:axId val="-901542320"/>
      </c:scatterChart>
      <c:valAx>
        <c:axId val="-901568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42320"/>
        <c:crosses val="autoZero"/>
        <c:crossBetween val="midCat"/>
      </c:valAx>
      <c:valAx>
        <c:axId val="-90154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68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01558096"/>
        <c:axId val="-901564624"/>
      </c:scatterChart>
      <c:valAx>
        <c:axId val="-901558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64624"/>
        <c:crosses val="autoZero"/>
        <c:crossBetween val="midCat"/>
      </c:valAx>
      <c:valAx>
        <c:axId val="-90156462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01558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62" zoomScaleNormal="115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5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5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5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5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5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5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5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5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5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5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5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5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5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5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5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5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5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5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39" zoomScaleNormal="100" workbookViewId="0">
      <selection activeCell="D69" sqref="D69"/>
    </sheetView>
  </sheetViews>
  <sheetFormatPr baseColWidth="10" defaultColWidth="11.453125" defaultRowHeight="14.5" x14ac:dyDescent="0.35"/>
  <cols>
    <col min="1" max="1" width="13.7265625" style="25" customWidth="1"/>
    <col min="2" max="2" width="36.1796875" style="25" customWidth="1"/>
    <col min="3" max="3" width="14.81640625" style="25" bestFit="1" customWidth="1"/>
    <col min="4" max="4" width="16.453125" style="25" customWidth="1"/>
    <col min="5" max="5" width="23.26953125" style="25" customWidth="1"/>
    <col min="6" max="6" width="28.81640625" style="25" bestFit="1" customWidth="1"/>
    <col min="7" max="8" width="14.7265625" style="25" customWidth="1"/>
    <col min="9" max="9" width="17" style="25" customWidth="1"/>
    <col min="10" max="10" width="13.81640625" style="25" customWidth="1"/>
    <col min="11" max="16384" width="11.453125" style="25"/>
  </cols>
  <sheetData>
    <row r="1" spans="1:38" x14ac:dyDescent="0.35">
      <c r="A1" s="5"/>
      <c r="B1" s="5"/>
      <c r="C1" s="271" t="s">
        <v>190</v>
      </c>
      <c r="D1" s="271"/>
      <c r="E1" s="27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282" t="s">
        <v>231</v>
      </c>
      <c r="B5" s="282"/>
      <c r="C5" s="26">
        <v>3.5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6" x14ac:dyDescent="0.35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14</v>
      </c>
      <c r="C9" s="35">
        <v>0.5</v>
      </c>
      <c r="D9" s="36">
        <f t="shared" ref="D9:D18" si="0">C9*$C$5</f>
        <v>1.75</v>
      </c>
      <c r="E9" s="37">
        <v>110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 t="s">
        <v>164</v>
      </c>
      <c r="C10" s="35">
        <v>0.5</v>
      </c>
      <c r="D10" s="36">
        <f t="shared" si="0"/>
        <v>1.75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1"/>
      <c r="B19" s="39" t="s">
        <v>175</v>
      </c>
      <c r="C19" s="40">
        <f>SUM(C9:C18)</f>
        <v>1</v>
      </c>
      <c r="D19" s="41">
        <f>SUM(D9:D18)</f>
        <v>3.5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35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35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Chêne sessile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72" t="s">
        <v>186</v>
      </c>
      <c r="D34" s="272"/>
      <c r="E34" s="273" t="s">
        <v>187</v>
      </c>
      <c r="F34" s="274"/>
      <c r="G34" s="274"/>
      <c r="H34" s="275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45</v>
      </c>
      <c r="B36" s="63">
        <v>39</v>
      </c>
      <c r="C36" s="63">
        <v>1</v>
      </c>
      <c r="D36" s="63">
        <v>35</v>
      </c>
      <c r="E36" s="54"/>
      <c r="F36" s="54"/>
      <c r="G36" s="54"/>
      <c r="H36" s="54"/>
      <c r="I36" s="52">
        <f>IFERROR(B36/A36,"")</f>
        <v>0.8666666666666667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53</v>
      </c>
      <c r="B37" s="63">
        <v>79</v>
      </c>
      <c r="C37" s="63">
        <v>2</v>
      </c>
      <c r="D37" s="63">
        <v>50</v>
      </c>
      <c r="E37" s="54"/>
      <c r="F37" s="54"/>
      <c r="G37" s="54"/>
      <c r="H37" s="54"/>
      <c r="I37" s="56">
        <f t="shared" ref="I37:I55" si="1">IF(A37&lt;&gt;0,(B37-(B36-D36))/(A37-A36),"")</f>
        <v>9.375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61</v>
      </c>
      <c r="B38" s="63">
        <v>96</v>
      </c>
      <c r="C38" s="63">
        <v>3</v>
      </c>
      <c r="D38" s="63">
        <v>50</v>
      </c>
      <c r="E38" s="54"/>
      <c r="F38" s="54"/>
      <c r="G38" s="54"/>
      <c r="H38" s="54"/>
      <c r="I38" s="56">
        <f t="shared" si="1"/>
        <v>8.375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>
        <v>71</v>
      </c>
      <c r="B39" s="63">
        <v>107</v>
      </c>
      <c r="C39" s="63">
        <v>4</v>
      </c>
      <c r="D39" s="63">
        <v>70</v>
      </c>
      <c r="E39" s="54"/>
      <c r="F39" s="54"/>
      <c r="G39" s="54"/>
      <c r="H39" s="54"/>
      <c r="I39" s="52">
        <f t="shared" si="1"/>
        <v>6.1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>
        <v>81</v>
      </c>
      <c r="B40" s="63">
        <v>96</v>
      </c>
      <c r="C40" s="63">
        <v>5</v>
      </c>
      <c r="D40" s="63">
        <v>70</v>
      </c>
      <c r="E40" s="54"/>
      <c r="F40" s="54"/>
      <c r="G40" s="54"/>
      <c r="H40" s="54"/>
      <c r="I40" s="52">
        <f t="shared" si="1"/>
        <v>5.9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>
        <v>91</v>
      </c>
      <c r="B41" s="63">
        <v>82.6</v>
      </c>
      <c r="C41" s="63">
        <v>6</v>
      </c>
      <c r="D41" s="63">
        <v>70</v>
      </c>
      <c r="E41" s="54"/>
      <c r="F41" s="54"/>
      <c r="G41" s="54"/>
      <c r="H41" s="54"/>
      <c r="I41" s="56">
        <f t="shared" si="1"/>
        <v>5.6599999999999993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>
        <v>110</v>
      </c>
      <c r="B42" s="63">
        <v>116</v>
      </c>
      <c r="C42" s="63"/>
      <c r="D42" s="63">
        <v>116</v>
      </c>
      <c r="E42" s="54"/>
      <c r="F42" s="54"/>
      <c r="G42" s="54"/>
      <c r="H42" s="54"/>
      <c r="I42" s="56">
        <f t="shared" si="1"/>
        <v>5.4421052631578952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5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5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>Cèdre de l'Atlas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72" t="s">
        <v>186</v>
      </c>
      <c r="D60" s="272"/>
      <c r="E60" s="273" t="s">
        <v>187</v>
      </c>
      <c r="F60" s="274"/>
      <c r="G60" s="274"/>
      <c r="H60" s="275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63">
        <v>20</v>
      </c>
      <c r="B62" s="63">
        <v>158</v>
      </c>
      <c r="C62" s="63">
        <v>1</v>
      </c>
      <c r="D62" s="63">
        <v>35</v>
      </c>
      <c r="E62" s="54">
        <v>0.2</v>
      </c>
      <c r="F62" s="54"/>
      <c r="G62" s="54">
        <v>0.8</v>
      </c>
      <c r="H62" s="54"/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63">
        <v>25</v>
      </c>
      <c r="B63" s="63">
        <v>169</v>
      </c>
      <c r="C63" s="63">
        <v>2</v>
      </c>
      <c r="D63" s="63">
        <v>35</v>
      </c>
      <c r="E63" s="54">
        <v>0.45</v>
      </c>
      <c r="F63" s="54"/>
      <c r="G63" s="54">
        <v>0.55000000000000004</v>
      </c>
      <c r="H63" s="54"/>
      <c r="I63" s="52">
        <f>IF(A63&lt;&gt;0,(B63-(B62-D62))/(A63-A62),"")</f>
        <v>9.1999999999999993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63">
        <v>30</v>
      </c>
      <c r="B64" s="63">
        <v>180</v>
      </c>
      <c r="C64" s="63">
        <v>3</v>
      </c>
      <c r="D64" s="63">
        <v>50</v>
      </c>
      <c r="E64" s="54">
        <v>0.5</v>
      </c>
      <c r="F64" s="54"/>
      <c r="G64" s="54">
        <v>0.5</v>
      </c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63">
        <v>37</v>
      </c>
      <c r="B65" s="63">
        <v>200</v>
      </c>
      <c r="C65" s="63">
        <v>4</v>
      </c>
      <c r="D65" s="63">
        <v>50</v>
      </c>
      <c r="E65" s="54"/>
      <c r="F65" s="54"/>
      <c r="G65" s="54"/>
      <c r="H65" s="54"/>
      <c r="I65" s="52">
        <f>IF(A65&lt;&gt;0,(B65-(B64-D64))/(A65-A64),"")</f>
        <v>10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63">
        <v>44</v>
      </c>
      <c r="B66" s="63">
        <v>226</v>
      </c>
      <c r="C66" s="63">
        <v>5</v>
      </c>
      <c r="D66" s="63">
        <v>60</v>
      </c>
      <c r="E66" s="54"/>
      <c r="F66" s="54"/>
      <c r="G66" s="54"/>
      <c r="H66" s="54"/>
      <c r="I66" s="52">
        <f t="shared" ref="I66:I81" si="2">IF(A66&lt;&gt;0,(B66-(B65-D65))/(A66-A65),"")</f>
        <v>10.857142857142858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63">
        <v>51</v>
      </c>
      <c r="B67" s="53">
        <v>249</v>
      </c>
      <c r="C67" s="63">
        <v>6</v>
      </c>
      <c r="D67" s="53">
        <v>70</v>
      </c>
      <c r="E67" s="54"/>
      <c r="F67" s="54"/>
      <c r="G67" s="54"/>
      <c r="H67" s="54"/>
      <c r="I67" s="52">
        <f t="shared" si="2"/>
        <v>11.857142857142858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63">
        <v>60</v>
      </c>
      <c r="B68" s="53">
        <v>300</v>
      </c>
      <c r="C68" s="63"/>
      <c r="D68" s="53">
        <v>300</v>
      </c>
      <c r="E68" s="54"/>
      <c r="F68" s="54"/>
      <c r="G68" s="54"/>
      <c r="H68" s="54"/>
      <c r="I68" s="52">
        <f t="shared" si="2"/>
        <v>13.444444444444445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/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72" t="s">
        <v>186</v>
      </c>
      <c r="D86" s="272"/>
      <c r="E86" s="273" t="s">
        <v>187</v>
      </c>
      <c r="F86" s="274"/>
      <c r="G86" s="274"/>
      <c r="H86" s="275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63"/>
      <c r="B88" s="63"/>
      <c r="C88" s="63"/>
      <c r="D88" s="63"/>
      <c r="E88" s="54"/>
      <c r="F88" s="54"/>
      <c r="G88" s="54"/>
      <c r="H88" s="94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63"/>
      <c r="B89" s="63"/>
      <c r="C89" s="63"/>
      <c r="D89" s="63"/>
      <c r="E89" s="54"/>
      <c r="F89" s="54"/>
      <c r="G89" s="54"/>
      <c r="H89" s="94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63"/>
      <c r="B90" s="63"/>
      <c r="C90" s="63"/>
      <c r="D90" s="63"/>
      <c r="E90" s="94"/>
      <c r="F90" s="94"/>
      <c r="G90" s="94"/>
      <c r="H90" s="94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63"/>
      <c r="B91" s="63"/>
      <c r="C91" s="63"/>
      <c r="D91" s="63"/>
      <c r="E91" s="94"/>
      <c r="F91" s="94"/>
      <c r="G91" s="94"/>
      <c r="H91" s="94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63"/>
      <c r="B92" s="63"/>
      <c r="C92" s="63"/>
      <c r="D92" s="63"/>
      <c r="E92" s="94"/>
      <c r="F92" s="94"/>
      <c r="G92" s="94"/>
      <c r="H92" s="94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63"/>
      <c r="B93" s="63"/>
      <c r="C93" s="63"/>
      <c r="D93" s="63"/>
      <c r="E93" s="94"/>
      <c r="F93" s="94"/>
      <c r="G93" s="94"/>
      <c r="H93" s="94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63"/>
      <c r="B94" s="63"/>
      <c r="C94" s="63"/>
      <c r="D94" s="63"/>
      <c r="E94" s="94"/>
      <c r="F94" s="94"/>
      <c r="G94" s="94"/>
      <c r="H94" s="94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63"/>
      <c r="B95" s="63"/>
      <c r="C95" s="63"/>
      <c r="D95" s="63"/>
      <c r="E95" s="94"/>
      <c r="F95" s="94"/>
      <c r="G95" s="94"/>
      <c r="H95" s="9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63"/>
      <c r="B96" s="63"/>
      <c r="C96" s="63"/>
      <c r="D96" s="63"/>
      <c r="E96" s="94"/>
      <c r="F96" s="94"/>
      <c r="G96" s="94"/>
      <c r="H96" s="9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63"/>
      <c r="B97" s="63"/>
      <c r="C97" s="63"/>
      <c r="D97" s="63"/>
      <c r="E97" s="94"/>
      <c r="F97" s="94"/>
      <c r="G97" s="94"/>
      <c r="H97" s="9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/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72" t="s">
        <v>186</v>
      </c>
      <c r="D112" s="272"/>
      <c r="E112" s="273" t="s">
        <v>187</v>
      </c>
      <c r="F112" s="274"/>
      <c r="G112" s="274"/>
      <c r="H112" s="275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/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72" t="s">
        <v>186</v>
      </c>
      <c r="D138" s="272"/>
      <c r="E138" s="273" t="s">
        <v>187</v>
      </c>
      <c r="F138" s="274"/>
      <c r="G138" s="274"/>
      <c r="H138" s="275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72" t="s">
        <v>186</v>
      </c>
      <c r="D164" s="272"/>
      <c r="E164" s="273" t="s">
        <v>187</v>
      </c>
      <c r="F164" s="274"/>
      <c r="G164" s="274"/>
      <c r="H164" s="275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72" t="s">
        <v>186</v>
      </c>
      <c r="D190" s="272"/>
      <c r="E190" s="273" t="s">
        <v>187</v>
      </c>
      <c r="F190" s="274"/>
      <c r="G190" s="274"/>
      <c r="H190" s="275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72" t="s">
        <v>186</v>
      </c>
      <c r="D216" s="272"/>
      <c r="E216" s="273" t="s">
        <v>187</v>
      </c>
      <c r="F216" s="274"/>
      <c r="G216" s="274"/>
      <c r="H216" s="275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72" t="s">
        <v>186</v>
      </c>
      <c r="D242" s="272"/>
      <c r="E242" s="273" t="s">
        <v>187</v>
      </c>
      <c r="F242" s="274"/>
      <c r="G242" s="274"/>
      <c r="H242" s="275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72" t="s">
        <v>186</v>
      </c>
      <c r="D268" s="272"/>
      <c r="E268" s="273" t="s">
        <v>187</v>
      </c>
      <c r="F268" s="274"/>
      <c r="G268" s="274"/>
      <c r="H268" s="275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35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35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35">
      <c r="A15" s="25"/>
      <c r="B15" s="29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4">
        <v>1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4">
        <v>0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53125" defaultRowHeight="14.5" x14ac:dyDescent="0.35"/>
  <cols>
    <col min="1" max="1" width="6.81640625" style="71" bestFit="1" customWidth="1"/>
    <col min="2" max="4" width="11.453125" style="71"/>
    <col min="5" max="5" width="9.54296875" style="71" customWidth="1"/>
    <col min="6" max="7" width="11.453125" style="71"/>
    <col min="8" max="8" width="10.72656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7265625" style="71" bestFit="1" customWidth="1"/>
    <col min="25" max="25" width="14.54296875" style="71" bestFit="1" customWidth="1"/>
    <col min="26" max="26" width="12.453125" style="71" bestFit="1" customWidth="1"/>
    <col min="27" max="27" width="9.72656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26953125" style="71" bestFit="1" customWidth="1"/>
    <col min="45" max="45" width="11.7265625" style="71" bestFit="1" customWidth="1"/>
    <col min="46" max="46" width="8.453125" style="71" bestFit="1" customWidth="1"/>
    <col min="47" max="47" width="9.453125" style="71" bestFit="1" customWidth="1"/>
    <col min="48" max="48" width="9.72656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26953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26953125" style="71" bestFit="1" customWidth="1"/>
    <col min="66" max="66" width="11.7265625" style="71" bestFit="1" customWidth="1"/>
    <col min="67" max="67" width="8.453125" style="71" bestFit="1" customWidth="1"/>
    <col min="68" max="68" width="9.453125" style="71" bestFit="1" customWidth="1"/>
    <col min="69" max="69" width="9.72656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8164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26953125" style="71" bestFit="1" customWidth="1"/>
    <col min="87" max="87" width="11.7265625" style="71" bestFit="1" customWidth="1"/>
    <col min="88" max="88" width="8.453125" style="71" bestFit="1" customWidth="1"/>
    <col min="89" max="89" width="9.453125" style="71" bestFit="1" customWidth="1"/>
    <col min="90" max="90" width="9.72656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26953125" style="71" bestFit="1" customWidth="1"/>
    <col min="108" max="108" width="11.7265625" style="71" bestFit="1" customWidth="1"/>
    <col min="109" max="109" width="8.453125" style="71" bestFit="1" customWidth="1"/>
    <col min="110" max="110" width="9.453125" style="71" bestFit="1" customWidth="1"/>
    <col min="111" max="111" width="9.72656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26953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26953125" style="71" bestFit="1" customWidth="1"/>
    <col min="129" max="129" width="11.7265625" style="71" bestFit="1" customWidth="1"/>
    <col min="130" max="130" width="8.453125" style="71" bestFit="1" customWidth="1"/>
    <col min="131" max="131" width="9.453125" style="71" bestFit="1" customWidth="1"/>
    <col min="132" max="132" width="9.72656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26953125" style="71" bestFit="1" customWidth="1"/>
    <col min="150" max="150" width="11.7265625" style="71" bestFit="1" customWidth="1"/>
    <col min="151" max="151" width="8.453125" style="71" bestFit="1" customWidth="1"/>
    <col min="152" max="152" width="9.453125" style="71" bestFit="1" customWidth="1"/>
    <col min="153" max="153" width="9.72656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26953125" style="71" bestFit="1" customWidth="1"/>
    <col min="171" max="171" width="11.7265625" style="71" bestFit="1" customWidth="1"/>
    <col min="172" max="172" width="8.1796875" style="71" bestFit="1" customWidth="1"/>
    <col min="173" max="173" width="9.453125" style="71" bestFit="1" customWidth="1"/>
    <col min="174" max="174" width="9.72656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26953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72656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26953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26953125" style="71" bestFit="1" customWidth="1"/>
    <col min="213" max="213" width="11.7265625" style="71" bestFit="1" customWidth="1"/>
    <col min="214" max="214" width="8.453125" style="71" bestFit="1" customWidth="1"/>
    <col min="215" max="215" width="9.453125" style="71" bestFit="1" customWidth="1"/>
    <col min="216" max="216" width="9.72656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Chêne sessile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Cèdre de l'Atlas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/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/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/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158.2231941902271</v>
      </c>
      <c r="T3" s="62">
        <f>IF('Données projet'!E9&gt;30,$R$33-$H$33,LOOKUP('Données projet'!$E$9,$A$3:$A$203,R3:R203)-LOOKUP('Données projet'!$E$9,$A$3:$A$203,$H$3:$H$203))</f>
        <v>109.82011879787936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188.94867378904664</v>
      </c>
      <c r="AO3" s="62">
        <f>IF('Données projet'!E10&gt;30,$AM$33-$H$33,LOOKUP('Données projet'!$E$10,$A$3:$A$203,AM3:AM203)-LOOKUP('Données projet'!$E$10,$A$3:$A$203,$H$3:$H$203))</f>
        <v>242.84781402593833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0.8666666666666667</v>
      </c>
      <c r="N4" s="14">
        <f>IF('Données projet'!$A$36&gt;35,N3+M4-V3,IF(A4&lt;'Données projet'!$A$36,$K$205^A4,IF(A4='Données projet'!$A$36,'Données projet'!$B$36,N3+M4-V3)))</f>
        <v>0.8666666666666667</v>
      </c>
      <c r="O4" s="14">
        <f>N4*VLOOKUP('Données projet'!$B$9,Paramètres!$A$1:$I$88,3,0)*VLOOKUP('Données projet'!$B$9,Paramètres!$A$1:$I$88,5,0)</f>
        <v>0.78415999999999997</v>
      </c>
      <c r="P4" s="14">
        <f>EXP(-1.0587+0.8836*LN(O4)+0.284)</f>
        <v>0.37174748982136813</v>
      </c>
      <c r="Q4" s="22">
        <f t="shared" ref="Q4:Q34" si="2">(O4+P4)*0.475*44/12</f>
        <v>2.0132055447722164</v>
      </c>
      <c r="R4" s="62">
        <f t="shared" si="0"/>
        <v>169.82563949769605</v>
      </c>
      <c r="S4" s="62">
        <f ca="1">AVERAGE(OFFSET($R$3,0,0,'Données projet'!$E$9+1,1))-AVERAGE(OFFSET($H$3,0,0,'Données projet'!$E$9+1,1))</f>
        <v>158.2231941902271</v>
      </c>
      <c r="T4" s="62">
        <f>$T$3</f>
        <v>109.82011879787936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projet'!$B$10,Paramètres!$A$1:$I$88,3,0)*VLOOKUP('Données projet'!$B$10,Paramètres!$A$1:$I$88,5,0)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169.37551953033068</v>
      </c>
      <c r="AN4" s="62">
        <f ca="1">AVERAGE(OFFSET($AM$3,0,0,'Données projet'!$E$10+1,1))-AVERAGE(OFFSET($H$3,0,0,'Données projet'!$E$10+1,1))</f>
        <v>188.94867378904664</v>
      </c>
      <c r="AO4" s="62">
        <f>$AO$3</f>
        <v>242.84781402593833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projet'!$B$11,Paramètres!$A$1:$I$88,3,0)*0.475*44/12</f>
        <v>#N/A</v>
      </c>
      <c r="BQ4" s="23" t="e">
        <f>EXP(-LN(2)/25)*BQ3+(1-EXP(-LN(2)/25))/(LN(2)/25)*Calculateur!BL4*Calculateur!BN4*VLOOKUP('Données projet'!$B$11,Paramètres!$A$1:$I$88,3,0)*0.475*44/12</f>
        <v>#N/A</v>
      </c>
      <c r="BR4" s="23" t="e">
        <f>EXP(-LN(2)/2)*BR3+(1-EXP(-LN(2)/2))/(LN(2)/2)*BL4*BO4*VLOOKUP('Données projet'!$B$11,Paramètres!$A$1:$I$88,3,0)*0.475*44/12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0.8666666666666667</v>
      </c>
      <c r="N5" s="14">
        <f>IF('Données projet'!$A$36&gt;35,N4+M5-V4,IF(A5&lt;'Données projet'!$A$36,$K$205^A5,IF(A5='Données projet'!$A$36,'Données projet'!$B$36,N4+M5-V4)))</f>
        <v>1.7333333333333334</v>
      </c>
      <c r="O5" s="14">
        <f>N5*VLOOKUP('Données projet'!$B$9,Paramètres!$A$1:$I$88,3,0)*VLOOKUP('Données projet'!$B$9,Paramètres!$A$1:$I$88,5,0)</f>
        <v>1.5683199999999999</v>
      </c>
      <c r="P5" s="14">
        <f t="shared" ref="P5:P68" si="33">EXP(-1.0587+0.8836*LN(O5)+0.284)</f>
        <v>0.68586422248581913</v>
      </c>
      <c r="Q5" s="22">
        <f t="shared" si="2"/>
        <v>3.926037520829468</v>
      </c>
      <c r="R5" s="62">
        <f t="shared" si="0"/>
        <v>174.52331880833032</v>
      </c>
      <c r="S5" s="62">
        <f ca="1">AVERAGE(OFFSET($R$3,0,0,'Données projet'!$E$9+1,1))-AVERAGE(OFFSET($H$3,0,0,'Données projet'!$E$9+1,1))</f>
        <v>158.2231941902271</v>
      </c>
      <c r="T5" s="62">
        <f t="shared" ref="T5:T68" si="34">$T$3</f>
        <v>109.82011879787936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projet'!$B$10,Paramètres!$A$1:$I$88,3,0)*VLOOKUP('Données projet'!$B$10,Paramètres!$A$1:$I$88,5,0)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172.59142186291126</v>
      </c>
      <c r="AN5" s="62">
        <f ca="1">AVERAGE(OFFSET($AM$3,0,0,'Données projet'!$E$10+1,1))-AVERAGE(OFFSET($H$3,0,0,'Données projet'!$E$10+1,1))</f>
        <v>188.94867378904664</v>
      </c>
      <c r="AO5" s="62">
        <f t="shared" ref="AO5:AO68" si="36">$AO$3</f>
        <v>242.84781402593833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projet'!$B$11,Paramètres!$A$1:$I$88,3,0)*0.475*44/12</f>
        <v>#N/A</v>
      </c>
      <c r="BQ5" s="23" t="e">
        <f>EXP(-LN(2)/25)*BQ4+(1-EXP(-LN(2)/25))/(LN(2)/25)*Calculateur!BL5*Calculateur!BN5*VLOOKUP('Données projet'!$B$11,Paramètres!$A$1:$I$88,3,0)*0.475*44/12</f>
        <v>#N/A</v>
      </c>
      <c r="BR5" s="23" t="e">
        <f>EXP(-LN(2)/2)*BR4+(1-EXP(-LN(2)/2))/(LN(2)/2)*BL5*BO5*VLOOKUP('Données projet'!$B$11,Paramètres!$A$1:$I$88,3,0)*0.475*44/12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0.8666666666666667</v>
      </c>
      <c r="N6" s="14">
        <f>IF('Données projet'!$A$36&gt;35,N5+M6-V5,IF(A6&lt;'Données projet'!$A$36,$K$205^A6,IF(A6='Données projet'!$A$36,'Données projet'!$B$36,N5+M6-V5)))</f>
        <v>2.6</v>
      </c>
      <c r="O6" s="14">
        <f>N6*VLOOKUP('Données projet'!$B$9,Paramètres!$A$1:$I$88,3,0)*VLOOKUP('Données projet'!$B$9,Paramètres!$A$1:$I$88,5,0)</f>
        <v>2.3524799999999999</v>
      </c>
      <c r="P6" s="14">
        <f t="shared" si="33"/>
        <v>0.98136911347162792</v>
      </c>
      <c r="Q6" s="22">
        <f t="shared" si="2"/>
        <v>5.8064538726297519</v>
      </c>
      <c r="R6" s="62">
        <f t="shared" si="0"/>
        <v>179.16147444251465</v>
      </c>
      <c r="S6" s="62">
        <f ca="1">AVERAGE(OFFSET($R$3,0,0,'Données projet'!$E$9+1,1))-AVERAGE(OFFSET($H$3,0,0,'Données projet'!$E$9+1,1))</f>
        <v>158.2231941902271</v>
      </c>
      <c r="T6" s="62">
        <f t="shared" si="34"/>
        <v>109.82011879787936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projet'!$B$10,Paramètres!$A$1:$I$88,3,0)*VLOOKUP('Données projet'!$B$10,Paramètres!$A$1:$I$88,5,0)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175.8995710767951</v>
      </c>
      <c r="AN6" s="62">
        <f ca="1">AVERAGE(OFFSET($AM$3,0,0,'Données projet'!$E$10+1,1))-AVERAGE(OFFSET($H$3,0,0,'Données projet'!$E$10+1,1))</f>
        <v>188.94867378904664</v>
      </c>
      <c r="AO6" s="62">
        <f t="shared" si="36"/>
        <v>242.84781402593833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projet'!$B$11,Paramètres!$A$1:$I$88,3,0)*0.475*44/12</f>
        <v>#N/A</v>
      </c>
      <c r="BQ6" s="23" t="e">
        <f>EXP(-LN(2)/25)*BQ5+(1-EXP(-LN(2)/25))/(LN(2)/25)*Calculateur!BL6*Calculateur!BN6*VLOOKUP('Données projet'!$B$11,Paramètres!$A$1:$I$88,3,0)*0.475*44/12</f>
        <v>#N/A</v>
      </c>
      <c r="BR6" s="23" t="e">
        <f>EXP(-LN(2)/2)*BR5+(1-EXP(-LN(2)/2))/(LN(2)/2)*BL6*BO6*VLOOKUP('Données projet'!$B$11,Paramètres!$A$1:$I$88,3,0)*0.475*44/12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0.8666666666666667</v>
      </c>
      <c r="N7" s="14">
        <f>IF('Données projet'!$A$36&gt;35,N6+M7-V6,IF(A7&lt;'Données projet'!$A$36,$K$205^A7,IF(A7='Données projet'!$A$36,'Données projet'!$B$36,N6+M7-V6)))</f>
        <v>3.4666666666666668</v>
      </c>
      <c r="O7" s="14">
        <f>N7*VLOOKUP('Données projet'!$B$9,Paramètres!$A$1:$I$88,3,0)*VLOOKUP('Données projet'!$B$9,Paramètres!$A$1:$I$88,5,0)</f>
        <v>3.1366399999999999</v>
      </c>
      <c r="P7" s="14">
        <f t="shared" si="33"/>
        <v>1.2654012321969363</v>
      </c>
      <c r="Q7" s="22">
        <f t="shared" si="2"/>
        <v>7.6668884794096641</v>
      </c>
      <c r="R7" s="62">
        <f t="shared" si="0"/>
        <v>183.75301054358661</v>
      </c>
      <c r="S7" s="62">
        <f ca="1">AVERAGE(OFFSET($R$3,0,0,'Données projet'!$E$9+1,1))-AVERAGE(OFFSET($H$3,0,0,'Données projet'!$E$9+1,1))</f>
        <v>158.2231941902271</v>
      </c>
      <c r="T7" s="62">
        <f t="shared" si="34"/>
        <v>109.82011879787936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projet'!$B$10,Paramètres!$A$1:$I$88,3,0)*VLOOKUP('Données projet'!$B$10,Paramètres!$A$1:$I$88,5,0)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179.33361187542249</v>
      </c>
      <c r="AN7" s="62">
        <f ca="1">AVERAGE(OFFSET($AM$3,0,0,'Données projet'!$E$10+1,1))-AVERAGE(OFFSET($H$3,0,0,'Données projet'!$E$10+1,1))</f>
        <v>188.94867378904664</v>
      </c>
      <c r="AO7" s="62">
        <f t="shared" si="36"/>
        <v>242.84781402593833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projet'!$B$11,Paramètres!$A$1:$I$88,3,0)*0.475*44/12</f>
        <v>#N/A</v>
      </c>
      <c r="BQ7" s="23" t="e">
        <f>EXP(-LN(2)/25)*BQ6+(1-EXP(-LN(2)/25))/(LN(2)/25)*Calculateur!BL7*Calculateur!BN7*VLOOKUP('Données projet'!$B$11,Paramètres!$A$1:$I$88,3,0)*0.475*44/12</f>
        <v>#N/A</v>
      </c>
      <c r="BR7" s="23" t="e">
        <f>EXP(-LN(2)/2)*BR6+(1-EXP(-LN(2)/2))/(LN(2)/2)*BL7*BO7*VLOOKUP('Données projet'!$B$11,Paramètres!$A$1:$I$88,3,0)*0.475*44/12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0.8666666666666667</v>
      </c>
      <c r="N8" s="14">
        <f>IF('Données projet'!$A$36&gt;35,N7+M8-V7,IF(A8&lt;'Données projet'!$A$36,$K$205^A8,IF(A8='Données projet'!$A$36,'Données projet'!$B$36,N7+M8-V7)))</f>
        <v>4.3333333333333339</v>
      </c>
      <c r="O8" s="14">
        <f>N8*VLOOKUP('Données projet'!$B$9,Paramètres!$A$1:$I$88,3,0)*VLOOKUP('Données projet'!$B$9,Paramètres!$A$1:$I$88,5,0)</f>
        <v>3.9208000000000007</v>
      </c>
      <c r="P8" s="14">
        <f t="shared" si="33"/>
        <v>1.5411962389562166</v>
      </c>
      <c r="Q8" s="22">
        <f t="shared" si="2"/>
        <v>9.5129767828487442</v>
      </c>
      <c r="R8" s="62">
        <f t="shared" si="0"/>
        <v>188.30402465929609</v>
      </c>
      <c r="S8" s="62">
        <f ca="1">AVERAGE(OFFSET($R$3,0,0,'Données projet'!$E$9+1,1))-AVERAGE(OFFSET($H$3,0,0,'Données projet'!$E$9+1,1))</f>
        <v>158.2231941902271</v>
      </c>
      <c r="T8" s="62">
        <f t="shared" si="34"/>
        <v>109.82011879787936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projet'!$B$10,Paramètres!$A$1:$I$88,3,0)*VLOOKUP('Données projet'!$B$10,Paramètres!$A$1:$I$88,5,0)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182.93643447861868</v>
      </c>
      <c r="AN8" s="62">
        <f ca="1">AVERAGE(OFFSET($AM$3,0,0,'Données projet'!$E$10+1,1))-AVERAGE(OFFSET($H$3,0,0,'Données projet'!$E$10+1,1))</f>
        <v>188.94867378904664</v>
      </c>
      <c r="AO8" s="62">
        <f t="shared" si="36"/>
        <v>242.84781402593833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projet'!$B$11,Paramètres!$A$1:$I$88,3,0)*0.475*44/12</f>
        <v>#N/A</v>
      </c>
      <c r="BQ8" s="23" t="e">
        <f>EXP(-LN(2)/25)*BQ7+(1-EXP(-LN(2)/25))/(LN(2)/25)*Calculateur!BL8*Calculateur!BN8*VLOOKUP('Données projet'!$B$11,Paramètres!$A$1:$I$88,3,0)*0.475*44/12</f>
        <v>#N/A</v>
      </c>
      <c r="BR8" s="23" t="e">
        <f>EXP(-LN(2)/2)*BR7+(1-EXP(-LN(2)/2))/(LN(2)/2)*BL8*BO8*VLOOKUP('Données projet'!$B$11,Paramètres!$A$1:$I$88,3,0)*0.475*44/12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0.8666666666666667</v>
      </c>
      <c r="N9" s="14">
        <f>IF('Données projet'!$A$36&gt;35,N8+M9-V8,IF(A9&lt;'Données projet'!$A$36,$K$205^A9,IF(A9='Données projet'!$A$36,'Données projet'!$B$36,N8+M9-V8)))</f>
        <v>5.2000000000000011</v>
      </c>
      <c r="O9" s="14">
        <f>N9*VLOOKUP('Données projet'!$B$9,Paramètres!$A$1:$I$88,3,0)*VLOOKUP('Données projet'!$B$9,Paramètres!$A$1:$I$88,5,0)</f>
        <v>4.7049600000000007</v>
      </c>
      <c r="P9" s="14">
        <f t="shared" si="33"/>
        <v>1.8105998894740263</v>
      </c>
      <c r="Q9" s="22">
        <f t="shared" si="2"/>
        <v>11.347933474167261</v>
      </c>
      <c r="R9" s="62">
        <f t="shared" si="0"/>
        <v>192.81818557042624</v>
      </c>
      <c r="S9" s="62">
        <f ca="1">AVERAGE(OFFSET($R$3,0,0,'Données projet'!$E$9+1,1))-AVERAGE(OFFSET($H$3,0,0,'Données projet'!$E$9+1,1))</f>
        <v>158.2231941902271</v>
      </c>
      <c r="T9" s="62">
        <f t="shared" si="34"/>
        <v>109.82011879787936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projet'!$B$10,Paramètres!$A$1:$I$88,3,0)*VLOOKUP('Données projet'!$B$10,Paramètres!$A$1:$I$88,5,0)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186.76276453247874</v>
      </c>
      <c r="AN9" s="62">
        <f ca="1">AVERAGE(OFFSET($AM$3,0,0,'Données projet'!$E$10+1,1))-AVERAGE(OFFSET($H$3,0,0,'Données projet'!$E$10+1,1))</f>
        <v>188.94867378904664</v>
      </c>
      <c r="AO9" s="62">
        <f t="shared" si="36"/>
        <v>242.84781402593833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projet'!$B$11,Paramètres!$A$1:$I$88,3,0)*0.475*44/12</f>
        <v>#N/A</v>
      </c>
      <c r="BQ9" s="23" t="e">
        <f>EXP(-LN(2)/25)*BQ8+(1-EXP(-LN(2)/25))/(LN(2)/25)*Calculateur!BL9*Calculateur!BN9*VLOOKUP('Données projet'!$B$11,Paramètres!$A$1:$I$88,3,0)*0.475*44/12</f>
        <v>#N/A</v>
      </c>
      <c r="BR9" s="23" t="e">
        <f>EXP(-LN(2)/2)*BR8+(1-EXP(-LN(2)/2))/(LN(2)/2)*BL9*BO9*VLOOKUP('Données projet'!$B$11,Paramètres!$A$1:$I$88,3,0)*0.475*44/12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0.8666666666666667</v>
      </c>
      <c r="N10" s="14">
        <f>IF('Données projet'!$A$36&gt;35,N9+M10-V9,IF(A10&lt;'Données projet'!$A$36,$K$205^A10,IF(A10='Données projet'!$A$36,'Données projet'!$B$36,N9+M10-V9)))</f>
        <v>6.0666666666666682</v>
      </c>
      <c r="O10" s="14">
        <f>N10*VLOOKUP('Données projet'!$B$9,Paramètres!$A$1:$I$88,3,0)*VLOOKUP('Données projet'!$B$9,Paramètres!$A$1:$I$88,5,0)</f>
        <v>5.4891200000000016</v>
      </c>
      <c r="P10" s="14">
        <f t="shared" si="33"/>
        <v>2.0748020710988024</v>
      </c>
      <c r="Q10" s="22">
        <f t="shared" si="2"/>
        <v>13.173830940497083</v>
      </c>
      <c r="R10" s="62">
        <f t="shared" si="0"/>
        <v>197.29801187623332</v>
      </c>
      <c r="S10" s="62">
        <f ca="1">AVERAGE(OFFSET($R$3,0,0,'Données projet'!$E$9+1,1))-AVERAGE(OFFSET($H$3,0,0,'Données projet'!$E$9+1,1))</f>
        <v>158.2231941902271</v>
      </c>
      <c r="T10" s="62">
        <f t="shared" si="34"/>
        <v>109.82011879787936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projet'!$B$10,Paramètres!$A$1:$I$88,3,0)*VLOOKUP('Données projet'!$B$10,Paramètres!$A$1:$I$88,5,0)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190.88248001211113</v>
      </c>
      <c r="AN10" s="62">
        <f ca="1">AVERAGE(OFFSET($AM$3,0,0,'Données projet'!$E$10+1,1))-AVERAGE(OFFSET($H$3,0,0,'Données projet'!$E$10+1,1))</f>
        <v>188.94867378904664</v>
      </c>
      <c r="AO10" s="62">
        <f t="shared" si="36"/>
        <v>242.84781402593833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projet'!$B$11,Paramètres!$A$1:$I$88,3,0)*0.475*44/12</f>
        <v>#N/A</v>
      </c>
      <c r="BQ10" s="23" t="e">
        <f>EXP(-LN(2)/25)*BQ9+(1-EXP(-LN(2)/25))/(LN(2)/25)*Calculateur!BL10*Calculateur!BN10*VLOOKUP('Données projet'!$B$11,Paramètres!$A$1:$I$88,3,0)*0.475*44/12</f>
        <v>#N/A</v>
      </c>
      <c r="BR10" s="23" t="e">
        <f>EXP(-LN(2)/2)*BR9+(1-EXP(-LN(2)/2))/(LN(2)/2)*BL10*BO10*VLOOKUP('Données projet'!$B$11,Paramètres!$A$1:$I$88,3,0)*0.475*44/12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0.8666666666666667</v>
      </c>
      <c r="N11" s="14">
        <f>IF('Données projet'!$A$36&gt;35,N10+M11-V10,IF(A11&lt;'Données projet'!$A$36,$K$205^A11,IF(A11='Données projet'!$A$36,'Données projet'!$B$36,N10+M11-V10)))</f>
        <v>6.9333333333333353</v>
      </c>
      <c r="O11" s="14">
        <f>N11*VLOOKUP('Données projet'!$B$9,Paramètres!$A$1:$I$88,3,0)*VLOOKUP('Données projet'!$B$9,Paramètres!$A$1:$I$88,5,0)</f>
        <v>6.2732800000000024</v>
      </c>
      <c r="P11" s="14">
        <f t="shared" si="33"/>
        <v>2.3346315873454562</v>
      </c>
      <c r="Q11" s="22">
        <f t="shared" si="2"/>
        <v>14.992112681293341</v>
      </c>
      <c r="R11" s="62">
        <f t="shared" si="0"/>
        <v>201.74538554751391</v>
      </c>
      <c r="S11" s="62">
        <f ca="1">AVERAGE(OFFSET($R$3,0,0,'Données projet'!$E$9+1,1))-AVERAGE(OFFSET($H$3,0,0,'Données projet'!$E$9+1,1))</f>
        <v>158.2231941902271</v>
      </c>
      <c r="T11" s="62">
        <f t="shared" si="34"/>
        <v>109.82011879787936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projet'!$B$10,Paramètres!$A$1:$I$88,3,0)*VLOOKUP('Données projet'!$B$10,Paramètres!$A$1:$I$88,5,0)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195.38485976905437</v>
      </c>
      <c r="AN11" s="62">
        <f ca="1">AVERAGE(OFFSET($AM$3,0,0,'Données projet'!$E$10+1,1))-AVERAGE(OFFSET($H$3,0,0,'Données projet'!$E$10+1,1))</f>
        <v>188.94867378904664</v>
      </c>
      <c r="AO11" s="62">
        <f t="shared" si="36"/>
        <v>242.84781402593833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projet'!$B$11,Paramètres!$A$1:$I$88,3,0)*0.475*44/12</f>
        <v>#N/A</v>
      </c>
      <c r="BQ11" s="23" t="e">
        <f>EXP(-LN(2)/25)*BQ10+(1-EXP(-LN(2)/25))/(LN(2)/25)*Calculateur!BL11*Calculateur!BN11*VLOOKUP('Données projet'!$B$11,Paramètres!$A$1:$I$88,3,0)*0.475*44/12</f>
        <v>#N/A</v>
      </c>
      <c r="BR11" s="23" t="e">
        <f>EXP(-LN(2)/2)*BR10+(1-EXP(-LN(2)/2))/(LN(2)/2)*BL11*BO11*VLOOKUP('Données projet'!$B$11,Paramètres!$A$1:$I$88,3,0)*0.475*44/12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0.8666666666666667</v>
      </c>
      <c r="N12" s="14">
        <f>IF('Données projet'!$A$36&gt;35,N11+M12-V11,IF(A12&lt;'Données projet'!$A$36,$K$205^A12,IF(A12='Données projet'!$A$36,'Données projet'!$B$36,N11+M12-V11)))</f>
        <v>7.8000000000000025</v>
      </c>
      <c r="O12" s="14">
        <f>N12*VLOOKUP('Données projet'!$B$9,Paramètres!$A$1:$I$88,3,0)*VLOOKUP('Données projet'!$B$9,Paramètres!$A$1:$I$88,5,0)</f>
        <v>7.0574400000000015</v>
      </c>
      <c r="P12" s="14">
        <f t="shared" si="33"/>
        <v>2.5906976193406721</v>
      </c>
      <c r="Q12" s="22">
        <f t="shared" si="2"/>
        <v>16.803839687018339</v>
      </c>
      <c r="R12" s="62">
        <f t="shared" si="0"/>
        <v>206.1617984395744</v>
      </c>
      <c r="S12" s="62">
        <f ca="1">AVERAGE(OFFSET($R$3,0,0,'Données projet'!$E$9+1,1))-AVERAGE(OFFSET($H$3,0,0,'Données projet'!$E$9+1,1))</f>
        <v>158.2231941902271</v>
      </c>
      <c r="T12" s="62">
        <f t="shared" si="34"/>
        <v>109.82011879787936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projet'!$B$10,Paramètres!$A$1:$I$88,3,0)*VLOOKUP('Données projet'!$B$10,Paramètres!$A$1:$I$88,5,0)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200.38402613222581</v>
      </c>
      <c r="AN12" s="62">
        <f ca="1">AVERAGE(OFFSET($AM$3,0,0,'Données projet'!$E$10+1,1))-AVERAGE(OFFSET($H$3,0,0,'Données projet'!$E$10+1,1))</f>
        <v>188.94867378904664</v>
      </c>
      <c r="AO12" s="62">
        <f t="shared" si="36"/>
        <v>242.84781402593833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projet'!$B$11,Paramètres!$A$1:$I$88,3,0)*0.475*44/12</f>
        <v>#N/A</v>
      </c>
      <c r="BQ12" s="23" t="e">
        <f>EXP(-LN(2)/25)*BQ11+(1-EXP(-LN(2)/25))/(LN(2)/25)*Calculateur!BL12*Calculateur!BN12*VLOOKUP('Données projet'!$B$11,Paramètres!$A$1:$I$88,3,0)*0.475*44/12</f>
        <v>#N/A</v>
      </c>
      <c r="BR12" s="23" t="e">
        <f>EXP(-LN(2)/2)*BR11+(1-EXP(-LN(2)/2))/(LN(2)/2)*BL12*BO12*VLOOKUP('Données projet'!$B$11,Paramètres!$A$1:$I$88,3,0)*0.475*44/12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0.8666666666666667</v>
      </c>
      <c r="N13" s="14">
        <f>IF('Données projet'!$A$36&gt;35,N12+M13-V12,IF(A13&lt;'Données projet'!$A$36,$K$205^A13,IF(A13='Données projet'!$A$36,'Données projet'!$B$36,N12+M13-V12)))</f>
        <v>8.6666666666666696</v>
      </c>
      <c r="O13" s="14">
        <f>N13*VLOOKUP('Données projet'!$B$9,Paramètres!$A$1:$I$88,3,0)*VLOOKUP('Données projet'!$B$9,Paramètres!$A$1:$I$88,5,0)</f>
        <v>7.8416000000000023</v>
      </c>
      <c r="P13" s="14">
        <f t="shared" si="33"/>
        <v>2.8434660329184962</v>
      </c>
      <c r="Q13" s="22">
        <f t="shared" si="2"/>
        <v>18.609823340666384</v>
      </c>
      <c r="R13" s="62">
        <f t="shared" si="0"/>
        <v>210.54848532571128</v>
      </c>
      <c r="S13" s="62">
        <f ca="1">AVERAGE(OFFSET($R$3,0,0,'Données projet'!$E$9+1,1))-AVERAGE(OFFSET($H$3,0,0,'Données projet'!$E$9+1,1))</f>
        <v>158.2231941902271</v>
      </c>
      <c r="T13" s="62">
        <f t="shared" si="34"/>
        <v>109.82011879787936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projet'!$B$10,Paramètres!$A$1:$I$88,3,0)*VLOOKUP('Données projet'!$B$10,Paramètres!$A$1:$I$88,5,0)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206.02591806621032</v>
      </c>
      <c r="AN13" s="62">
        <f ca="1">AVERAGE(OFFSET($AM$3,0,0,'Données projet'!$E$10+1,1))-AVERAGE(OFFSET($H$3,0,0,'Données projet'!$E$10+1,1))</f>
        <v>188.94867378904664</v>
      </c>
      <c r="AO13" s="62">
        <f t="shared" si="36"/>
        <v>242.84781402593833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projet'!$B$11,Paramètres!$A$1:$I$88,3,0)*0.475*44/12</f>
        <v>#N/A</v>
      </c>
      <c r="BQ13" s="23" t="e">
        <f>EXP(-LN(2)/25)*BQ12+(1-EXP(-LN(2)/25))/(LN(2)/25)*Calculateur!BL13*Calculateur!BN13*VLOOKUP('Données projet'!$B$11,Paramètres!$A$1:$I$88,3,0)*0.475*44/12</f>
        <v>#N/A</v>
      </c>
      <c r="BR13" s="23" t="e">
        <f>EXP(-LN(2)/2)*BR12+(1-EXP(-LN(2)/2))/(LN(2)/2)*BL13*BO13*VLOOKUP('Données projet'!$B$11,Paramètres!$A$1:$I$88,3,0)*0.475*44/12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0.8666666666666667</v>
      </c>
      <c r="N14" s="14">
        <f>IF('Données projet'!$A$36&gt;35,N13+M14-V13,IF(A14&lt;'Données projet'!$A$36,$K$205^A14,IF(A14='Données projet'!$A$36,'Données projet'!$B$36,N13+M14-V13)))</f>
        <v>9.5333333333333368</v>
      </c>
      <c r="O14" s="14">
        <f>N14*VLOOKUP('Données projet'!$B$9,Paramètres!$A$1:$I$88,3,0)*VLOOKUP('Données projet'!$B$9,Paramètres!$A$1:$I$88,5,0)</f>
        <v>8.6257600000000014</v>
      </c>
      <c r="P14" s="14">
        <f t="shared" si="33"/>
        <v>3.0933041290640175</v>
      </c>
      <c r="Q14" s="22">
        <f t="shared" si="2"/>
        <v>20.410703358119832</v>
      </c>
      <c r="R14" s="62">
        <f t="shared" si="0"/>
        <v>214.90650196723396</v>
      </c>
      <c r="S14" s="62">
        <f ca="1">AVERAGE(OFFSET($R$3,0,0,'Données projet'!$E$9+1,1))-AVERAGE(OFFSET($H$3,0,0,'Données projet'!$E$9+1,1))</f>
        <v>158.2231941902271</v>
      </c>
      <c r="T14" s="62">
        <f t="shared" si="34"/>
        <v>109.82011879787936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projet'!$B$10,Paramètres!$A$1:$I$88,3,0)*VLOOKUP('Données projet'!$B$10,Paramètres!$A$1:$I$88,5,0)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212.49722645475953</v>
      </c>
      <c r="AN14" s="62">
        <f ca="1">AVERAGE(OFFSET($AM$3,0,0,'Données projet'!$E$10+1,1))-AVERAGE(OFFSET($H$3,0,0,'Données projet'!$E$10+1,1))</f>
        <v>188.94867378904664</v>
      </c>
      <c r="AO14" s="62">
        <f t="shared" si="36"/>
        <v>242.84781402593833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projet'!$B$11,Paramètres!$A$1:$I$88,3,0)*0.475*44/12</f>
        <v>#N/A</v>
      </c>
      <c r="BQ14" s="23" t="e">
        <f>EXP(-LN(2)/25)*BQ13+(1-EXP(-LN(2)/25))/(LN(2)/25)*Calculateur!BL14*Calculateur!BN14*VLOOKUP('Données projet'!$B$11,Paramètres!$A$1:$I$88,3,0)*0.475*44/12</f>
        <v>#N/A</v>
      </c>
      <c r="BR14" s="23" t="e">
        <f>EXP(-LN(2)/2)*BR13+(1-EXP(-LN(2)/2))/(LN(2)/2)*BL14*BO14*VLOOKUP('Données projet'!$B$11,Paramètres!$A$1:$I$88,3,0)*0.475*44/12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0.8666666666666667</v>
      </c>
      <c r="N15" s="14">
        <f>IF('Données projet'!$A$36&gt;35,N14+M15-V14,IF(A15&lt;'Données projet'!$A$36,$K$205^A15,IF(A15='Données projet'!$A$36,'Données projet'!$B$36,N14+M15-V14)))</f>
        <v>10.400000000000004</v>
      </c>
      <c r="O15" s="14">
        <f>N15*VLOOKUP('Données projet'!$B$9,Paramètres!$A$1:$I$88,3,0)*VLOOKUP('Données projet'!$B$9,Paramètres!$A$1:$I$88,5,0)</f>
        <v>9.4099200000000032</v>
      </c>
      <c r="P15" s="14">
        <f t="shared" si="33"/>
        <v>3.3405085963693653</v>
      </c>
      <c r="Q15" s="22">
        <f t="shared" si="2"/>
        <v>22.20699647200998</v>
      </c>
      <c r="R15" s="62">
        <f t="shared" si="0"/>
        <v>219.23677392474286</v>
      </c>
      <c r="S15" s="62">
        <f ca="1">AVERAGE(OFFSET($R$3,0,0,'Données projet'!$E$9+1,1))-AVERAGE(OFFSET($H$3,0,0,'Données projet'!$E$9+1,1))</f>
        <v>158.2231941902271</v>
      </c>
      <c r="T15" s="62">
        <f t="shared" si="34"/>
        <v>109.82011879787936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projet'!$B$10,Paramètres!$A$1:$I$88,3,0)*VLOOKUP('Données projet'!$B$10,Paramètres!$A$1:$I$88,5,0)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220.03684505695335</v>
      </c>
      <c r="AN15" s="62">
        <f ca="1">AVERAGE(OFFSET($AM$3,0,0,'Données projet'!$E$10+1,1))-AVERAGE(OFFSET($H$3,0,0,'Données projet'!$E$10+1,1))</f>
        <v>188.94867378904664</v>
      </c>
      <c r="AO15" s="62">
        <f t="shared" si="36"/>
        <v>242.84781402593833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projet'!$B$11,Paramètres!$A$1:$I$88,3,0)*0.475*44/12</f>
        <v>#N/A</v>
      </c>
      <c r="BQ15" s="23" t="e">
        <f>EXP(-LN(2)/25)*BQ14+(1-EXP(-LN(2)/25))/(LN(2)/25)*Calculateur!BL15*Calculateur!BN15*VLOOKUP('Données projet'!$B$11,Paramètres!$A$1:$I$88,3,0)*0.475*44/12</f>
        <v>#N/A</v>
      </c>
      <c r="BR15" s="23" t="e">
        <f>EXP(-LN(2)/2)*BR14+(1-EXP(-LN(2)/2))/(LN(2)/2)*BL15*BO15*VLOOKUP('Données projet'!$B$11,Paramètres!$A$1:$I$88,3,0)*0.475*44/12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0.8666666666666667</v>
      </c>
      <c r="N16" s="14">
        <f>IF('Données projet'!$A$36&gt;35,N15+M16-V15,IF(A16&lt;'Données projet'!$A$36,$K$205^A16,IF(A16='Données projet'!$A$36,'Données projet'!$B$36,N15+M16-V15)))</f>
        <v>11.266666666666671</v>
      </c>
      <c r="O16" s="14">
        <f>N16*VLOOKUP('Données projet'!$B$9,Paramètres!$A$1:$I$88,3,0)*VLOOKUP('Données projet'!$B$9,Paramètres!$A$1:$I$88,5,0)</f>
        <v>10.194080000000005</v>
      </c>
      <c r="P16" s="14">
        <f t="shared" si="33"/>
        <v>3.5853238555887534</v>
      </c>
      <c r="Q16" s="22">
        <f t="shared" si="2"/>
        <v>23.999128381817087</v>
      </c>
      <c r="R16" s="62">
        <f t="shared" si="0"/>
        <v>223.5401286334359</v>
      </c>
      <c r="S16" s="62">
        <f ca="1">AVERAGE(OFFSET($R$3,0,0,'Données projet'!$E$9+1,1))-AVERAGE(OFFSET($H$3,0,0,'Données projet'!$E$9+1,1))</f>
        <v>158.2231941902271</v>
      </c>
      <c r="T16" s="62">
        <f t="shared" si="34"/>
        <v>109.82011879787936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projet'!$B$10,Paramètres!$A$1:$I$88,3,0)*VLOOKUP('Données projet'!$B$10,Paramètres!$A$1:$I$88,5,0)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228.95054721438314</v>
      </c>
      <c r="AN16" s="62">
        <f ca="1">AVERAGE(OFFSET($AM$3,0,0,'Données projet'!$E$10+1,1))-AVERAGE(OFFSET($H$3,0,0,'Données projet'!$E$10+1,1))</f>
        <v>188.94867378904664</v>
      </c>
      <c r="AO16" s="62">
        <f t="shared" si="36"/>
        <v>242.84781402593833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projet'!$B$11,Paramètres!$A$1:$I$88,3,0)*0.475*44/12</f>
        <v>#N/A</v>
      </c>
      <c r="BQ16" s="23" t="e">
        <f>EXP(-LN(2)/25)*BQ15+(1-EXP(-LN(2)/25))/(LN(2)/25)*Calculateur!BL16*Calculateur!BN16*VLOOKUP('Données projet'!$B$11,Paramètres!$A$1:$I$88,3,0)*0.475*44/12</f>
        <v>#N/A</v>
      </c>
      <c r="BR16" s="23" t="e">
        <f>EXP(-LN(2)/2)*BR15+(1-EXP(-LN(2)/2))/(LN(2)/2)*BL16*BO16*VLOOKUP('Données projet'!$B$11,Paramètres!$A$1:$I$88,3,0)*0.475*44/12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0.8666666666666667</v>
      </c>
      <c r="N17" s="14">
        <f>IF('Données projet'!$A$36&gt;35,N16+M17-V16,IF(A17&lt;'Données projet'!$A$36,$K$205^A17,IF(A17='Données projet'!$A$36,'Données projet'!$B$36,N16+M17-V16)))</f>
        <v>12.133333333333338</v>
      </c>
      <c r="O17" s="14">
        <f>N17*VLOOKUP('Données projet'!$B$9,Paramètres!$A$1:$I$88,3,0)*VLOOKUP('Données projet'!$B$9,Paramètres!$A$1:$I$88,5,0)</f>
        <v>10.978240000000003</v>
      </c>
      <c r="P17" s="14">
        <f t="shared" si="33"/>
        <v>3.8279545881801171</v>
      </c>
      <c r="Q17" s="22">
        <f t="shared" si="2"/>
        <v>25.787455574413709</v>
      </c>
      <c r="R17" s="62">
        <f t="shared" si="0"/>
        <v>227.81731734668691</v>
      </c>
      <c r="S17" s="62">
        <f ca="1">AVERAGE(OFFSET($R$3,0,0,'Données projet'!$E$9+1,1))-AVERAGE(OFFSET($H$3,0,0,'Données projet'!$E$9+1,1))</f>
        <v>158.2231941902271</v>
      </c>
      <c r="T17" s="62">
        <f t="shared" si="34"/>
        <v>109.82011879787936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projet'!$B$10,Paramètres!$A$1:$I$88,3,0)*VLOOKUP('Données projet'!$B$10,Paramètres!$A$1:$I$88,5,0)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239.62979927584371</v>
      </c>
      <c r="AN17" s="62">
        <f ca="1">AVERAGE(OFFSET($AM$3,0,0,'Données projet'!$E$10+1,1))-AVERAGE(OFFSET($H$3,0,0,'Données projet'!$E$10+1,1))</f>
        <v>188.94867378904664</v>
      </c>
      <c r="AO17" s="62">
        <f t="shared" si="36"/>
        <v>242.84781402593833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projet'!$B$11,Paramètres!$A$1:$I$88,3,0)*0.475*44/12</f>
        <v>#N/A</v>
      </c>
      <c r="BQ17" s="23" t="e">
        <f>EXP(-LN(2)/25)*BQ16+(1-EXP(-LN(2)/25))/(LN(2)/25)*Calculateur!BL17*Calculateur!BN17*VLOOKUP('Données projet'!$B$11,Paramètres!$A$1:$I$88,3,0)*0.475*44/12</f>
        <v>#N/A</v>
      </c>
      <c r="BR17" s="23" t="e">
        <f>EXP(-LN(2)/2)*BR16+(1-EXP(-LN(2)/2))/(LN(2)/2)*BL17*BO17*VLOOKUP('Données projet'!$B$11,Paramètres!$A$1:$I$88,3,0)*0.475*44/12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0.8666666666666667</v>
      </c>
      <c r="N18" s="14">
        <f>IF('Données projet'!$A$36&gt;35,N17+M18-V17,IF(A18&lt;'Données projet'!$A$36,$K$205^A18,IF(A18='Données projet'!$A$36,'Données projet'!$B$36,N17+M18-V17)))</f>
        <v>13.000000000000005</v>
      </c>
      <c r="O18" s="14">
        <f>N18*VLOOKUP('Données projet'!$B$9,Paramètres!$A$1:$I$88,3,0)*VLOOKUP('Données projet'!$B$9,Paramètres!$A$1:$I$88,5,0)</f>
        <v>11.762400000000005</v>
      </c>
      <c r="P18" s="14">
        <f t="shared" si="33"/>
        <v>4.0685745785050145</v>
      </c>
      <c r="Q18" s="22">
        <f t="shared" si="2"/>
        <v>27.572280724229575</v>
      </c>
      <c r="R18" s="62">
        <f t="shared" si="0"/>
        <v>232.06903065711063</v>
      </c>
      <c r="S18" s="62">
        <f ca="1">AVERAGE(OFFSET($R$3,0,0,'Données projet'!$E$9+1,1))-AVERAGE(OFFSET($H$3,0,0,'Données projet'!$E$9+1,1))</f>
        <v>158.2231941902271</v>
      </c>
      <c r="T18" s="62">
        <f t="shared" si="34"/>
        <v>109.82011879787936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projet'!$B$10,Paramètres!$A$1:$I$88,3,0)*VLOOKUP('Données projet'!$B$10,Paramètres!$A$1:$I$88,5,0)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252.57587954511902</v>
      </c>
      <c r="AN18" s="62">
        <f ca="1">AVERAGE(OFFSET($AM$3,0,0,'Données projet'!$E$10+1,1))-AVERAGE(OFFSET($H$3,0,0,'Données projet'!$E$10+1,1))</f>
        <v>188.94867378904664</v>
      </c>
      <c r="AO18" s="62">
        <f t="shared" si="36"/>
        <v>242.84781402593833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projet'!$B$11,Paramètres!$A$1:$I$88,3,0)*0.475*44/12</f>
        <v>#N/A</v>
      </c>
      <c r="BQ18" s="23" t="e">
        <f>EXP(-LN(2)/25)*BQ17+(1-EXP(-LN(2)/25))/(LN(2)/25)*Calculateur!BL18*Calculateur!BN18*VLOOKUP('Données projet'!$B$11,Paramètres!$A$1:$I$88,3,0)*0.475*44/12</f>
        <v>#N/A</v>
      </c>
      <c r="BR18" s="23" t="e">
        <f>EXP(-LN(2)/2)*BR17+(1-EXP(-LN(2)/2))/(LN(2)/2)*BL18*BO18*VLOOKUP('Données projet'!$B$11,Paramètres!$A$1:$I$88,3,0)*0.475*44/12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0.8666666666666667</v>
      </c>
      <c r="N19" s="14">
        <f>IF('Données projet'!$A$36&gt;35,N18+M19-V18,IF(A19&lt;'Données projet'!$A$36,$K$205^A19,IF(A19='Données projet'!$A$36,'Données projet'!$B$36,N18+M19-V18)))</f>
        <v>13.866666666666672</v>
      </c>
      <c r="O19" s="14">
        <f>N19*VLOOKUP('Données projet'!$B$9,Paramètres!$A$1:$I$88,3,0)*VLOOKUP('Données projet'!$B$9,Paramètres!$A$1:$I$88,5,0)</f>
        <v>12.546560000000005</v>
      </c>
      <c r="P19" s="14">
        <f t="shared" si="33"/>
        <v>4.3073331287723073</v>
      </c>
      <c r="Q19" s="22">
        <f t="shared" si="2"/>
        <v>29.353863865945112</v>
      </c>
      <c r="R19" s="62">
        <f t="shared" si="0"/>
        <v>236.29590978805916</v>
      </c>
      <c r="S19" s="62">
        <f ca="1">AVERAGE(OFFSET($R$3,0,0,'Données projet'!$E$9+1,1))-AVERAGE(OFFSET($H$3,0,0,'Données projet'!$E$9+1,1))</f>
        <v>158.2231941902271</v>
      </c>
      <c r="T19" s="62">
        <f t="shared" si="34"/>
        <v>109.82011879787936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projet'!$B$10,Paramètres!$A$1:$I$88,3,0)*VLOOKUP('Données projet'!$B$10,Paramètres!$A$1:$I$88,5,0)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268.43080252293612</v>
      </c>
      <c r="AN19" s="62">
        <f ca="1">AVERAGE(OFFSET($AM$3,0,0,'Données projet'!$E$10+1,1))-AVERAGE(OFFSET($H$3,0,0,'Données projet'!$E$10+1,1))</f>
        <v>188.94867378904664</v>
      </c>
      <c r="AO19" s="62">
        <f t="shared" si="36"/>
        <v>242.84781402593833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projet'!$B$11,Paramètres!$A$1:$I$88,3,0)*0.475*44/12</f>
        <v>#N/A</v>
      </c>
      <c r="BQ19" s="23" t="e">
        <f>EXP(-LN(2)/25)*BQ18+(1-EXP(-LN(2)/25))/(LN(2)/25)*Calculateur!BL19*Calculateur!BN19*VLOOKUP('Données projet'!$B$11,Paramètres!$A$1:$I$88,3,0)*0.475*44/12</f>
        <v>#N/A</v>
      </c>
      <c r="BR19" s="23" t="e">
        <f>EXP(-LN(2)/2)*BR18+(1-EXP(-LN(2)/2))/(LN(2)/2)*BL19*BO19*VLOOKUP('Données projet'!$B$11,Paramètres!$A$1:$I$88,3,0)*0.475*44/12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0.8666666666666667</v>
      </c>
      <c r="N20" s="14">
        <f>IF('Données projet'!$A$36&gt;35,N19+M20-V19,IF(A20&lt;'Données projet'!$A$36,$K$205^A20,IF(A20='Données projet'!$A$36,'Données projet'!$B$36,N19+M20-V19)))</f>
        <v>14.73333333333334</v>
      </c>
      <c r="O20" s="14">
        <f>N20*VLOOKUP('Données projet'!$B$9,Paramètres!$A$1:$I$88,3,0)*VLOOKUP('Données projet'!$B$9,Paramètres!$A$1:$I$88,5,0)</f>
        <v>13.330720000000007</v>
      </c>
      <c r="P20" s="14">
        <f t="shared" si="33"/>
        <v>4.5443598235912459</v>
      </c>
      <c r="Q20" s="22">
        <f t="shared" si="2"/>
        <v>31.132430692754767</v>
      </c>
      <c r="R20" s="62">
        <f t="shared" si="0"/>
        <v>240.49855500862748</v>
      </c>
      <c r="S20" s="62">
        <f ca="1">AVERAGE(OFFSET($R$3,0,0,'Données projet'!$E$9+1,1))-AVERAGE(OFFSET($H$3,0,0,'Données projet'!$E$9+1,1))</f>
        <v>158.2231941902271</v>
      </c>
      <c r="T20" s="62">
        <f t="shared" si="34"/>
        <v>109.82011879787936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projet'!$B$10,Paramètres!$A$1:$I$88,3,0)*VLOOKUP('Données projet'!$B$10,Paramètres!$A$1:$I$88,5,0)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288.01697308330836</v>
      </c>
      <c r="AN20" s="62">
        <f ca="1">AVERAGE(OFFSET($AM$3,0,0,'Données projet'!$E$10+1,1))-AVERAGE(OFFSET($H$3,0,0,'Données projet'!$E$10+1,1))</f>
        <v>188.94867378904664</v>
      </c>
      <c r="AO20" s="62">
        <f t="shared" si="36"/>
        <v>242.84781402593833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projet'!$B$11,Paramètres!$A$1:$I$88,3,0)*0.475*44/12</f>
        <v>#N/A</v>
      </c>
      <c r="BQ20" s="23" t="e">
        <f>EXP(-LN(2)/25)*BQ19+(1-EXP(-LN(2)/25))/(LN(2)/25)*Calculateur!BL20*Calculateur!BN20*VLOOKUP('Données projet'!$B$11,Paramètres!$A$1:$I$88,3,0)*0.475*44/12</f>
        <v>#N/A</v>
      </c>
      <c r="BR20" s="23" t="e">
        <f>EXP(-LN(2)/2)*BR19+(1-EXP(-LN(2)/2))/(LN(2)/2)*BL20*BO20*VLOOKUP('Données projet'!$B$11,Paramètres!$A$1:$I$88,3,0)*0.475*44/12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0.8666666666666667</v>
      </c>
      <c r="N21" s="14">
        <f>IF('Données projet'!$A$36&gt;35,N20+M21-V20,IF(A21&lt;'Données projet'!$A$36,$K$205^A21,IF(A21='Données projet'!$A$36,'Données projet'!$B$36,N20+M21-V20)))</f>
        <v>15.600000000000007</v>
      </c>
      <c r="O21" s="14">
        <f>N21*VLOOKUP('Données projet'!$B$9,Paramètres!$A$1:$I$88,3,0)*VLOOKUP('Données projet'!$B$9,Paramètres!$A$1:$I$88,5,0)</f>
        <v>14.114880000000007</v>
      </c>
      <c r="P21" s="14">
        <f t="shared" si="33"/>
        <v>4.7797681411077511</v>
      </c>
      <c r="Q21" s="22">
        <f t="shared" si="2"/>
        <v>32.908178845762677</v>
      </c>
      <c r="R21" s="62">
        <f t="shared" si="0"/>
        <v>244.67753203776579</v>
      </c>
      <c r="S21" s="62">
        <f ca="1">AVERAGE(OFFSET($R$3,0,0,'Données projet'!$E$9+1,1))-AVERAGE(OFFSET($H$3,0,0,'Données projet'!$E$9+1,1))</f>
        <v>158.2231941902271</v>
      </c>
      <c r="T21" s="62">
        <f t="shared" si="34"/>
        <v>109.82011879787936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projet'!$B$10,Paramètres!$A$1:$I$88,3,0)*VLOOKUP('Données projet'!$B$10,Paramètres!$A$1:$I$88,5,0)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312.38804068758367</v>
      </c>
      <c r="AN21" s="62">
        <f ca="1">AVERAGE(OFFSET($AM$3,0,0,'Données projet'!$E$10+1,1))-AVERAGE(OFFSET($H$3,0,0,'Données projet'!$E$10+1,1))</f>
        <v>188.94867378904664</v>
      </c>
      <c r="AO21" s="62">
        <f t="shared" si="36"/>
        <v>242.84781402593833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projet'!$B$11,Paramètres!$A$1:$I$88,3,0)*0.475*44/12</f>
        <v>#N/A</v>
      </c>
      <c r="BQ21" s="23" t="e">
        <f>EXP(-LN(2)/25)*BQ20+(1-EXP(-LN(2)/25))/(LN(2)/25)*Calculateur!BL21*Calculateur!BN21*VLOOKUP('Données projet'!$B$11,Paramètres!$A$1:$I$88,3,0)*0.475*44/12</f>
        <v>#N/A</v>
      </c>
      <c r="BR21" s="23" t="e">
        <f>EXP(-LN(2)/2)*BR20+(1-EXP(-LN(2)/2))/(LN(2)/2)*BL21*BO21*VLOOKUP('Données projet'!$B$11,Paramètres!$A$1:$I$88,3,0)*0.475*44/12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0.8666666666666667</v>
      </c>
      <c r="N22" s="14">
        <f>IF('Données projet'!$A$36&gt;35,N21+M22-V21,IF(A22&lt;'Données projet'!$A$36,$K$205^A22,IF(A22='Données projet'!$A$36,'Données projet'!$B$36,N21+M22-V21)))</f>
        <v>16.466666666666672</v>
      </c>
      <c r="O22" s="14">
        <f>N22*VLOOKUP('Données projet'!$B$9,Paramètres!$A$1:$I$88,3,0)*VLOOKUP('Données projet'!$B$9,Paramètres!$A$1:$I$88,5,0)</f>
        <v>14.899040000000007</v>
      </c>
      <c r="P22" s="14">
        <f t="shared" si="33"/>
        <v>5.013658238659743</v>
      </c>
      <c r="Q22" s="22">
        <f t="shared" si="2"/>
        <v>34.681282765665735</v>
      </c>
      <c r="R22" s="62">
        <f t="shared" si="0"/>
        <v>248.83337700868927</v>
      </c>
      <c r="S22" s="62">
        <f ca="1">AVERAGE(OFFSET($R$3,0,0,'Données projet'!$E$9+1,1))-AVERAGE(OFFSET($H$3,0,0,'Données projet'!$E$9+1,1))</f>
        <v>158.2231941902271</v>
      </c>
      <c r="T22" s="62">
        <f t="shared" si="34"/>
        <v>109.82011879787936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projet'!$B$10,Paramètres!$A$1:$I$88,3,0)*VLOOKUP('Données projet'!$B$10,Paramètres!$A$1:$I$88,5,0)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342.8941240850686</v>
      </c>
      <c r="AN22" s="62">
        <f ca="1">AVERAGE(OFFSET($AM$3,0,0,'Données projet'!$E$10+1,1))-AVERAGE(OFFSET($H$3,0,0,'Données projet'!$E$10+1,1))</f>
        <v>188.94867378904664</v>
      </c>
      <c r="AO22" s="62">
        <f t="shared" si="36"/>
        <v>242.84781402593833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projet'!$B$11,Paramètres!$A$1:$I$88,3,0)*0.475*44/12</f>
        <v>#N/A</v>
      </c>
      <c r="BQ22" s="23" t="e">
        <f>EXP(-LN(2)/25)*BQ21+(1-EXP(-LN(2)/25))/(LN(2)/25)*Calculateur!BL22*Calculateur!BN22*VLOOKUP('Données projet'!$B$11,Paramètres!$A$1:$I$88,3,0)*0.475*44/12</f>
        <v>#N/A</v>
      </c>
      <c r="BR22" s="23" t="e">
        <f>EXP(-LN(2)/2)*BR21+(1-EXP(-LN(2)/2))/(LN(2)/2)*BL22*BO22*VLOOKUP('Données projet'!$B$11,Paramètres!$A$1:$I$88,3,0)*0.475*44/12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0.8666666666666667</v>
      </c>
      <c r="N23" s="14">
        <f>IF('Données projet'!$A$36&gt;35,N22+M23-V22,IF(A23&lt;'Données projet'!$A$36,$K$205^A23,IF(A23='Données projet'!$A$36,'Données projet'!$B$36,N22+M23-V22)))</f>
        <v>17.333333333333339</v>
      </c>
      <c r="O23" s="14">
        <f>N23*VLOOKUP('Données projet'!$B$9,Paramètres!$A$1:$I$88,3,0)*VLOOKUP('Données projet'!$B$9,Paramètres!$A$1:$I$88,5,0)</f>
        <v>15.683200000000005</v>
      </c>
      <c r="P23" s="14">
        <f t="shared" si="33"/>
        <v>5.2461191352485104</v>
      </c>
      <c r="Q23" s="22">
        <f t="shared" si="2"/>
        <v>36.451897493891167</v>
      </c>
      <c r="R23" s="62">
        <f t="shared" si="0"/>
        <v>252.96660038078687</v>
      </c>
      <c r="S23" s="62">
        <f ca="1">AVERAGE(OFFSET($R$3,0,0,'Données projet'!$E$9+1,1))-AVERAGE(OFFSET($H$3,0,0,'Données projet'!$E$9+1,1))</f>
        <v>158.2231941902271</v>
      </c>
      <c r="T23" s="62">
        <f t="shared" si="34"/>
        <v>109.82011879787936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projet'!$B$10,Paramètres!$A$1:$I$88,3,0)*VLOOKUP('Données projet'!$B$10,Paramètres!$A$1:$I$88,5,0)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381.26547623001761</v>
      </c>
      <c r="AN23" s="62">
        <f ca="1">AVERAGE(OFFSET($AM$3,0,0,'Données projet'!$E$10+1,1))-AVERAGE(OFFSET($H$3,0,0,'Données projet'!$E$10+1,1))</f>
        <v>188.94867378904664</v>
      </c>
      <c r="AO23" s="62">
        <f t="shared" si="36"/>
        <v>242.84781402593833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35</v>
      </c>
      <c r="AR23" s="17">
        <f>IF(ISNA(VLOOKUP(A23,'Données projet'!$A$61:$I$81,5,0)),0%,VLOOKUP(A23,'Données projet'!$A$61:$I$81,5,0)*VLOOKUP('Données projet'!$B$10,Paramètres!$A$1:$I$88,7,0))</f>
        <v>0.11000000000000001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0.8</v>
      </c>
      <c r="AU23" s="23">
        <f>EXP(-LN(2)/35)*AU22+(1-EXP(-LN(2)/35))/(LN(2)/35)*AQ23*AR23*VLOOKUP('Données projet'!$B$10,Paramètres!$A$1:$I$88,3,0)*0.475*44/12</f>
        <v>2.3902038358109636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14.836772026786809</v>
      </c>
      <c r="AX23" s="23">
        <f t="shared" si="6"/>
        <v>17.226975862597772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projet'!$B$11,Paramètres!$A$1:$I$88,3,0)*0.475*44/12</f>
        <v>#N/A</v>
      </c>
      <c r="BQ23" s="23" t="e">
        <f>EXP(-LN(2)/25)*BQ22+(1-EXP(-LN(2)/25))/(LN(2)/25)*Calculateur!BL23*Calculateur!BN23*VLOOKUP('Données projet'!$B$11,Paramètres!$A$1:$I$88,3,0)*0.475*44/12</f>
        <v>#N/A</v>
      </c>
      <c r="BR23" s="23" t="e">
        <f>EXP(-LN(2)/2)*BR22+(1-EXP(-LN(2)/2))/(LN(2)/2)*BL23*BO23*VLOOKUP('Données projet'!$B$11,Paramètres!$A$1:$I$88,3,0)*0.475*44/12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0.8666666666666667</v>
      </c>
      <c r="N24" s="14">
        <f>IF('Données projet'!$A$36&gt;35,N23+M24-V23,IF(A24&lt;'Données projet'!$A$36,$K$205^A24,IF(A24='Données projet'!$A$36,'Données projet'!$B$36,N23+M24-V23)))</f>
        <v>18.200000000000006</v>
      </c>
      <c r="O24" s="14">
        <f>N24*VLOOKUP('Données projet'!$B$9,Paramètres!$A$1:$I$88,3,0)*VLOOKUP('Données projet'!$B$9,Paramètres!$A$1:$I$88,5,0)</f>
        <v>16.467360000000006</v>
      </c>
      <c r="P24" s="14">
        <f t="shared" si="33"/>
        <v>5.4772304451113767</v>
      </c>
      <c r="Q24" s="22">
        <f t="shared" si="2"/>
        <v>38.220161691902327</v>
      </c>
      <c r="R24" s="62">
        <f t="shared" si="0"/>
        <v>257.0776900677767</v>
      </c>
      <c r="S24" s="62">
        <f ca="1">AVERAGE(OFFSET($R$3,0,0,'Données projet'!$E$9+1,1))-AVERAGE(OFFSET($H$3,0,0,'Données projet'!$E$9+1,1))</f>
        <v>158.2231941902271</v>
      </c>
      <c r="T24" s="62">
        <f t="shared" si="34"/>
        <v>109.82011879787936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9.1999999999999993</v>
      </c>
      <c r="AI24" s="14">
        <f>IF('Données projet'!$A$62&gt;35,AI23+AH24-AQ23,IF(A24&lt;'Données projet'!$A$62,$AF$205^A24,IF(A24='Données projet'!$A$62,'Données projet'!$B$62,AI23+AH24-AQ23)))</f>
        <v>132.19999999999999</v>
      </c>
      <c r="AJ24" s="14">
        <f>AI24*VLOOKUP('Données projet'!$B$10,Paramètres!$A$1:$I$88,3,0)*VLOOKUP('Données projet'!$B$10,Paramètres!$A$1:$I$88,5,0)</f>
        <v>61.869599999999991</v>
      </c>
      <c r="AK24" s="14">
        <f t="shared" si="35"/>
        <v>17.640115095232353</v>
      </c>
      <c r="AL24" s="22">
        <f t="shared" si="4"/>
        <v>138.47942045752964</v>
      </c>
      <c r="AM24" s="62">
        <f t="shared" si="5"/>
        <v>357.33694883340399</v>
      </c>
      <c r="AN24" s="62">
        <f ca="1">AVERAGE(OFFSET($AM$3,0,0,'Données projet'!$E$10+1,1))-AVERAGE(OFFSET($H$3,0,0,'Données projet'!$E$10+1,1))</f>
        <v>188.94867378904664</v>
      </c>
      <c r="AO24" s="62">
        <f t="shared" si="36"/>
        <v>242.84781402593833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2.3433333964710967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10.49118211105983</v>
      </c>
      <c r="AX24" s="23">
        <f t="shared" si="6"/>
        <v>12.834515507530927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projet'!$B$11,Paramètres!$A$1:$I$88,3,0)*0.475*44/12</f>
        <v>#N/A</v>
      </c>
      <c r="BQ24" s="23" t="e">
        <f>EXP(-LN(2)/25)*BQ23+(1-EXP(-LN(2)/25))/(LN(2)/25)*Calculateur!BL24*Calculateur!BN24*VLOOKUP('Données projet'!$B$11,Paramètres!$A$1:$I$88,3,0)*0.475*44/12</f>
        <v>#N/A</v>
      </c>
      <c r="BR24" s="23" t="e">
        <f>EXP(-LN(2)/2)*BR23+(1-EXP(-LN(2)/2))/(LN(2)/2)*BL24*BO24*VLOOKUP('Données projet'!$B$11,Paramètres!$A$1:$I$88,3,0)*0.475*44/12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0.8666666666666667</v>
      </c>
      <c r="N25" s="14">
        <f>IF('Données projet'!$A$36&gt;35,N24+M25-V24,IF(A25&lt;'Données projet'!$A$36,$K$205^A25,IF(A25='Données projet'!$A$36,'Données projet'!$B$36,N24+M25-V24)))</f>
        <v>19.066666666666674</v>
      </c>
      <c r="O25" s="14">
        <f>N25*VLOOKUP('Données projet'!$B$9,Paramètres!$A$1:$I$88,3,0)*VLOOKUP('Données projet'!$B$9,Paramètres!$A$1:$I$88,5,0)</f>
        <v>17.251520000000003</v>
      </c>
      <c r="P25" s="14">
        <f t="shared" si="33"/>
        <v>5.7070637717342203</v>
      </c>
      <c r="Q25" s="22">
        <f t="shared" si="2"/>
        <v>39.986200069103766</v>
      </c>
      <c r="R25" s="62">
        <f t="shared" si="0"/>
        <v>261.16711397257217</v>
      </c>
      <c r="S25" s="62">
        <f ca="1">AVERAGE(OFFSET($R$3,0,0,'Données projet'!$E$9+1,1))-AVERAGE(OFFSET($H$3,0,0,'Données projet'!$E$9+1,1))</f>
        <v>158.2231941902271</v>
      </c>
      <c r="T25" s="62">
        <f t="shared" si="34"/>
        <v>109.82011879787936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9.1999999999999993</v>
      </c>
      <c r="AI25" s="14">
        <f>IF('Données projet'!$A$62&gt;35,AI24+AH25-AQ24,IF(A25&lt;'Données projet'!$A$62,$AF$205^A25,IF(A25='Données projet'!$A$62,'Données projet'!$B$62,AI24+AH25-AQ24)))</f>
        <v>141.39999999999998</v>
      </c>
      <c r="AJ25" s="14">
        <f>AI25*VLOOKUP('Données projet'!$B$10,Paramètres!$A$1:$I$88,3,0)*VLOOKUP('Données projet'!$B$10,Paramètres!$A$1:$I$88,5,0)</f>
        <v>66.17519999999999</v>
      </c>
      <c r="AK25" s="14">
        <f t="shared" si="35"/>
        <v>18.720541159483023</v>
      </c>
      <c r="AL25" s="22">
        <f t="shared" si="4"/>
        <v>147.86008251943289</v>
      </c>
      <c r="AM25" s="62">
        <f t="shared" si="5"/>
        <v>369.04099642290129</v>
      </c>
      <c r="AN25" s="62">
        <f ca="1">AVERAGE(OFFSET($AM$3,0,0,'Données projet'!$E$10+1,1))-AVERAGE(OFFSET($H$3,0,0,'Données projet'!$E$10+1,1))</f>
        <v>188.94867378904664</v>
      </c>
      <c r="AO25" s="62">
        <f t="shared" si="36"/>
        <v>242.84781402593833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2.2973820578585396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7.4183860133934054</v>
      </c>
      <c r="AX25" s="23">
        <f t="shared" si="6"/>
        <v>9.7157680712519454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projet'!$B$11,Paramètres!$A$1:$I$88,3,0)*0.475*44/12</f>
        <v>#N/A</v>
      </c>
      <c r="BQ25" s="23" t="e">
        <f>EXP(-LN(2)/25)*BQ24+(1-EXP(-LN(2)/25))/(LN(2)/25)*Calculateur!BL25*Calculateur!BN25*VLOOKUP('Données projet'!$B$11,Paramètres!$A$1:$I$88,3,0)*0.475*44/12</f>
        <v>#N/A</v>
      </c>
      <c r="BR25" s="23" t="e">
        <f>EXP(-LN(2)/2)*BR24+(1-EXP(-LN(2)/2))/(LN(2)/2)*BL25*BO25*VLOOKUP('Données projet'!$B$11,Paramètres!$A$1:$I$88,3,0)*0.475*44/12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0.8666666666666667</v>
      </c>
      <c r="N26" s="14">
        <f>IF('Données projet'!$A$36&gt;35,N25+M26-V25,IF(A26&lt;'Données projet'!$A$36,$K$205^A26,IF(A26='Données projet'!$A$36,'Données projet'!$B$36,N25+M26-V25)))</f>
        <v>19.933333333333341</v>
      </c>
      <c r="O26" s="14">
        <f>N26*VLOOKUP('Données projet'!$B$9,Paramètres!$A$1:$I$88,3,0)*VLOOKUP('Données projet'!$B$9,Paramètres!$A$1:$I$88,5,0)</f>
        <v>18.035680000000006</v>
      </c>
      <c r="P26" s="14">
        <f t="shared" si="33"/>
        <v>5.9356838412425645</v>
      </c>
      <c r="Q26" s="22">
        <f t="shared" si="2"/>
        <v>41.750125356830807</v>
      </c>
      <c r="R26" s="62">
        <f t="shared" si="0"/>
        <v>265.23532206637731</v>
      </c>
      <c r="S26" s="62">
        <f ca="1">AVERAGE(OFFSET($R$3,0,0,'Données projet'!$E$9+1,1))-AVERAGE(OFFSET($H$3,0,0,'Données projet'!$E$9+1,1))</f>
        <v>158.2231941902271</v>
      </c>
      <c r="T26" s="62">
        <f t="shared" si="34"/>
        <v>109.82011879787936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9.1999999999999993</v>
      </c>
      <c r="AI26" s="14">
        <f>IF('Données projet'!$A$62&gt;35,AI25+AH26-AQ25,IF(A26&lt;'Données projet'!$A$62,$AF$205^A26,IF(A26='Données projet'!$A$62,'Données projet'!$B$62,AI25+AH26-AQ25)))</f>
        <v>150.59999999999997</v>
      </c>
      <c r="AJ26" s="14">
        <f>AI26*VLOOKUP('Données projet'!$B$10,Paramètres!$A$1:$I$88,3,0)*VLOOKUP('Données projet'!$B$10,Paramètres!$A$1:$I$88,5,0)</f>
        <v>70.480799999999988</v>
      </c>
      <c r="AK26" s="14">
        <f t="shared" si="35"/>
        <v>19.792809548371892</v>
      </c>
      <c r="AL26" s="22">
        <f t="shared" si="4"/>
        <v>157.226536630081</v>
      </c>
      <c r="AM26" s="62">
        <f t="shared" si="5"/>
        <v>380.71173333962747</v>
      </c>
      <c r="AN26" s="62">
        <f ca="1">AVERAGE(OFFSET($AM$3,0,0,'Données projet'!$E$10+1,1))-AVERAGE(OFFSET($H$3,0,0,'Données projet'!$E$10+1,1))</f>
        <v>188.94867378904664</v>
      </c>
      <c r="AO26" s="62">
        <f t="shared" si="36"/>
        <v>242.84781402593833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2.2523317969686256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5.2455910555299159</v>
      </c>
      <c r="AX26" s="23">
        <f t="shared" si="6"/>
        <v>7.497922852498542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projet'!$B$11,Paramètres!$A$1:$I$88,3,0)*0.475*44/12</f>
        <v>#N/A</v>
      </c>
      <c r="BQ26" s="23" t="e">
        <f>EXP(-LN(2)/25)*BQ25+(1-EXP(-LN(2)/25))/(LN(2)/25)*Calculateur!BL26*Calculateur!BN26*VLOOKUP('Données projet'!$B$11,Paramètres!$A$1:$I$88,3,0)*0.475*44/12</f>
        <v>#N/A</v>
      </c>
      <c r="BR26" s="23" t="e">
        <f>EXP(-LN(2)/2)*BR25+(1-EXP(-LN(2)/2))/(LN(2)/2)*BL26*BO26*VLOOKUP('Données projet'!$B$11,Paramètres!$A$1:$I$88,3,0)*0.475*44/12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0.8666666666666667</v>
      </c>
      <c r="N27" s="14">
        <f>IF('Données projet'!$A$36&gt;35,N26+M27-V26,IF(A27&lt;'Données projet'!$A$36,$K$205^A27,IF(A27='Données projet'!$A$36,'Données projet'!$B$36,N26+M27-V26)))</f>
        <v>20.800000000000008</v>
      </c>
      <c r="O27" s="14">
        <f>N27*VLOOKUP('Données projet'!$B$9,Paramètres!$A$1:$I$88,3,0)*VLOOKUP('Données projet'!$B$9,Paramètres!$A$1:$I$88,5,0)</f>
        <v>18.819840000000006</v>
      </c>
      <c r="P27" s="14">
        <f t="shared" si="33"/>
        <v>6.1631494331192513</v>
      </c>
      <c r="Q27" s="22">
        <f t="shared" si="2"/>
        <v>43.512039929349363</v>
      </c>
      <c r="R27" s="62">
        <f t="shared" si="0"/>
        <v>269.28274811296916</v>
      </c>
      <c r="S27" s="62">
        <f ca="1">AVERAGE(OFFSET($R$3,0,0,'Données projet'!$E$9+1,1))-AVERAGE(OFFSET($H$3,0,0,'Données projet'!$E$9+1,1))</f>
        <v>158.2231941902271</v>
      </c>
      <c r="T27" s="62">
        <f t="shared" si="34"/>
        <v>109.82011879787936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9.1999999999999993</v>
      </c>
      <c r="AI27" s="14">
        <f>IF('Données projet'!$A$62&gt;35,AI26+AH27-AQ26,IF(A27&lt;'Données projet'!$A$62,$AF$205^A27,IF(A27='Données projet'!$A$62,'Données projet'!$B$62,AI26+AH27-AQ26)))</f>
        <v>159.79999999999995</v>
      </c>
      <c r="AJ27" s="14">
        <f>AI27*VLOOKUP('Données projet'!$B$10,Paramètres!$A$1:$I$88,3,0)*VLOOKUP('Données projet'!$B$10,Paramètres!$A$1:$I$88,5,0)</f>
        <v>74.786399999999986</v>
      </c>
      <c r="AK27" s="14">
        <f t="shared" si="35"/>
        <v>20.857475351088951</v>
      </c>
      <c r="AL27" s="22">
        <f t="shared" si="4"/>
        <v>166.57974956981323</v>
      </c>
      <c r="AM27" s="62">
        <f t="shared" si="5"/>
        <v>392.35045775343303</v>
      </c>
      <c r="AN27" s="62">
        <f ca="1">AVERAGE(OFFSET($AM$3,0,0,'Données projet'!$E$10+1,1))-AVERAGE(OFFSET($H$3,0,0,'Données projet'!$E$10+1,1))</f>
        <v>188.94867378904664</v>
      </c>
      <c r="AO27" s="62">
        <f t="shared" si="36"/>
        <v>242.84781402593833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2.2081649442168167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3.7091930066967032</v>
      </c>
      <c r="AX27" s="23">
        <f t="shared" si="6"/>
        <v>5.9173579509135195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projet'!$B$11,Paramètres!$A$1:$I$88,3,0)*0.475*44/12</f>
        <v>#N/A</v>
      </c>
      <c r="BQ27" s="23" t="e">
        <f>EXP(-LN(2)/25)*BQ26+(1-EXP(-LN(2)/25))/(LN(2)/25)*Calculateur!BL27*Calculateur!BN27*VLOOKUP('Données projet'!$B$11,Paramètres!$A$1:$I$88,3,0)*0.475*44/12</f>
        <v>#N/A</v>
      </c>
      <c r="BR27" s="23" t="e">
        <f>EXP(-LN(2)/2)*BR26+(1-EXP(-LN(2)/2))/(LN(2)/2)*BL27*BO27*VLOOKUP('Données projet'!$B$11,Paramètres!$A$1:$I$88,3,0)*0.475*44/12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0.8666666666666667</v>
      </c>
      <c r="N28" s="14">
        <f>IF('Données projet'!$A$36&gt;35,N27+M28-V27,IF(A28&lt;'Données projet'!$A$36,$K$205^A28,IF(A28='Données projet'!$A$36,'Données projet'!$B$36,N27+M28-V27)))</f>
        <v>21.666666666666675</v>
      </c>
      <c r="O28" s="14">
        <f>N28*VLOOKUP('Données projet'!$B$9,Paramètres!$A$1:$I$88,3,0)*VLOOKUP('Données projet'!$B$9,Paramètres!$A$1:$I$88,5,0)</f>
        <v>19.604000000000006</v>
      </c>
      <c r="P28" s="14">
        <f t="shared" si="33"/>
        <v>6.3895141514315519</v>
      </c>
      <c r="Q28" s="22">
        <f t="shared" si="2"/>
        <v>45.272037147076624</v>
      </c>
      <c r="R28" s="62">
        <f t="shared" si="0"/>
        <v>273.30981111340873</v>
      </c>
      <c r="S28" s="62">
        <f ca="1">AVERAGE(OFFSET($R$3,0,0,'Données projet'!$E$9+1,1))-AVERAGE(OFFSET($H$3,0,0,'Données projet'!$E$9+1,1))</f>
        <v>158.2231941902271</v>
      </c>
      <c r="T28" s="62">
        <f t="shared" si="34"/>
        <v>109.82011879787936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169</v>
      </c>
      <c r="AG28" s="13">
        <f>VLOOKUP(A28,'Données projet'!$A$61:$I$81,9,0)</f>
        <v>9.1999999999999993</v>
      </c>
      <c r="AH28" s="13">
        <f t="array" ref="AH28">INDEX(AG:AG,MIN(IF(ISNUMBER(AG28:AG224),ROW(AG28:AG224),"")))</f>
        <v>9.1999999999999993</v>
      </c>
      <c r="AI28" s="14">
        <f>IF('Données projet'!$A$62&gt;35,AI27+AH28-AQ27,IF(A28&lt;'Données projet'!$A$62,$AF$205^A28,IF(A28='Données projet'!$A$62,'Données projet'!$B$62,AI27+AH28-AQ27)))</f>
        <v>168.99999999999994</v>
      </c>
      <c r="AJ28" s="14">
        <f>AI28*VLOOKUP('Données projet'!$B$10,Paramètres!$A$1:$I$88,3,0)*VLOOKUP('Données projet'!$B$10,Paramètres!$A$1:$I$88,5,0)</f>
        <v>79.09199999999997</v>
      </c>
      <c r="AK28" s="14">
        <f t="shared" si="35"/>
        <v>21.915026131449999</v>
      </c>
      <c r="AL28" s="22">
        <f t="shared" si="4"/>
        <v>175.92057051227536</v>
      </c>
      <c r="AM28" s="62">
        <f t="shared" si="5"/>
        <v>403.9583444786075</v>
      </c>
      <c r="AN28" s="62">
        <f ca="1">AVERAGE(OFFSET($AM$3,0,0,'Données projet'!$E$10+1,1))-AVERAGE(OFFSET($H$3,0,0,'Données projet'!$E$10+1,1))</f>
        <v>188.94867378904664</v>
      </c>
      <c r="AO28" s="62">
        <f t="shared" si="36"/>
        <v>242.84781402593833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35</v>
      </c>
      <c r="AR28" s="17">
        <f>IF(ISNA(VLOOKUP(A28,'Données projet'!$A$61:$I$81,5,0)),0%,VLOOKUP(A28,'Données projet'!$A$61:$I$81,5,0)*VLOOKUP('Données projet'!$B$10,Paramètres!$A$1:$I$88,7,0))</f>
        <v>0.24750000000000003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0.55000000000000004</v>
      </c>
      <c r="AU28" s="23">
        <f>EXP(-LN(2)/35)*AU27+(1-EXP(-LN(2)/35))/(LN(2)/35)*AQ28*AR28*VLOOKUP('Données projet'!$B$10,Paramètres!$A$1:$I$88,3,0)*0.475*44/12</f>
        <v>7.5428228070830192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12.82307629618089</v>
      </c>
      <c r="AX28" s="23">
        <f t="shared" si="6"/>
        <v>20.36589910326391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projet'!$B$11,Paramètres!$A$1:$I$88,3,0)*0.475*44/12</f>
        <v>#N/A</v>
      </c>
      <c r="BQ28" s="23" t="e">
        <f>EXP(-LN(2)/25)*BQ27+(1-EXP(-LN(2)/25))/(LN(2)/25)*Calculateur!BL28*Calculateur!BN28*VLOOKUP('Données projet'!$B$11,Paramètres!$A$1:$I$88,3,0)*0.475*44/12</f>
        <v>#N/A</v>
      </c>
      <c r="BR28" s="23" t="e">
        <f>EXP(-LN(2)/2)*BR27+(1-EXP(-LN(2)/2))/(LN(2)/2)*BL28*BO28*VLOOKUP('Données projet'!$B$11,Paramètres!$A$1:$I$88,3,0)*0.475*44/12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0.8666666666666667</v>
      </c>
      <c r="N29" s="14">
        <f>IF('Données projet'!$A$36&gt;35,N28+M29-V28,IF(A29&lt;'Données projet'!$A$36,$K$205^A29,IF(A29='Données projet'!$A$36,'Données projet'!$B$36,N28+M29-V28)))</f>
        <v>22.533333333333342</v>
      </c>
      <c r="O29" s="14">
        <f>N29*VLOOKUP('Données projet'!$B$9,Paramètres!$A$1:$I$88,3,0)*VLOOKUP('Données projet'!$B$9,Paramètres!$A$1:$I$88,5,0)</f>
        <v>20.38816000000001</v>
      </c>
      <c r="P29" s="14">
        <f t="shared" si="33"/>
        <v>6.6148270691884399</v>
      </c>
      <c r="Q29" s="22">
        <f t="shared" si="2"/>
        <v>47.030202478836543</v>
      </c>
      <c r="R29" s="62">
        <f t="shared" si="0"/>
        <v>277.3169165280267</v>
      </c>
      <c r="S29" s="62">
        <f ca="1">AVERAGE(OFFSET($R$3,0,0,'Données projet'!$E$9+1,1))-AVERAGE(OFFSET($H$3,0,0,'Données projet'!$E$9+1,1))</f>
        <v>158.2231941902271</v>
      </c>
      <c r="T29" s="62">
        <f t="shared" si="34"/>
        <v>109.82011879787936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143.19999999999993</v>
      </c>
      <c r="AJ29" s="14">
        <f>AI29*VLOOKUP('Données projet'!$B$10,Paramètres!$A$1:$I$88,3,0)*VLOOKUP('Données projet'!$B$10,Paramètres!$A$1:$I$88,5,0)</f>
        <v>67.017599999999959</v>
      </c>
      <c r="AK29" s="14">
        <f t="shared" si="35"/>
        <v>18.93095622847579</v>
      </c>
      <c r="AL29" s="22">
        <f t="shared" si="4"/>
        <v>149.69373543126193</v>
      </c>
      <c r="AM29" s="62">
        <f t="shared" si="5"/>
        <v>379.98044948045208</v>
      </c>
      <c r="AN29" s="62">
        <f ca="1">AVERAGE(OFFSET($AM$3,0,0,'Données projet'!$E$10+1,1))-AVERAGE(OFFSET($H$3,0,0,'Données projet'!$E$10+1,1))</f>
        <v>188.94867378904664</v>
      </c>
      <c r="AO29" s="62">
        <f t="shared" si="36"/>
        <v>242.84781402593833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7.3949126525037556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9.0672842047019859</v>
      </c>
      <c r="AX29" s="23">
        <f t="shared" si="6"/>
        <v>16.46219685720574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projet'!$B$11,Paramètres!$A$1:$I$88,3,0)*0.475*44/12</f>
        <v>#N/A</v>
      </c>
      <c r="BQ29" s="23" t="e">
        <f>EXP(-LN(2)/25)*BQ28+(1-EXP(-LN(2)/25))/(LN(2)/25)*Calculateur!BL29*Calculateur!BN29*VLOOKUP('Données projet'!$B$11,Paramètres!$A$1:$I$88,3,0)*0.475*44/12</f>
        <v>#N/A</v>
      </c>
      <c r="BR29" s="23" t="e">
        <f>EXP(-LN(2)/2)*BR28+(1-EXP(-LN(2)/2))/(LN(2)/2)*BL29*BO29*VLOOKUP('Données projet'!$B$11,Paramètres!$A$1:$I$88,3,0)*0.475*44/12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0.8666666666666667</v>
      </c>
      <c r="N30" s="14">
        <f>IF('Données projet'!$A$36&gt;35,N29+M30-V29,IF(A30&lt;'Données projet'!$A$36,$K$205^A30,IF(A30='Données projet'!$A$36,'Données projet'!$B$36,N29+M30-V29)))</f>
        <v>23.400000000000009</v>
      </c>
      <c r="O30" s="14">
        <f>N30*VLOOKUP('Données projet'!$B$9,Paramètres!$A$1:$I$88,3,0)*VLOOKUP('Données projet'!$B$9,Paramètres!$A$1:$I$88,5,0)</f>
        <v>21.172320000000006</v>
      </c>
      <c r="P30" s="14">
        <f t="shared" si="33"/>
        <v>6.8391332707776993</v>
      </c>
      <c r="Q30" s="22">
        <f t="shared" si="2"/>
        <v>48.786614446604496</v>
      </c>
      <c r="R30" s="62">
        <f t="shared" si="0"/>
        <v>281.30445731916802</v>
      </c>
      <c r="S30" s="62">
        <f ca="1">AVERAGE(OFFSET($R$3,0,0,'Données projet'!$E$9+1,1))-AVERAGE(OFFSET($H$3,0,0,'Données projet'!$E$9+1,1))</f>
        <v>158.2231941902271</v>
      </c>
      <c r="T30" s="62">
        <f t="shared" si="34"/>
        <v>109.82011879787936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152.39999999999992</v>
      </c>
      <c r="AJ30" s="14">
        <f>AI30*VLOOKUP('Données projet'!$B$10,Paramètres!$A$1:$I$88,3,0)*VLOOKUP('Données projet'!$B$10,Paramètres!$A$1:$I$88,5,0)</f>
        <v>71.323199999999957</v>
      </c>
      <c r="AK30" s="14">
        <f t="shared" si="35"/>
        <v>20.001695779651133</v>
      </c>
      <c r="AL30" s="22">
        <f t="shared" si="4"/>
        <v>159.05752681622565</v>
      </c>
      <c r="AM30" s="62">
        <f t="shared" si="5"/>
        <v>391.57536968878912</v>
      </c>
      <c r="AN30" s="62">
        <f ca="1">AVERAGE(OFFSET($AM$3,0,0,'Données projet'!$E$10+1,1))-AVERAGE(OFFSET($H$3,0,0,'Données projet'!$E$10+1,1))</f>
        <v>188.94867378904664</v>
      </c>
      <c r="AO30" s="62">
        <f t="shared" si="36"/>
        <v>242.84781402593833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7.2499029258395051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6.4115381480904459</v>
      </c>
      <c r="AX30" s="23">
        <f t="shared" si="6"/>
        <v>13.66144107392995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projet'!$B$11,Paramètres!$A$1:$I$88,3,0)*0.475*44/12</f>
        <v>#N/A</v>
      </c>
      <c r="BQ30" s="23" t="e">
        <f>EXP(-LN(2)/25)*BQ29+(1-EXP(-LN(2)/25))/(LN(2)/25)*Calculateur!BL30*Calculateur!BN30*VLOOKUP('Données projet'!$B$11,Paramètres!$A$1:$I$88,3,0)*0.475*44/12</f>
        <v>#N/A</v>
      </c>
      <c r="BR30" s="23" t="e">
        <f>EXP(-LN(2)/2)*BR29+(1-EXP(-LN(2)/2))/(LN(2)/2)*BL30*BO30*VLOOKUP('Données projet'!$B$11,Paramètres!$A$1:$I$88,3,0)*0.475*44/12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0.8666666666666667</v>
      </c>
      <c r="N31" s="14">
        <f>IF('Données projet'!$A$36&gt;35,N30+M31-V30,IF(A31&lt;'Données projet'!$A$36,$K$205^A31,IF(A31='Données projet'!$A$36,'Données projet'!$B$36,N30+M31-V30)))</f>
        <v>24.266666666666676</v>
      </c>
      <c r="O31" s="14">
        <f>N31*VLOOKUP('Données projet'!$B$9,Paramètres!$A$1:$I$88,3,0)*VLOOKUP('Données projet'!$B$9,Paramètres!$A$1:$I$88,5,0)</f>
        <v>21.956480000000006</v>
      </c>
      <c r="P31" s="14">
        <f t="shared" si="33"/>
        <v>7.0624743117828803</v>
      </c>
      <c r="Q31" s="22">
        <f t="shared" si="2"/>
        <v>50.541345426355186</v>
      </c>
      <c r="R31" s="62">
        <f t="shared" si="0"/>
        <v>285.27281484833929</v>
      </c>
      <c r="S31" s="62">
        <f ca="1">AVERAGE(OFFSET($R$3,0,0,'Données projet'!$E$9+1,1))-AVERAGE(OFFSET($H$3,0,0,'Données projet'!$E$9+1,1))</f>
        <v>158.2231941902271</v>
      </c>
      <c r="T31" s="62">
        <f t="shared" si="34"/>
        <v>109.82011879787936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161.59999999999991</v>
      </c>
      <c r="AJ31" s="14">
        <f>AI31*VLOOKUP('Données projet'!$B$10,Paramètres!$A$1:$I$88,3,0)*VLOOKUP('Données projet'!$B$10,Paramètres!$A$1:$I$88,5,0)</f>
        <v>75.628799999999956</v>
      </c>
      <c r="AK31" s="14">
        <f t="shared" si="35"/>
        <v>21.064933051654201</v>
      </c>
      <c r="AL31" s="22">
        <f t="shared" si="4"/>
        <v>168.408251731631</v>
      </c>
      <c r="AM31" s="62">
        <f t="shared" si="5"/>
        <v>403.13972115361508</v>
      </c>
      <c r="AN31" s="62">
        <f ca="1">AVERAGE(OFFSET($AM$3,0,0,'Données projet'!$E$10+1,1))-AVERAGE(OFFSET($H$3,0,0,'Données projet'!$E$10+1,1))</f>
        <v>188.94867378904664</v>
      </c>
      <c r="AO31" s="62">
        <f t="shared" si="36"/>
        <v>242.84781402593833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7.1077367514679404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4.533642102350993</v>
      </c>
      <c r="AX31" s="23">
        <f t="shared" si="6"/>
        <v>11.641378853818933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projet'!$B$11,Paramètres!$A$1:$I$88,3,0)*0.475*44/12</f>
        <v>#N/A</v>
      </c>
      <c r="BQ31" s="23" t="e">
        <f>EXP(-LN(2)/25)*BQ30+(1-EXP(-LN(2)/25))/(LN(2)/25)*Calculateur!BL31*Calculateur!BN31*VLOOKUP('Données projet'!$B$11,Paramètres!$A$1:$I$88,3,0)*0.475*44/12</f>
        <v>#N/A</v>
      </c>
      <c r="BR31" s="23" t="e">
        <f>EXP(-LN(2)/2)*BR30+(1-EXP(-LN(2)/2))/(LN(2)/2)*BL31*BO31*VLOOKUP('Données projet'!$B$11,Paramètres!$A$1:$I$88,3,0)*0.475*44/12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0.8666666666666667</v>
      </c>
      <c r="N32" s="14">
        <f>IF('Données projet'!$A$36&gt;35,N31+M32-V31,IF(A32&lt;'Données projet'!$A$36,$K$205^A32,IF(A32='Données projet'!$A$36,'Données projet'!$B$36,N31+M32-V31)))</f>
        <v>25.133333333333344</v>
      </c>
      <c r="O32" s="14">
        <f>N32*VLOOKUP('Données projet'!$B$9,Paramètres!$A$1:$I$88,3,0)*VLOOKUP('Données projet'!$B$9,Paramètres!$A$1:$I$88,5,0)</f>
        <v>22.74064000000001</v>
      </c>
      <c r="P32" s="14">
        <f t="shared" si="33"/>
        <v>7.284888611266207</v>
      </c>
      <c r="Q32" s="22">
        <f t="shared" si="2"/>
        <v>52.294462331288656</v>
      </c>
      <c r="R32" s="62">
        <f t="shared" si="0"/>
        <v>289.22235965406446</v>
      </c>
      <c r="S32" s="62">
        <f ca="1">AVERAGE(OFFSET($R$3,0,0,'Données projet'!$E$9+1,1))-AVERAGE(OFFSET($H$3,0,0,'Données projet'!$E$9+1,1))</f>
        <v>158.2231941902271</v>
      </c>
      <c r="T32" s="62">
        <f t="shared" si="34"/>
        <v>109.82011879787936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170.7999999999999</v>
      </c>
      <c r="AJ32" s="14">
        <f>AI32*VLOOKUP('Données projet'!$B$10,Paramètres!$A$1:$I$88,3,0)*VLOOKUP('Données projet'!$B$10,Paramètres!$A$1:$I$88,5,0)</f>
        <v>79.934399999999954</v>
      </c>
      <c r="AK32" s="14">
        <f t="shared" si="35"/>
        <v>22.121143821921795</v>
      </c>
      <c r="AL32" s="22">
        <f t="shared" si="4"/>
        <v>177.74673882318038</v>
      </c>
      <c r="AM32" s="62">
        <f t="shared" si="5"/>
        <v>414.67463614595624</v>
      </c>
      <c r="AN32" s="62">
        <f ca="1">AVERAGE(OFFSET($AM$3,0,0,'Données projet'!$E$10+1,1))-AVERAGE(OFFSET($H$3,0,0,'Données projet'!$E$10+1,1))</f>
        <v>188.94867378904664</v>
      </c>
      <c r="AO32" s="62">
        <f t="shared" si="36"/>
        <v>242.84781402593833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6.9683583690629982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3.2057690740452229</v>
      </c>
      <c r="AX32" s="23">
        <f t="shared" si="6"/>
        <v>10.174127443108221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projet'!$B$11,Paramètres!$A$1:$I$88,3,0)*0.475*44/12</f>
        <v>#N/A</v>
      </c>
      <c r="BQ32" s="23" t="e">
        <f>EXP(-LN(2)/25)*BQ31+(1-EXP(-LN(2)/25))/(LN(2)/25)*Calculateur!BL32*Calculateur!BN32*VLOOKUP('Données projet'!$B$11,Paramètres!$A$1:$I$88,3,0)*0.475*44/12</f>
        <v>#N/A</v>
      </c>
      <c r="BR32" s="23" t="e">
        <f>EXP(-LN(2)/2)*BR31+(1-EXP(-LN(2)/2))/(LN(2)/2)*BL32*BO32*VLOOKUP('Données projet'!$B$11,Paramètres!$A$1:$I$88,3,0)*0.475*44/12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0.8666666666666667</v>
      </c>
      <c r="N33" s="14">
        <f>IF('Données projet'!$A$36&gt;35,N32+M33-V32,IF(A33&lt;'Données projet'!$A$36,$K$205^A33,IF(A33='Données projet'!$A$36,'Données projet'!$B$36,N32+M33-V32)))</f>
        <v>26.000000000000011</v>
      </c>
      <c r="O33" s="14">
        <f>N33*VLOOKUP('Données projet'!$B$9,Paramètres!$A$1:$I$88,3,0)*VLOOKUP('Données projet'!$B$9,Paramètres!$A$1:$I$88,5,0)</f>
        <v>23.52480000000001</v>
      </c>
      <c r="P33" s="14">
        <f t="shared" si="33"/>
        <v>7.5064117884233585</v>
      </c>
      <c r="Q33" s="22">
        <f t="shared" si="2"/>
        <v>54.046027198170698</v>
      </c>
      <c r="R33" s="62">
        <f t="shared" si="0"/>
        <v>293.1534521312127</v>
      </c>
      <c r="S33" s="62">
        <f ca="1">AVERAGE(OFFSET($R$3,0,0,'Données projet'!$E$9+1,1))-AVERAGE(OFFSET($H$3,0,0,'Données projet'!$E$9+1,1))</f>
        <v>158.2231941902271</v>
      </c>
      <c r="T33" s="62">
        <f t="shared" si="34"/>
        <v>109.82011879787936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180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179.99999999999989</v>
      </c>
      <c r="AJ33" s="14">
        <f>AI33*VLOOKUP('Données projet'!$B$10,Paramètres!$A$1:$I$88,3,0)*VLOOKUP('Données projet'!$B$10,Paramètres!$A$1:$I$88,5,0)</f>
        <v>84.239999999999938</v>
      </c>
      <c r="AK33" s="14">
        <f t="shared" si="35"/>
        <v>23.170749718409446</v>
      </c>
      <c r="AL33" s="22">
        <f t="shared" si="4"/>
        <v>187.07372242622966</v>
      </c>
      <c r="AM33" s="62">
        <f t="shared" si="5"/>
        <v>426.18114735927168</v>
      </c>
      <c r="AN33" s="62">
        <f ca="1">AVERAGE(OFFSET($AM$3,0,0,'Données projet'!$E$10+1,1))-AVERAGE(OFFSET($H$3,0,0,'Données projet'!$E$10+1,1))</f>
        <v>188.94867378904664</v>
      </c>
      <c r="AO33" s="62">
        <f t="shared" si="36"/>
        <v>242.84781402593833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50</v>
      </c>
      <c r="AR33" s="17">
        <f>IF(ISNA(VLOOKUP(A33,'Données projet'!$A$61:$I$81,5,0)),0%,VLOOKUP(A33,'Données projet'!$A$61:$I$81,5,0)*VLOOKUP('Données projet'!$B$10,Paramètres!$A$1:$I$88,7,0))</f>
        <v>0.27500000000000002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projet'!$B$10,Paramètres!$A$1:$I$88,3,0)*0.475*44/12</f>
        <v>15.36815538247804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15.513938932235146</v>
      </c>
      <c r="AX33" s="23">
        <f t="shared" si="6"/>
        <v>30.882094314713186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projet'!$B$11,Paramètres!$A$1:$I$88,3,0)*0.475*44/12</f>
        <v>#N/A</v>
      </c>
      <c r="BQ33" s="23" t="e">
        <f>EXP(-LN(2)/25)*BQ32+(1-EXP(-LN(2)/25))/(LN(2)/25)*Calculateur!BL33*Calculateur!BN33*VLOOKUP('Données projet'!$B$11,Paramètres!$A$1:$I$88,3,0)*0.475*44/12</f>
        <v>#N/A</v>
      </c>
      <c r="BR33" s="23" t="e">
        <f>EXP(-LN(2)/2)*BR32+(1-EXP(-LN(2)/2))/(LN(2)/2)*BL33*BO33*VLOOKUP('Données projet'!$B$11,Paramètres!$A$1:$I$88,3,0)*0.475*44/12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0.8666666666666667</v>
      </c>
      <c r="N34" s="14">
        <f>IF('Données projet'!$A$36&gt;35,N33+M34-V33,IF(A34&lt;'Données projet'!$A$36,$K$205^A34,IF(A34='Données projet'!$A$36,'Données projet'!$B$36,N33+M34-V33)))</f>
        <v>26.866666666666678</v>
      </c>
      <c r="O34" s="14">
        <f>N34*VLOOKUP('Données projet'!$B$9,Paramètres!$A$1:$I$88,3,0)*VLOOKUP('Données projet'!$B$9,Paramètres!$A$1:$I$88,5,0)</f>
        <v>24.30896000000001</v>
      </c>
      <c r="P34" s="14">
        <f t="shared" si="33"/>
        <v>7.7270769530900152</v>
      </c>
      <c r="Q34" s="22">
        <f t="shared" si="2"/>
        <v>55.796097693298456</v>
      </c>
      <c r="R34" s="62">
        <f t="shared" si="0"/>
        <v>295.84422090611599</v>
      </c>
      <c r="S34" s="62">
        <f ca="1">AVERAGE(OFFSET($R$3,0,0,'Données projet'!$E$9+1,1))-AVERAGE(OFFSET($H$3,0,0,'Données projet'!$E$9+1,1))</f>
        <v>158.2231941902271</v>
      </c>
      <c r="T34" s="62">
        <f t="shared" si="34"/>
        <v>109.82011879787936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139.99999999999989</v>
      </c>
      <c r="AJ34" s="14">
        <f>AI34*VLOOKUP('Données projet'!$B$10,Paramètres!$A$1:$I$88,3,0)*VLOOKUP('Données projet'!$B$10,Paramètres!$A$1:$I$88,5,0)</f>
        <v>65.519999999999939</v>
      </c>
      <c r="AK34" s="14">
        <f t="shared" si="35"/>
        <v>18.556669503136707</v>
      </c>
      <c r="AL34" s="22">
        <f t="shared" si="4"/>
        <v>146.43353271796298</v>
      </c>
      <c r="AM34" s="62">
        <f t="shared" si="5"/>
        <v>386.48165593078056</v>
      </c>
      <c r="AN34" s="62">
        <f ca="1">AVERAGE(OFFSET($AM$3,0,0,'Données projet'!$E$10+1,1))-AVERAGE(OFFSET($H$3,0,0,'Données projet'!$E$10+1,1))</f>
        <v>188.94867378904664</v>
      </c>
      <c r="AO34" s="62">
        <f t="shared" si="36"/>
        <v>242.84781402593833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15.066795229076858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10.970011421897459</v>
      </c>
      <c r="AX34" s="23">
        <f t="shared" si="6"/>
        <v>26.036806650974317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projet'!$B$11,Paramètres!$A$1:$I$88,3,0)*0.475*44/12</f>
        <v>#N/A</v>
      </c>
      <c r="BQ34" s="23" t="e">
        <f>EXP(-LN(2)/25)*BQ33+(1-EXP(-LN(2)/25))/(LN(2)/25)*Calculateur!BL34*Calculateur!BN34*VLOOKUP('Données projet'!$B$11,Paramètres!$A$1:$I$88,3,0)*0.475*44/12</f>
        <v>#N/A</v>
      </c>
      <c r="BR34" s="23" t="e">
        <f>EXP(-LN(2)/2)*BR33+(1-EXP(-LN(2)/2))/(LN(2)/2)*BL34*BO34*VLOOKUP('Données projet'!$B$11,Paramètres!$A$1:$I$88,3,0)*0.475*44/12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0.8666666666666667</v>
      </c>
      <c r="N35" s="14">
        <f>IF('Données projet'!$A$36&gt;35,N34+M35-V34,IF(A35&lt;'Données projet'!$A$36,$K$205^A35,IF(A35='Données projet'!$A$36,'Données projet'!$B$36,N34+M35-V34)))</f>
        <v>27.733333333333345</v>
      </c>
      <c r="O35" s="14">
        <f>N35*VLOOKUP('Données projet'!$B$9,Paramètres!$A$1:$I$88,3,0)*VLOOKUP('Données projet'!$B$9,Paramètres!$A$1:$I$88,5,0)</f>
        <v>25.09312000000001</v>
      </c>
      <c r="P35" s="14">
        <f t="shared" si="33"/>
        <v>7.9469149577106792</v>
      </c>
      <c r="Q35" s="22">
        <f t="shared" ref="Q35:Q66" si="53">(O35+P35)*0.475*44/12</f>
        <v>57.544727551346114</v>
      </c>
      <c r="R35" s="62">
        <f t="shared" si="0"/>
        <v>298.51723003187146</v>
      </c>
      <c r="S35" s="62">
        <f ca="1">AVERAGE(OFFSET($R$3,0,0,'Données projet'!$E$9+1,1))-AVERAGE(OFFSET($H$3,0,0,'Données projet'!$E$9+1,1))</f>
        <v>158.2231941902271</v>
      </c>
      <c r="T35" s="62">
        <f t="shared" si="34"/>
        <v>109.82011879787936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149.99999999999989</v>
      </c>
      <c r="AJ35" s="14">
        <f>AI35*VLOOKUP('Données projet'!$B$10,Paramètres!$A$1:$I$88,3,0)*VLOOKUP('Données projet'!$B$10,Paramètres!$A$1:$I$88,5,0)</f>
        <v>70.199999999999946</v>
      </c>
      <c r="AK35" s="14">
        <f t="shared" si="35"/>
        <v>19.723116370112184</v>
      </c>
      <c r="AL35" s="22">
        <f t="shared" si="4"/>
        <v>156.61609434461192</v>
      </c>
      <c r="AM35" s="62">
        <f t="shared" si="5"/>
        <v>397.58859682513724</v>
      </c>
      <c r="AN35" s="62">
        <f ca="1">AVERAGE(OFFSET($AM$3,0,0,'Données projet'!$E$10+1,1))-AVERAGE(OFFSET($H$3,0,0,'Données projet'!$E$10+1,1))</f>
        <v>188.94867378904664</v>
      </c>
      <c r="AO35" s="62">
        <f t="shared" si="36"/>
        <v>242.84781402593833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14.771344564472329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7.7569694661175737</v>
      </c>
      <c r="AX35" s="23">
        <f t="shared" si="6"/>
        <v>22.528314030589904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projet'!$B$11,Paramètres!$A$1:$I$88,3,0)*0.475*44/12</f>
        <v>#N/A</v>
      </c>
      <c r="BQ35" s="23" t="e">
        <f>EXP(-LN(2)/25)*BQ34+(1-EXP(-LN(2)/25))/(LN(2)/25)*Calculateur!BL35*Calculateur!BN35*VLOOKUP('Données projet'!$B$11,Paramètres!$A$1:$I$88,3,0)*0.475*44/12</f>
        <v>#N/A</v>
      </c>
      <c r="BR35" s="23" t="e">
        <f>EXP(-LN(2)/2)*BR34+(1-EXP(-LN(2)/2))/(LN(2)/2)*BL35*BO35*VLOOKUP('Données projet'!$B$11,Paramètres!$A$1:$I$88,3,0)*0.475*44/12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0.8666666666666667</v>
      </c>
      <c r="N36" s="14">
        <f>IF('Données projet'!$A$36&gt;35,N35+M36-V35,IF(A36&lt;'Données projet'!$A$36,$K$205^A36,IF(A36='Données projet'!$A$36,'Données projet'!$B$36,N35+M36-V35)))</f>
        <v>28.600000000000012</v>
      </c>
      <c r="O36" s="14">
        <f>N36*VLOOKUP('Données projet'!$B$9,Paramètres!$A$1:$I$88,3,0)*VLOOKUP('Données projet'!$B$9,Paramètres!$A$1:$I$88,5,0)</f>
        <v>25.87728000000001</v>
      </c>
      <c r="P36" s="14">
        <f t="shared" si="33"/>
        <v>8.165954616926614</v>
      </c>
      <c r="Q36" s="22">
        <f t="shared" si="53"/>
        <v>59.291966957813862</v>
      </c>
      <c r="R36" s="62">
        <f t="shared" si="0"/>
        <v>301.17281279235459</v>
      </c>
      <c r="S36" s="62">
        <f ca="1">AVERAGE(OFFSET($R$3,0,0,'Données projet'!$E$9+1,1))-AVERAGE(OFFSET($H$3,0,0,'Données projet'!$E$9+1,1))</f>
        <v>158.2231941902271</v>
      </c>
      <c r="T36" s="62">
        <f t="shared" si="34"/>
        <v>109.82011879787936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159.99999999999989</v>
      </c>
      <c r="AJ36" s="14">
        <f>AI36*VLOOKUP('Données projet'!$B$10,Paramètres!$A$1:$I$88,3,0)*VLOOKUP('Données projet'!$B$10,Paramètres!$A$1:$I$88,5,0)</f>
        <v>74.879999999999953</v>
      </c>
      <c r="AK36" s="14">
        <f t="shared" si="35"/>
        <v>20.880539585643213</v>
      </c>
      <c r="AL36" s="22">
        <f t="shared" si="4"/>
        <v>166.78293977832848</v>
      </c>
      <c r="AM36" s="62">
        <f t="shared" si="5"/>
        <v>408.66378561286922</v>
      </c>
      <c r="AN36" s="62">
        <f ca="1">AVERAGE(OFFSET($AM$3,0,0,'Données projet'!$E$10+1,1))-AVERAGE(OFFSET($H$3,0,0,'Données projet'!$E$10+1,1))</f>
        <v>188.94867378904664</v>
      </c>
      <c r="AO36" s="62">
        <f t="shared" si="36"/>
        <v>242.84781402593833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14.481687507193584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5.4850057109487302</v>
      </c>
      <c r="AX36" s="23">
        <f t="shared" si="6"/>
        <v>19.966693218142314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projet'!$B$11,Paramètres!$A$1:$I$88,3,0)*0.475*44/12</f>
        <v>#N/A</v>
      </c>
      <c r="BQ36" s="23" t="e">
        <f>EXP(-LN(2)/25)*BQ35+(1-EXP(-LN(2)/25))/(LN(2)/25)*Calculateur!BL36*Calculateur!BN36*VLOOKUP('Données projet'!$B$11,Paramètres!$A$1:$I$88,3,0)*0.475*44/12</f>
        <v>#N/A</v>
      </c>
      <c r="BR36" s="23" t="e">
        <f>EXP(-LN(2)/2)*BR35+(1-EXP(-LN(2)/2))/(LN(2)/2)*BL36*BO36*VLOOKUP('Données projet'!$B$11,Paramètres!$A$1:$I$88,3,0)*0.475*44/12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0.8666666666666667</v>
      </c>
      <c r="N37" s="14">
        <f>IF('Données projet'!$A$36&gt;35,N36+M37-V36,IF(A37&lt;'Données projet'!$A$36,$K$205^A37,IF(A37='Données projet'!$A$36,'Données projet'!$B$36,N36+M37-V36)))</f>
        <v>29.466666666666679</v>
      </c>
      <c r="O37" s="14">
        <f>N37*VLOOKUP('Données projet'!$B$9,Paramètres!$A$1:$I$88,3,0)*VLOOKUP('Données projet'!$B$9,Paramètres!$A$1:$I$88,5,0)</f>
        <v>26.661440000000013</v>
      </c>
      <c r="P37" s="14">
        <f t="shared" si="33"/>
        <v>8.3842228997992514</v>
      </c>
      <c r="Q37" s="22">
        <f t="shared" si="53"/>
        <v>61.037862883817048</v>
      </c>
      <c r="R37" s="62">
        <f t="shared" si="0"/>
        <v>303.81129434593265</v>
      </c>
      <c r="S37" s="62">
        <f ca="1">AVERAGE(OFFSET($R$3,0,0,'Données projet'!$E$9+1,1))-AVERAGE(OFFSET($H$3,0,0,'Données projet'!$E$9+1,1))</f>
        <v>158.2231941902271</v>
      </c>
      <c r="T37" s="62">
        <f t="shared" si="34"/>
        <v>109.82011879787936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169.99999999999989</v>
      </c>
      <c r="AJ37" s="14">
        <f>AI37*VLOOKUP('Données projet'!$B$10,Paramètres!$A$1:$I$88,3,0)*VLOOKUP('Données projet'!$B$10,Paramètres!$A$1:$I$88,5,0)</f>
        <v>79.559999999999945</v>
      </c>
      <c r="AK37" s="14">
        <f t="shared" si="35"/>
        <v>22.029567333453301</v>
      </c>
      <c r="AL37" s="22">
        <f t="shared" si="4"/>
        <v>176.93516310576442</v>
      </c>
      <c r="AM37" s="62">
        <f t="shared" si="5"/>
        <v>419.70859456788003</v>
      </c>
      <c r="AN37" s="62">
        <f ca="1">AVERAGE(OFFSET($AM$3,0,0,'Données projet'!$E$10+1,1))-AVERAGE(OFFSET($H$3,0,0,'Données projet'!$E$10+1,1))</f>
        <v>188.94867378904664</v>
      </c>
      <c r="AO37" s="62">
        <f t="shared" si="36"/>
        <v>242.84781402593833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14.197710448134716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3.8784847330587877</v>
      </c>
      <c r="AX37" s="23">
        <f t="shared" si="6"/>
        <v>18.076195181193505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projet'!$B$11,Paramètres!$A$1:$I$88,3,0)*0.475*44/12</f>
        <v>#N/A</v>
      </c>
      <c r="BQ37" s="23" t="e">
        <f>EXP(-LN(2)/25)*BQ36+(1-EXP(-LN(2)/25))/(LN(2)/25)*Calculateur!BL37*Calculateur!BN37*VLOOKUP('Données projet'!$B$11,Paramètres!$A$1:$I$88,3,0)*0.475*44/12</f>
        <v>#N/A</v>
      </c>
      <c r="BR37" s="23" t="e">
        <f>EXP(-LN(2)/2)*BR36+(1-EXP(-LN(2)/2))/(LN(2)/2)*BL37*BO37*VLOOKUP('Données projet'!$B$11,Paramètres!$A$1:$I$88,3,0)*0.475*44/12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0.8666666666666667</v>
      </c>
      <c r="N38" s="14">
        <f>IF('Données projet'!$A$36&gt;35,N37+M38-V37,IF(A38&lt;'Données projet'!$A$36,$K$205^A38,IF(A38='Données projet'!$A$36,'Données projet'!$B$36,N37+M38-V37)))</f>
        <v>30.333333333333346</v>
      </c>
      <c r="O38" s="14">
        <f>N38*VLOOKUP('Données projet'!$B$9,Paramètres!$A$1:$I$88,3,0)*VLOOKUP('Données projet'!$B$9,Paramètres!$A$1:$I$88,5,0)</f>
        <v>27.445600000000013</v>
      </c>
      <c r="P38" s="14">
        <f t="shared" si="33"/>
        <v>8.6017450987835549</v>
      </c>
      <c r="Q38" s="22">
        <f t="shared" si="53"/>
        <v>62.782459380381376</v>
      </c>
      <c r="R38" s="62">
        <f t="shared" si="0"/>
        <v>306.43299210495587</v>
      </c>
      <c r="S38" s="62">
        <f ca="1">AVERAGE(OFFSET($R$3,0,0,'Données projet'!$E$9+1,1))-AVERAGE(OFFSET($H$3,0,0,'Données projet'!$E$9+1,1))</f>
        <v>158.2231941902271</v>
      </c>
      <c r="T38" s="62">
        <f t="shared" si="34"/>
        <v>109.82011879787936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179.99999999999989</v>
      </c>
      <c r="AJ38" s="14">
        <f>AI38*VLOOKUP('Données projet'!$B$10,Paramètres!$A$1:$I$88,3,0)*VLOOKUP('Données projet'!$B$10,Paramètres!$A$1:$I$88,5,0)</f>
        <v>84.239999999999938</v>
      </c>
      <c r="AK38" s="14">
        <f t="shared" si="35"/>
        <v>23.170749718409446</v>
      </c>
      <c r="AL38" s="22">
        <f t="shared" si="4"/>
        <v>187.07372242622966</v>
      </c>
      <c r="AM38" s="62">
        <f t="shared" si="5"/>
        <v>430.7242551508042</v>
      </c>
      <c r="AN38" s="62">
        <f ca="1">AVERAGE(OFFSET($AM$3,0,0,'Données projet'!$E$10+1,1))-AVERAGE(OFFSET($H$3,0,0,'Données projet'!$E$10+1,1))</f>
        <v>188.94867378904664</v>
      </c>
      <c r="AO38" s="62">
        <f t="shared" si="36"/>
        <v>242.84781402593833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13.919302005995089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2.7425028554743656</v>
      </c>
      <c r="AX38" s="23">
        <f t="shared" si="6"/>
        <v>16.661804861469456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projet'!$B$11,Paramètres!$A$1:$I$88,3,0)*0.475*44/12</f>
        <v>#N/A</v>
      </c>
      <c r="BQ38" s="23" t="e">
        <f>EXP(-LN(2)/25)*BQ37+(1-EXP(-LN(2)/25))/(LN(2)/25)*Calculateur!BL38*Calculateur!BN38*VLOOKUP('Données projet'!$B$11,Paramètres!$A$1:$I$88,3,0)*0.475*44/12</f>
        <v>#N/A</v>
      </c>
      <c r="BR38" s="23" t="e">
        <f>EXP(-LN(2)/2)*BR37+(1-EXP(-LN(2)/2))/(LN(2)/2)*BL38*BO38*VLOOKUP('Données projet'!$B$11,Paramètres!$A$1:$I$88,3,0)*0.475*44/12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0.8666666666666667</v>
      </c>
      <c r="N39" s="14">
        <f>IF('Données projet'!$A$36&gt;35,N38+M39-V38,IF(A39&lt;'Données projet'!$A$36,$K$205^A39,IF(A39='Données projet'!$A$36,'Données projet'!$B$36,N38+M39-V38)))</f>
        <v>31.200000000000014</v>
      </c>
      <c r="O39" s="14">
        <f>N39*VLOOKUP('Données projet'!$B$9,Paramètres!$A$1:$I$88,3,0)*VLOOKUP('Données projet'!$B$9,Paramètres!$A$1:$I$88,5,0)</f>
        <v>28.229760000000013</v>
      </c>
      <c r="P39" s="14">
        <f t="shared" si="33"/>
        <v>8.8185449788474148</v>
      </c>
      <c r="Q39" s="22">
        <f t="shared" si="53"/>
        <v>64.525797838159264</v>
      </c>
      <c r="R39" s="62">
        <f t="shared" si="0"/>
        <v>309.03821607919372</v>
      </c>
      <c r="S39" s="62">
        <f ca="1">AVERAGE(OFFSET($R$3,0,0,'Données projet'!$E$9+1,1))-AVERAGE(OFFSET($H$3,0,0,'Données projet'!$E$9+1,1))</f>
        <v>158.2231941902271</v>
      </c>
      <c r="T39" s="62">
        <f t="shared" si="34"/>
        <v>109.82011879787936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189.99999999999989</v>
      </c>
      <c r="AJ39" s="14">
        <f>AI39*VLOOKUP('Données projet'!$B$10,Paramètres!$A$1:$I$88,3,0)*VLOOKUP('Données projet'!$B$10,Paramètres!$A$1:$I$88,5,0)</f>
        <v>88.919999999999959</v>
      </c>
      <c r="AK39" s="14">
        <f t="shared" si="35"/>
        <v>24.30457227046648</v>
      </c>
      <c r="AL39" s="22">
        <f t="shared" si="4"/>
        <v>197.19946337106239</v>
      </c>
      <c r="AM39" s="62">
        <f t="shared" si="5"/>
        <v>441.71188161209682</v>
      </c>
      <c r="AN39" s="62">
        <f ca="1">AVERAGE(OFFSET($AM$3,0,0,'Données projet'!$E$10+1,1))-AVERAGE(OFFSET($H$3,0,0,'Données projet'!$E$10+1,1))</f>
        <v>188.94867378904664</v>
      </c>
      <c r="AO39" s="62">
        <f t="shared" si="36"/>
        <v>242.84781402593833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13.646352983593438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1.9392423665293941</v>
      </c>
      <c r="AX39" s="23">
        <f t="shared" si="6"/>
        <v>15.585595350122832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projet'!$B$11,Paramètres!$A$1:$I$88,3,0)*0.475*44/12</f>
        <v>#N/A</v>
      </c>
      <c r="BQ39" s="23" t="e">
        <f>EXP(-LN(2)/25)*BQ38+(1-EXP(-LN(2)/25))/(LN(2)/25)*Calculateur!BL39*Calculateur!BN39*VLOOKUP('Données projet'!$B$11,Paramètres!$A$1:$I$88,3,0)*0.475*44/12</f>
        <v>#N/A</v>
      </c>
      <c r="BR39" s="23" t="e">
        <f>EXP(-LN(2)/2)*BR38+(1-EXP(-LN(2)/2))/(LN(2)/2)*BL39*BO39*VLOOKUP('Données projet'!$B$11,Paramètres!$A$1:$I$88,3,0)*0.475*44/12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0.8666666666666667</v>
      </c>
      <c r="N40" s="14">
        <f>IF('Données projet'!$A$36&gt;35,N39+M40-V39,IF(A40&lt;'Données projet'!$A$36,$K$205^A40,IF(A40='Données projet'!$A$36,'Données projet'!$B$36,N39+M40-V39)))</f>
        <v>32.066666666666677</v>
      </c>
      <c r="O40" s="14">
        <f>N40*VLOOKUP('Données projet'!$B$9,Paramètres!$A$1:$I$88,3,0)*VLOOKUP('Données projet'!$B$9,Paramètres!$A$1:$I$88,5,0)</f>
        <v>29.013920000000006</v>
      </c>
      <c r="P40" s="14">
        <f t="shared" si="33"/>
        <v>9.0346449095563663</v>
      </c>
      <c r="Q40" s="22">
        <f t="shared" si="53"/>
        <v>66.267917217477347</v>
      </c>
      <c r="R40" s="62">
        <f t="shared" si="0"/>
        <v>311.62726918814843</v>
      </c>
      <c r="S40" s="62">
        <f ca="1">AVERAGE(OFFSET($R$3,0,0,'Données projet'!$E$9+1,1))-AVERAGE(OFFSET($H$3,0,0,'Données projet'!$E$9+1,1))</f>
        <v>158.2231941902271</v>
      </c>
      <c r="T40" s="62">
        <f t="shared" si="34"/>
        <v>109.82011879787936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>
        <f>VLOOKUP(A40,'Données projet'!$A$61:$I$81,2,0)</f>
        <v>200</v>
      </c>
      <c r="AG40" s="13">
        <f>VLOOKUP(A40,'Données projet'!$A$61:$I$81,9,0)</f>
        <v>10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199.99999999999989</v>
      </c>
      <c r="AJ40" s="14">
        <f>AI40*VLOOKUP('Données projet'!$B$10,Paramètres!$A$1:$I$88,3,0)*VLOOKUP('Données projet'!$B$10,Paramètres!$A$1:$I$88,5,0)</f>
        <v>93.599999999999952</v>
      </c>
      <c r="AK40" s="14">
        <f t="shared" si="35"/>
        <v>25.431466524572915</v>
      </c>
      <c r="AL40" s="22">
        <f t="shared" si="4"/>
        <v>207.31313753029772</v>
      </c>
      <c r="AM40" s="62">
        <f t="shared" si="5"/>
        <v>452.67248950096882</v>
      </c>
      <c r="AN40" s="62">
        <f ca="1">AVERAGE(OFFSET($AM$3,0,0,'Données projet'!$E$10+1,1))-AVERAGE(OFFSET($H$3,0,0,'Données projet'!$E$10+1,1))</f>
        <v>188.94867378904664</v>
      </c>
      <c r="AO40" s="62">
        <f t="shared" si="36"/>
        <v>242.84781402593833</v>
      </c>
      <c r="AP40" s="16">
        <f>IF(ISNA(VLOOKUP(A40,'Données projet'!$A$61:$I$81,3,0)),0,VLOOKUP(A40,'Données projet'!$A$61:$I$81,3,0))</f>
        <v>4</v>
      </c>
      <c r="AQ40" s="16">
        <f>IF(ISNA(VLOOKUP(A40,'Données projet'!$A$61:$I$81,4,0)),0,VLOOKUP(A40,'Données projet'!$A$61:$I$81,4,0))</f>
        <v>50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13.378756325038617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1.371251427737183</v>
      </c>
      <c r="AX40" s="23">
        <f t="shared" si="6"/>
        <v>14.750007752775801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projet'!$B$11,Paramètres!$A$1:$I$88,3,0)*0.475*44/12</f>
        <v>#N/A</v>
      </c>
      <c r="BQ40" s="23" t="e">
        <f>EXP(-LN(2)/25)*BQ39+(1-EXP(-LN(2)/25))/(LN(2)/25)*Calculateur!BL40*Calculateur!BN40*VLOOKUP('Données projet'!$B$11,Paramètres!$A$1:$I$88,3,0)*0.475*44/12</f>
        <v>#N/A</v>
      </c>
      <c r="BR40" s="23" t="e">
        <f>EXP(-LN(2)/2)*BR39+(1-EXP(-LN(2)/2))/(LN(2)/2)*BL40*BO40*VLOOKUP('Données projet'!$B$11,Paramètres!$A$1:$I$88,3,0)*0.475*44/12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0.8666666666666667</v>
      </c>
      <c r="N41" s="14">
        <f>IF('Données projet'!$A$36&gt;35,N40+M41-V40,IF(A41&lt;'Données projet'!$A$36,$K$205^A41,IF(A41='Données projet'!$A$36,'Données projet'!$B$36,N40+M41-V40)))</f>
        <v>32.933333333333344</v>
      </c>
      <c r="O41" s="14">
        <f>N41*VLOOKUP('Données projet'!$B$9,Paramètres!$A$1:$I$88,3,0)*VLOOKUP('Données projet'!$B$9,Paramètres!$A$1:$I$88,5,0)</f>
        <v>29.798080000000013</v>
      </c>
      <c r="P41" s="14">
        <f t="shared" si="33"/>
        <v>9.2500659824773592</v>
      </c>
      <c r="Q41" s="22">
        <f t="shared" si="53"/>
        <v>68.008854252814757</v>
      </c>
      <c r="R41" s="62">
        <f t="shared" si="0"/>
        <v>314.20044754637348</v>
      </c>
      <c r="S41" s="62">
        <f ca="1">AVERAGE(OFFSET($R$3,0,0,'Données projet'!$E$9+1,1))-AVERAGE(OFFSET($H$3,0,0,'Données projet'!$E$9+1,1))</f>
        <v>158.2231941902271</v>
      </c>
      <c r="T41" s="62">
        <f t="shared" si="34"/>
        <v>109.82011879787936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10.857142857142858</v>
      </c>
      <c r="AI41" s="14">
        <f>IF('Données projet'!$A$62&gt;35,AI40+AH41-AQ40,IF(A41&lt;'Données projet'!$A$62,$AF$205^A41,IF(A41='Données projet'!$A$62,'Données projet'!$B$62,AI40+AH41-AQ40)))</f>
        <v>160.85714285714275</v>
      </c>
      <c r="AJ41" s="14">
        <f>AI41*VLOOKUP('Données projet'!$B$10,Paramètres!$A$1:$I$88,3,0)*VLOOKUP('Données projet'!$B$10,Paramètres!$A$1:$I$88,5,0)</f>
        <v>75.281142857142797</v>
      </c>
      <c r="AK41" s="14">
        <f t="shared" si="35"/>
        <v>20.979348355748712</v>
      </c>
      <c r="AL41" s="22">
        <f t="shared" si="4"/>
        <v>167.6536888624527</v>
      </c>
      <c r="AM41" s="62">
        <f t="shared" si="5"/>
        <v>413.84528215601142</v>
      </c>
      <c r="AN41" s="62">
        <f ca="1">AVERAGE(OFFSET($AM$3,0,0,'Données projet'!$E$10+1,1))-AVERAGE(OFFSET($H$3,0,0,'Données projet'!$E$10+1,1))</f>
        <v>188.94867378904664</v>
      </c>
      <c r="AO41" s="62">
        <f t="shared" si="36"/>
        <v>242.84781402593833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13.116407073740213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0.96962118326469726</v>
      </c>
      <c r="AX41" s="23">
        <f t="shared" si="6"/>
        <v>14.08602825700491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projet'!$B$11,Paramètres!$A$1:$I$88,3,0)*0.475*44/12</f>
        <v>#N/A</v>
      </c>
      <c r="BQ41" s="23" t="e">
        <f>EXP(-LN(2)/25)*BQ40+(1-EXP(-LN(2)/25))/(LN(2)/25)*Calculateur!BL41*Calculateur!BN41*VLOOKUP('Données projet'!$B$11,Paramètres!$A$1:$I$88,3,0)*0.475*44/12</f>
        <v>#N/A</v>
      </c>
      <c r="BR41" s="23" t="e">
        <f>EXP(-LN(2)/2)*BR40+(1-EXP(-LN(2)/2))/(LN(2)/2)*BL41*BO41*VLOOKUP('Données projet'!$B$11,Paramètres!$A$1:$I$88,3,0)*0.475*44/12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0.8666666666666667</v>
      </c>
      <c r="N42" s="14">
        <f>IF('Données projet'!$A$36&gt;35,N41+M42-V41,IF(A42&lt;'Données projet'!$A$36,$K$205^A42,IF(A42='Données projet'!$A$36,'Données projet'!$B$36,N41+M42-V41)))</f>
        <v>33.800000000000011</v>
      </c>
      <c r="O42" s="14">
        <f>N42*VLOOKUP('Données projet'!$B$9,Paramètres!$A$1:$I$88,3,0)*VLOOKUP('Données projet'!$B$9,Paramètres!$A$1:$I$88,5,0)</f>
        <v>30.582240000000009</v>
      </c>
      <c r="P42" s="14">
        <f t="shared" si="33"/>
        <v>9.4648281158765393</v>
      </c>
      <c r="Q42" s="22">
        <f t="shared" si="53"/>
        <v>69.748643635151652</v>
      </c>
      <c r="R42" s="62">
        <f t="shared" si="0"/>
        <v>316.75804072525875</v>
      </c>
      <c r="S42" s="62">
        <f ca="1">AVERAGE(OFFSET($R$3,0,0,'Données projet'!$E$9+1,1))-AVERAGE(OFFSET($H$3,0,0,'Données projet'!$E$9+1,1))</f>
        <v>158.2231941902271</v>
      </c>
      <c r="T42" s="62">
        <f t="shared" si="34"/>
        <v>109.82011879787936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10.857142857142858</v>
      </c>
      <c r="AI42" s="14">
        <f>IF('Données projet'!$A$62&gt;35,AI41+AH42-AQ41,IF(A42&lt;'Données projet'!$A$62,$AF$205^A42,IF(A42='Données projet'!$A$62,'Données projet'!$B$62,AI41+AH42-AQ41)))</f>
        <v>171.71428571428561</v>
      </c>
      <c r="AJ42" s="14">
        <f>AI42*VLOOKUP('Données projet'!$B$10,Paramètres!$A$1:$I$88,3,0)*VLOOKUP('Données projet'!$B$10,Paramètres!$A$1:$I$88,5,0)</f>
        <v>80.362285714285662</v>
      </c>
      <c r="AK42" s="14">
        <f t="shared" si="35"/>
        <v>22.225741561876685</v>
      </c>
      <c r="AL42" s="22">
        <f t="shared" si="4"/>
        <v>178.67414750598275</v>
      </c>
      <c r="AM42" s="62">
        <f t="shared" si="5"/>
        <v>425.68354459608986</v>
      </c>
      <c r="AN42" s="62">
        <f ca="1">AVERAGE(OFFSET($AM$3,0,0,'Données projet'!$E$10+1,1))-AVERAGE(OFFSET($H$3,0,0,'Données projet'!$E$10+1,1))</f>
        <v>188.94867378904664</v>
      </c>
      <c r="AO42" s="62">
        <f t="shared" si="36"/>
        <v>242.84781402593833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12.859202331242527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0.68562571386859161</v>
      </c>
      <c r="AX42" s="23">
        <f t="shared" si="6"/>
        <v>13.544828045111117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projet'!$B$11,Paramètres!$A$1:$I$88,3,0)*0.475*44/12</f>
        <v>#N/A</v>
      </c>
      <c r="BQ42" s="23" t="e">
        <f>EXP(-LN(2)/25)*BQ41+(1-EXP(-LN(2)/25))/(LN(2)/25)*Calculateur!BL42*Calculateur!BN42*VLOOKUP('Données projet'!$B$11,Paramètres!$A$1:$I$88,3,0)*0.475*44/12</f>
        <v>#N/A</v>
      </c>
      <c r="BR42" s="23" t="e">
        <f>EXP(-LN(2)/2)*BR41+(1-EXP(-LN(2)/2))/(LN(2)/2)*BL42*BO42*VLOOKUP('Données projet'!$B$11,Paramètres!$A$1:$I$88,3,0)*0.475*44/12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0.8666666666666667</v>
      </c>
      <c r="N43" s="14">
        <f>IF('Données projet'!$A$36&gt;35,N42+M43-V42,IF(A43&lt;'Données projet'!$A$36,$K$205^A43,IF(A43='Données projet'!$A$36,'Données projet'!$B$36,N42+M43-V42)))</f>
        <v>34.666666666666679</v>
      </c>
      <c r="O43" s="14">
        <f>N43*VLOOKUP('Données projet'!$B$9,Paramètres!$A$1:$I$88,3,0)*VLOOKUP('Données projet'!$B$9,Paramètres!$A$1:$I$88,5,0)</f>
        <v>31.366400000000009</v>
      </c>
      <c r="P43" s="14">
        <f t="shared" si="33"/>
        <v>9.6789501483766998</v>
      </c>
      <c r="Q43" s="22">
        <f t="shared" si="53"/>
        <v>71.487318175089442</v>
      </c>
      <c r="R43" s="62">
        <f t="shared" si="0"/>
        <v>319.30033199421024</v>
      </c>
      <c r="S43" s="62">
        <f ca="1">AVERAGE(OFFSET($R$3,0,0,'Données projet'!$E$9+1,1))-AVERAGE(OFFSET($H$3,0,0,'Données projet'!$E$9+1,1))</f>
        <v>158.2231941902271</v>
      </c>
      <c r="T43" s="62">
        <f t="shared" si="34"/>
        <v>109.82011879787936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10.857142857142858</v>
      </c>
      <c r="AI43" s="14">
        <f>IF('Données projet'!$A$62&gt;35,AI42+AH43-AQ42,IF(A43&lt;'Données projet'!$A$62,$AF$205^A43,IF(A43='Données projet'!$A$62,'Données projet'!$B$62,AI42+AH43-AQ42)))</f>
        <v>182.57142857142847</v>
      </c>
      <c r="AJ43" s="14">
        <f>AI43*VLOOKUP('Données projet'!$B$10,Paramètres!$A$1:$I$88,3,0)*VLOOKUP('Données projet'!$B$10,Paramètres!$A$1:$I$88,5,0)</f>
        <v>85.443428571428527</v>
      </c>
      <c r="AK43" s="14">
        <f t="shared" si="35"/>
        <v>23.462988887975445</v>
      </c>
      <c r="AL43" s="22">
        <f t="shared" si="4"/>
        <v>189.67867707512858</v>
      </c>
      <c r="AM43" s="62">
        <f t="shared" si="5"/>
        <v>437.49169089424936</v>
      </c>
      <c r="AN43" s="62">
        <f ca="1">AVERAGE(OFFSET($AM$3,0,0,'Données projet'!$E$10+1,1))-AVERAGE(OFFSET($H$3,0,0,'Données projet'!$E$10+1,1))</f>
        <v>188.94867378904664</v>
      </c>
      <c r="AO43" s="62">
        <f t="shared" si="36"/>
        <v>242.84781402593833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12.607041216865817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0.48481059163234869</v>
      </c>
      <c r="AX43" s="23">
        <f t="shared" si="6"/>
        <v>13.091851808498165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projet'!$B$11,Paramètres!$A$1:$I$88,3,0)*0.475*44/12</f>
        <v>#N/A</v>
      </c>
      <c r="BQ43" s="23" t="e">
        <f>EXP(-LN(2)/25)*BQ42+(1-EXP(-LN(2)/25))/(LN(2)/25)*Calculateur!BL43*Calculateur!BN43*VLOOKUP('Données projet'!$B$11,Paramètres!$A$1:$I$88,3,0)*0.475*44/12</f>
        <v>#N/A</v>
      </c>
      <c r="BR43" s="23" t="e">
        <f>EXP(-LN(2)/2)*BR42+(1-EXP(-LN(2)/2))/(LN(2)/2)*BL43*BO43*VLOOKUP('Données projet'!$B$11,Paramètres!$A$1:$I$88,3,0)*0.475*44/12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0.8666666666666667</v>
      </c>
      <c r="N44" s="14">
        <f>IF('Données projet'!$A$36&gt;35,N43+M44-V43,IF(A44&lt;'Données projet'!$A$36,$K$205^A44,IF(A44='Données projet'!$A$36,'Données projet'!$B$36,N43+M44-V43)))</f>
        <v>35.533333333333346</v>
      </c>
      <c r="O44" s="14">
        <f>N44*VLOOKUP('Données projet'!$B$9,Paramètres!$A$1:$I$88,3,0)*VLOOKUP('Données projet'!$B$9,Paramètres!$A$1:$I$88,5,0)</f>
        <v>32.150560000000013</v>
      </c>
      <c r="P44" s="14">
        <f t="shared" si="33"/>
        <v>9.8924499229853211</v>
      </c>
      <c r="Q44" s="22">
        <f t="shared" si="53"/>
        <v>73.224908949199445</v>
      </c>
      <c r="R44" s="62">
        <f t="shared" si="0"/>
        <v>321.8275985437034</v>
      </c>
      <c r="S44" s="62">
        <f ca="1">AVERAGE(OFFSET($R$3,0,0,'Données projet'!$E$9+1,1))-AVERAGE(OFFSET($H$3,0,0,'Données projet'!$E$9+1,1))</f>
        <v>158.2231941902271</v>
      </c>
      <c r="T44" s="62">
        <f t="shared" si="34"/>
        <v>109.82011879787936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10.857142857142858</v>
      </c>
      <c r="AI44" s="14">
        <f>IF('Données projet'!$A$62&gt;35,AI43+AH44-AQ43,IF(A44&lt;'Données projet'!$A$62,$AF$205^A44,IF(A44='Données projet'!$A$62,'Données projet'!$B$62,AI43+AH44-AQ43)))</f>
        <v>193.42857142857133</v>
      </c>
      <c r="AJ44" s="14">
        <f>AI44*VLOOKUP('Données projet'!$B$10,Paramètres!$A$1:$I$88,3,0)*VLOOKUP('Données projet'!$B$10,Paramètres!$A$1:$I$88,5,0)</f>
        <v>90.524571428571392</v>
      </c>
      <c r="AK44" s="14">
        <f t="shared" si="35"/>
        <v>24.691696167188251</v>
      </c>
      <c r="AL44" s="22">
        <f t="shared" si="4"/>
        <v>200.66833272928136</v>
      </c>
      <c r="AM44" s="62">
        <f t="shared" si="5"/>
        <v>449.27102232378536</v>
      </c>
      <c r="AN44" s="62">
        <f ca="1">AVERAGE(OFFSET($AM$3,0,0,'Données projet'!$E$10+1,1))-AVERAGE(OFFSET($H$3,0,0,'Données projet'!$E$10+1,1))</f>
        <v>188.94867378904664</v>
      </c>
      <c r="AO44" s="62">
        <f t="shared" si="36"/>
        <v>242.84781402593833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12.359824828138942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0.34281285693429586</v>
      </c>
      <c r="AX44" s="23">
        <f t="shared" si="6"/>
        <v>12.702637685073238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projet'!$B$11,Paramètres!$A$1:$I$88,3,0)*0.475*44/12</f>
        <v>#N/A</v>
      </c>
      <c r="BQ44" s="23" t="e">
        <f>EXP(-LN(2)/25)*BQ43+(1-EXP(-LN(2)/25))/(LN(2)/25)*Calculateur!BL44*Calculateur!BN44*VLOOKUP('Données projet'!$B$11,Paramètres!$A$1:$I$88,3,0)*0.475*44/12</f>
        <v>#N/A</v>
      </c>
      <c r="BR44" s="23" t="e">
        <f>EXP(-LN(2)/2)*BR43+(1-EXP(-LN(2)/2))/(LN(2)/2)*BL44*BO44*VLOOKUP('Données projet'!$B$11,Paramètres!$A$1:$I$88,3,0)*0.475*44/12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0.8666666666666667</v>
      </c>
      <c r="N45" s="14">
        <f>IF('Données projet'!$A$36&gt;35,N44+M45-V44,IF(A45&lt;'Données projet'!$A$36,$K$205^A45,IF(A45='Données projet'!$A$36,'Données projet'!$B$36,N44+M45-V44)))</f>
        <v>36.400000000000013</v>
      </c>
      <c r="O45" s="14">
        <f>N45*VLOOKUP('Données projet'!$B$9,Paramètres!$A$1:$I$88,3,0)*VLOOKUP('Données projet'!$B$9,Paramètres!$A$1:$I$88,5,0)</f>
        <v>32.934720000000013</v>
      </c>
      <c r="P45" s="14">
        <f t="shared" si="33"/>
        <v>10.1053443626939</v>
      </c>
      <c r="Q45" s="22">
        <f t="shared" si="53"/>
        <v>74.961445431691899</v>
      </c>
      <c r="R45" s="62">
        <f t="shared" si="0"/>
        <v>324.34011169232662</v>
      </c>
      <c r="S45" s="62">
        <f ca="1">AVERAGE(OFFSET($R$3,0,0,'Données projet'!$E$9+1,1))-AVERAGE(OFFSET($H$3,0,0,'Données projet'!$E$9+1,1))</f>
        <v>158.2231941902271</v>
      </c>
      <c r="T45" s="62">
        <f t="shared" si="34"/>
        <v>109.82011879787936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10.857142857142858</v>
      </c>
      <c r="AI45" s="14">
        <f>IF('Données projet'!$A$62&gt;35,AI44+AH45-AQ44,IF(A45&lt;'Données projet'!$A$62,$AF$205^A45,IF(A45='Données projet'!$A$62,'Données projet'!$B$62,AI44+AH45-AQ44)))</f>
        <v>204.28571428571419</v>
      </c>
      <c r="AJ45" s="14">
        <f>AI45*VLOOKUP('Données projet'!$B$10,Paramètres!$A$1:$I$88,3,0)*VLOOKUP('Données projet'!$B$10,Paramètres!$A$1:$I$88,5,0)</f>
        <v>95.605714285714242</v>
      </c>
      <c r="AK45" s="14">
        <f t="shared" si="35"/>
        <v>25.912397380593962</v>
      </c>
      <c r="AL45" s="22">
        <f t="shared" si="4"/>
        <v>211.64404448548677</v>
      </c>
      <c r="AM45" s="62">
        <f t="shared" si="5"/>
        <v>461.0227107461215</v>
      </c>
      <c r="AN45" s="62">
        <f ca="1">AVERAGE(OFFSET($AM$3,0,0,'Données projet'!$E$10+1,1))-AVERAGE(OFFSET($H$3,0,0,'Données projet'!$E$10+1,1))</f>
        <v>188.94867378904664</v>
      </c>
      <c r="AO45" s="62">
        <f t="shared" si="36"/>
        <v>242.84781402593833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12.117456202007894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0.24240529581617437</v>
      </c>
      <c r="AX45" s="23">
        <f t="shared" si="6"/>
        <v>12.359861497824069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projet'!$B$11,Paramètres!$A$1:$I$88,3,0)*0.475*44/12</f>
        <v>#N/A</v>
      </c>
      <c r="BQ45" s="23" t="e">
        <f>EXP(-LN(2)/25)*BQ44+(1-EXP(-LN(2)/25))/(LN(2)/25)*Calculateur!BL45*Calculateur!BN45*VLOOKUP('Données projet'!$B$11,Paramètres!$A$1:$I$88,3,0)*0.475*44/12</f>
        <v>#N/A</v>
      </c>
      <c r="BR45" s="23" t="e">
        <f>EXP(-LN(2)/2)*BR44+(1-EXP(-LN(2)/2))/(LN(2)/2)*BL45*BO45*VLOOKUP('Données projet'!$B$11,Paramètres!$A$1:$I$88,3,0)*0.475*44/12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0.8666666666666667</v>
      </c>
      <c r="N46" s="14">
        <f>IF('Données projet'!$A$36&gt;35,N45+M46-V45,IF(A46&lt;'Données projet'!$A$36,$K$205^A46,IF(A46='Données projet'!$A$36,'Données projet'!$B$36,N45+M46-V45)))</f>
        <v>37.26666666666668</v>
      </c>
      <c r="O46" s="14">
        <f>N46*VLOOKUP('Données projet'!$B$9,Paramètres!$A$1:$I$88,3,0)*VLOOKUP('Données projet'!$B$9,Paramètres!$A$1:$I$88,5,0)</f>
        <v>33.718880000000006</v>
      </c>
      <c r="P46" s="14">
        <f t="shared" si="33"/>
        <v>10.317649538674615</v>
      </c>
      <c r="Q46" s="22">
        <f t="shared" si="53"/>
        <v>76.696955613191633</v>
      </c>
      <c r="R46" s="62">
        <f t="shared" si="0"/>
        <v>326.83813707962366</v>
      </c>
      <c r="S46" s="62">
        <f ca="1">AVERAGE(OFFSET($R$3,0,0,'Données projet'!$E$9+1,1))-AVERAGE(OFFSET($H$3,0,0,'Données projet'!$E$9+1,1))</f>
        <v>158.2231941902271</v>
      </c>
      <c r="T46" s="62">
        <f t="shared" si="34"/>
        <v>109.82011879787936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10.857142857142858</v>
      </c>
      <c r="AI46" s="14">
        <f>IF('Données projet'!$A$62&gt;35,AI45+AH46-AQ45,IF(A46&lt;'Données projet'!$A$62,$AF$205^A46,IF(A46='Données projet'!$A$62,'Données projet'!$B$62,AI45+AH46-AQ45)))</f>
        <v>215.14285714285705</v>
      </c>
      <c r="AJ46" s="14">
        <f>AI46*VLOOKUP('Données projet'!$B$10,Paramètres!$A$1:$I$88,3,0)*VLOOKUP('Données projet'!$B$10,Paramètres!$A$1:$I$88,5,0)</f>
        <v>100.68685714285711</v>
      </c>
      <c r="AK46" s="14">
        <f t="shared" si="35"/>
        <v>27.125566544771527</v>
      </c>
      <c r="AL46" s="22">
        <f t="shared" si="4"/>
        <v>222.60663792261985</v>
      </c>
      <c r="AM46" s="62">
        <f t="shared" si="5"/>
        <v>472.74781938905187</v>
      </c>
      <c r="AN46" s="62">
        <f ca="1">AVERAGE(OFFSET($AM$3,0,0,'Données projet'!$E$10+1,1))-AVERAGE(OFFSET($H$3,0,0,'Données projet'!$E$10+1,1))</f>
        <v>188.94867378904664</v>
      </c>
      <c r="AO46" s="62">
        <f t="shared" si="36"/>
        <v>242.84781402593833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11.879840276805009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0.17140642846714796</v>
      </c>
      <c r="AX46" s="23">
        <f t="shared" si="6"/>
        <v>12.051246705272156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projet'!$B$11,Paramètres!$A$1:$I$88,3,0)*0.475*44/12</f>
        <v>#N/A</v>
      </c>
      <c r="BQ46" s="23" t="e">
        <f>EXP(-LN(2)/25)*BQ45+(1-EXP(-LN(2)/25))/(LN(2)/25)*Calculateur!BL46*Calculateur!BN46*VLOOKUP('Données projet'!$B$11,Paramètres!$A$1:$I$88,3,0)*0.475*44/12</f>
        <v>#N/A</v>
      </c>
      <c r="BR46" s="23" t="e">
        <f>EXP(-LN(2)/2)*BR45+(1-EXP(-LN(2)/2))/(LN(2)/2)*BL46*BO46*VLOOKUP('Données projet'!$B$11,Paramètres!$A$1:$I$88,3,0)*0.475*44/12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0.8666666666666667</v>
      </c>
      <c r="N47" s="14">
        <f>IF('Données projet'!$A$36&gt;35,N46+M47-V46,IF(A47&lt;'Données projet'!$A$36,$K$205^A47,IF(A47='Données projet'!$A$36,'Données projet'!$B$36,N46+M47-V46)))</f>
        <v>38.133333333333347</v>
      </c>
      <c r="O47" s="14">
        <f>N47*VLOOKUP('Données projet'!$B$9,Paramètres!$A$1:$I$88,3,0)*VLOOKUP('Données projet'!$B$9,Paramètres!$A$1:$I$88,5,0)</f>
        <v>34.503040000000006</v>
      </c>
      <c r="P47" s="14">
        <f t="shared" si="33"/>
        <v>10.529380731954268</v>
      </c>
      <c r="Q47" s="22">
        <f t="shared" si="53"/>
        <v>78.431466108153685</v>
      </c>
      <c r="R47" s="62">
        <f t="shared" si="0"/>
        <v>329.32193484629113</v>
      </c>
      <c r="S47" s="62">
        <f ca="1">AVERAGE(OFFSET($R$3,0,0,'Données projet'!$E$9+1,1))-AVERAGE(OFFSET($H$3,0,0,'Données projet'!$E$9+1,1))</f>
        <v>158.2231941902271</v>
      </c>
      <c r="T47" s="62">
        <f t="shared" si="34"/>
        <v>109.82011879787936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226</v>
      </c>
      <c r="AG47" s="13">
        <f>VLOOKUP(A47,'Données projet'!$A$61:$I$81,9,0)</f>
        <v>10.857142857142858</v>
      </c>
      <c r="AH47" s="13">
        <f t="array" ref="AH47">INDEX(AG:AG,MIN(IF(ISNUMBER(AG47:AG243),ROW(AG47:AG243),"")))</f>
        <v>10.857142857142858</v>
      </c>
      <c r="AI47" s="14">
        <f>IF('Données projet'!$A$62&gt;35,AI46+AH47-AQ46,IF(A47&lt;'Données projet'!$A$62,$AF$205^A47,IF(A47='Données projet'!$A$62,'Données projet'!$B$62,AI46+AH47-AQ46)))</f>
        <v>225.99999999999991</v>
      </c>
      <c r="AJ47" s="14">
        <f>AI47*VLOOKUP('Données projet'!$B$10,Paramètres!$A$1:$I$88,3,0)*VLOOKUP('Données projet'!$B$10,Paramètres!$A$1:$I$88,5,0)</f>
        <v>105.76799999999997</v>
      </c>
      <c r="AK47" s="14">
        <f t="shared" si="35"/>
        <v>28.33162713151323</v>
      </c>
      <c r="AL47" s="22">
        <f t="shared" si="4"/>
        <v>233.5568505873855</v>
      </c>
      <c r="AM47" s="62">
        <f t="shared" si="5"/>
        <v>484.44731932552293</v>
      </c>
      <c r="AN47" s="62">
        <f ca="1">AVERAGE(OFFSET($AM$3,0,0,'Données projet'!$E$10+1,1))-AVERAGE(OFFSET($H$3,0,0,'Données projet'!$E$10+1,1))</f>
        <v>188.94867378904664</v>
      </c>
      <c r="AO47" s="62">
        <f t="shared" si="36"/>
        <v>242.84781402593833</v>
      </c>
      <c r="AP47" s="16">
        <f>IF(ISNA(VLOOKUP(A47,'Données projet'!$A$61:$I$81,3,0)),0,VLOOKUP(A47,'Données projet'!$A$61:$I$81,3,0))</f>
        <v>5</v>
      </c>
      <c r="AQ47" s="16">
        <f>IF(ISNA(VLOOKUP(A47,'Données projet'!$A$61:$I$81,4,0)),0,VLOOKUP(A47,'Données projet'!$A$61:$I$81,4,0))</f>
        <v>60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11.646883854963949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0.12120264790808721</v>
      </c>
      <c r="AX47" s="23">
        <f t="shared" si="6"/>
        <v>11.768086502872036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projet'!$B$11,Paramètres!$A$1:$I$88,3,0)*0.475*44/12</f>
        <v>#N/A</v>
      </c>
      <c r="BQ47" s="23" t="e">
        <f>EXP(-LN(2)/25)*BQ46+(1-EXP(-LN(2)/25))/(LN(2)/25)*Calculateur!BL47*Calculateur!BN47*VLOOKUP('Données projet'!$B$11,Paramètres!$A$1:$I$88,3,0)*0.475*44/12</f>
        <v>#N/A</v>
      </c>
      <c r="BR47" s="23" t="e">
        <f>EXP(-LN(2)/2)*BR46+(1-EXP(-LN(2)/2))/(LN(2)/2)*BL47*BO47*VLOOKUP('Données projet'!$B$11,Paramètres!$A$1:$I$88,3,0)*0.475*44/12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39</v>
      </c>
      <c r="L48" s="13">
        <f>VLOOKUP(A48,'Données projet'!$A$35:$I$55,9,0)</f>
        <v>0.8666666666666667</v>
      </c>
      <c r="M48" s="13">
        <f t="array" ref="M48">INDEX(L:L,MIN(IF(ISNUMBER(L48:L244),ROW(L48:L244),"")))</f>
        <v>0.8666666666666667</v>
      </c>
      <c r="N48" s="14">
        <f>IF('Données projet'!$A$36&gt;35,N47+M48-V47,IF(A48&lt;'Données projet'!$A$36,$K$205^A48,IF(A48='Données projet'!$A$36,'Données projet'!$B$36,N47+M48-V47)))</f>
        <v>39.000000000000014</v>
      </c>
      <c r="O48" s="14">
        <f>N48*VLOOKUP('Données projet'!$B$9,Paramètres!$A$1:$I$88,3,0)*VLOOKUP('Données projet'!$B$9,Paramètres!$A$1:$I$88,5,0)</f>
        <v>35.287200000000013</v>
      </c>
      <c r="P48" s="14">
        <f t="shared" si="33"/>
        <v>10.740552489323523</v>
      </c>
      <c r="Q48" s="22">
        <f t="shared" si="53"/>
        <v>80.16500225223848</v>
      </c>
      <c r="R48" s="62">
        <f t="shared" si="0"/>
        <v>331.79175980307264</v>
      </c>
      <c r="S48" s="62">
        <f ca="1">AVERAGE(OFFSET($R$3,0,0,'Données projet'!$E$9+1,1))-AVERAGE(OFFSET($H$3,0,0,'Données projet'!$E$9+1,1))</f>
        <v>158.2231941902271</v>
      </c>
      <c r="T48" s="62">
        <f t="shared" si="34"/>
        <v>109.82011879787936</v>
      </c>
      <c r="U48" s="16">
        <f>IF(ISNA(VLOOKUP(A48,'Données projet'!$A$35:$I$55,3,0)),0,VLOOKUP(A48,'Données projet'!$A$35:$I$55,3,0))</f>
        <v>1</v>
      </c>
      <c r="V48" s="16">
        <f>IF(ISNA(VLOOKUP(A48,'Données projet'!$A$35:$I$55,4,0)),0,VLOOKUP(A48,'Données projet'!$A$35:$I$55,4,0))</f>
        <v>35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11.857142857142858</v>
      </c>
      <c r="AI48" s="14">
        <f>IF('Données projet'!$A$62&gt;35,AI47+AH48-AQ47,IF(A48&lt;'Données projet'!$A$62,$AF$205^A48,IF(A48='Données projet'!$A$62,'Données projet'!$B$62,AI47+AH48-AQ47)))</f>
        <v>177.85714285714278</v>
      </c>
      <c r="AJ48" s="14">
        <f>AI48*VLOOKUP('Données projet'!$B$10,Paramètres!$A$1:$I$88,3,0)*VLOOKUP('Données projet'!$B$10,Paramètres!$A$1:$I$88,5,0)</f>
        <v>83.237142857142814</v>
      </c>
      <c r="AK48" s="14">
        <f t="shared" si="35"/>
        <v>22.926845872875649</v>
      </c>
      <c r="AL48" s="22">
        <f t="shared" si="4"/>
        <v>184.9022803714488</v>
      </c>
      <c r="AM48" s="62">
        <f t="shared" si="5"/>
        <v>436.5290379222829</v>
      </c>
      <c r="AN48" s="62">
        <f ca="1">AVERAGE(OFFSET($AM$3,0,0,'Données projet'!$E$10+1,1))-AVERAGE(OFFSET($H$3,0,0,'Données projet'!$E$10+1,1))</f>
        <v>188.94867378904664</v>
      </c>
      <c r="AO48" s="62">
        <f t="shared" si="36"/>
        <v>242.84781402593833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11.418495566465806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8.5703214233573993E-2</v>
      </c>
      <c r="AX48" s="23">
        <f t="shared" si="6"/>
        <v>11.50419878069938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projet'!$B$11,Paramètres!$A$1:$I$88,3,0)*0.475*44/12</f>
        <v>#N/A</v>
      </c>
      <c r="BQ48" s="23" t="e">
        <f>EXP(-LN(2)/25)*BQ47+(1-EXP(-LN(2)/25))/(LN(2)/25)*Calculateur!BL48*Calculateur!BN48*VLOOKUP('Données projet'!$B$11,Paramètres!$A$1:$I$88,3,0)*0.475*44/12</f>
        <v>#N/A</v>
      </c>
      <c r="BR48" s="23" t="e">
        <f>EXP(-LN(2)/2)*BR47+(1-EXP(-LN(2)/2))/(LN(2)/2)*BL48*BO48*VLOOKUP('Données projet'!$B$11,Paramètres!$A$1:$I$88,3,0)*0.475*44/12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9.375</v>
      </c>
      <c r="N49" s="14">
        <f>IF('Données projet'!$A$36&gt;35,N48+M49-V48,IF(A49&lt;'Données projet'!$A$36,$K$205^A49,IF(A49='Données projet'!$A$36,'Données projet'!$B$36,N48+M49-V48)))</f>
        <v>13.375000000000014</v>
      </c>
      <c r="O49" s="14">
        <f>N49*VLOOKUP('Données projet'!$B$9,Paramètres!$A$1:$I$88,3,0)*VLOOKUP('Données projet'!$B$9,Paramètres!$A$1:$I$88,5,0)</f>
        <v>12.101700000000012</v>
      </c>
      <c r="P49" s="14">
        <f t="shared" si="33"/>
        <v>4.1721040268212954</v>
      </c>
      <c r="Q49" s="22">
        <f t="shared" si="53"/>
        <v>28.343542013380443</v>
      </c>
      <c r="R49" s="62">
        <f t="shared" si="0"/>
        <v>280.69381541210612</v>
      </c>
      <c r="S49" s="62">
        <f ca="1">AVERAGE(OFFSET($R$3,0,0,'Données projet'!$E$9+1,1))-AVERAGE(OFFSET($H$3,0,0,'Données projet'!$E$9+1,1))</f>
        <v>158.2231941902271</v>
      </c>
      <c r="T49" s="62">
        <f t="shared" si="34"/>
        <v>109.82011879787936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11.857142857142858</v>
      </c>
      <c r="AI49" s="14">
        <f>IF('Données projet'!$A$62&gt;35,AI48+AH49-AQ48,IF(A49&lt;'Données projet'!$A$62,$AF$205^A49,IF(A49='Données projet'!$A$62,'Données projet'!$B$62,AI48+AH49-AQ48)))</f>
        <v>189.71428571428564</v>
      </c>
      <c r="AJ49" s="14">
        <f>AI49*VLOOKUP('Données projet'!$B$10,Paramètres!$A$1:$I$88,3,0)*VLOOKUP('Données projet'!$B$10,Paramètres!$A$1:$I$88,5,0)</f>
        <v>88.786285714285683</v>
      </c>
      <c r="AK49" s="14">
        <f t="shared" si="35"/>
        <v>24.27227542742515</v>
      </c>
      <c r="AL49" s="22">
        <f t="shared" si="4"/>
        <v>196.91032732181304</v>
      </c>
      <c r="AM49" s="62">
        <f t="shared" si="5"/>
        <v>449.26060072053872</v>
      </c>
      <c r="AN49" s="62">
        <f ca="1">AVERAGE(OFFSET($AM$3,0,0,'Données projet'!$E$10+1,1))-AVERAGE(OFFSET($H$3,0,0,'Données projet'!$E$10+1,1))</f>
        <v>188.94867378904664</v>
      </c>
      <c r="AO49" s="62">
        <f t="shared" si="36"/>
        <v>242.84781402593833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11.19458583300201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6.0601323954043614E-2</v>
      </c>
      <c r="AX49" s="23">
        <f t="shared" si="6"/>
        <v>11.255187156956055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projet'!$B$11,Paramètres!$A$1:$I$88,3,0)*0.475*44/12</f>
        <v>#N/A</v>
      </c>
      <c r="BQ49" s="23" t="e">
        <f>EXP(-LN(2)/25)*BQ48+(1-EXP(-LN(2)/25))/(LN(2)/25)*Calculateur!BL49*Calculateur!BN49*VLOOKUP('Données projet'!$B$11,Paramètres!$A$1:$I$88,3,0)*0.475*44/12</f>
        <v>#N/A</v>
      </c>
      <c r="BR49" s="23" t="e">
        <f>EXP(-LN(2)/2)*BR48+(1-EXP(-LN(2)/2))/(LN(2)/2)*BL49*BO49*VLOOKUP('Données projet'!$B$11,Paramètres!$A$1:$I$88,3,0)*0.475*44/12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9.375</v>
      </c>
      <c r="N50" s="14">
        <f>IF('Données projet'!$A$36&gt;35,N49+M50-V49,IF(A50&lt;'Données projet'!$A$36,$K$205^A50,IF(A50='Données projet'!$A$36,'Données projet'!$B$36,N49+M50-V49)))</f>
        <v>22.750000000000014</v>
      </c>
      <c r="O50" s="14">
        <f>N50*VLOOKUP('Données projet'!$B$9,Paramètres!$A$1:$I$88,3,0)*VLOOKUP('Données projet'!$B$9,Paramètres!$A$1:$I$88,5,0)</f>
        <v>20.584200000000013</v>
      </c>
      <c r="P50" s="14">
        <f t="shared" si="33"/>
        <v>6.6709963188880321</v>
      </c>
      <c r="Q50" s="22">
        <f t="shared" si="53"/>
        <v>47.46946692206334</v>
      </c>
      <c r="R50" s="62">
        <f t="shared" si="0"/>
        <v>300.53070478625875</v>
      </c>
      <c r="S50" s="62">
        <f ca="1">AVERAGE(OFFSET($R$3,0,0,'Données projet'!$E$9+1,1))-AVERAGE(OFFSET($H$3,0,0,'Données projet'!$E$9+1,1))</f>
        <v>158.2231941902271</v>
      </c>
      <c r="T50" s="62">
        <f t="shared" si="34"/>
        <v>109.82011879787936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11.857142857142858</v>
      </c>
      <c r="AI50" s="14">
        <f>IF('Données projet'!$A$62&gt;35,AI49+AH50-AQ49,IF(A50&lt;'Données projet'!$A$62,$AF$205^A50,IF(A50='Données projet'!$A$62,'Données projet'!$B$62,AI49+AH50-AQ49)))</f>
        <v>201.5714285714285</v>
      </c>
      <c r="AJ50" s="14">
        <f>AI50*VLOOKUP('Données projet'!$B$10,Paramètres!$A$1:$I$88,3,0)*VLOOKUP('Données projet'!$B$10,Paramètres!$A$1:$I$88,5,0)</f>
        <v>94.335428571428523</v>
      </c>
      <c r="AK50" s="14">
        <f t="shared" si="35"/>
        <v>25.607945794285612</v>
      </c>
      <c r="AL50" s="22">
        <f t="shared" si="4"/>
        <v>208.90137702028542</v>
      </c>
      <c r="AM50" s="62">
        <f t="shared" si="5"/>
        <v>461.96261488448079</v>
      </c>
      <c r="AN50" s="62">
        <f ca="1">AVERAGE(OFFSET($AM$3,0,0,'Données projet'!$E$10+1,1))-AVERAGE(OFFSET($H$3,0,0,'Données projet'!$E$10+1,1))</f>
        <v>188.94867378904664</v>
      </c>
      <c r="AO50" s="62">
        <f t="shared" si="36"/>
        <v>242.84781402593833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10.975066832839987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4.2851607116787004E-2</v>
      </c>
      <c r="AX50" s="23">
        <f t="shared" si="6"/>
        <v>11.017918439956775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projet'!$B$11,Paramètres!$A$1:$I$88,3,0)*0.475*44/12</f>
        <v>#N/A</v>
      </c>
      <c r="BQ50" s="23" t="e">
        <f>EXP(-LN(2)/25)*BQ49+(1-EXP(-LN(2)/25))/(LN(2)/25)*Calculateur!BL50*Calculateur!BN50*VLOOKUP('Données projet'!$B$11,Paramètres!$A$1:$I$88,3,0)*0.475*44/12</f>
        <v>#N/A</v>
      </c>
      <c r="BR50" s="23" t="e">
        <f>EXP(-LN(2)/2)*BR49+(1-EXP(-LN(2)/2))/(LN(2)/2)*BL50*BO50*VLOOKUP('Données projet'!$B$11,Paramètres!$A$1:$I$88,3,0)*0.475*44/12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9.375</v>
      </c>
      <c r="N51" s="14">
        <f>IF('Données projet'!$A$36&gt;35,N50+M51-V50,IF(A51&lt;'Données projet'!$A$36,$K$205^A51,IF(A51='Données projet'!$A$36,'Données projet'!$B$36,N50+M51-V50)))</f>
        <v>32.125000000000014</v>
      </c>
      <c r="O51" s="14">
        <f>N51*VLOOKUP('Données projet'!$B$9,Paramètres!$A$1:$I$88,3,0)*VLOOKUP('Données projet'!$B$9,Paramètres!$A$1:$I$88,5,0)</f>
        <v>29.066700000000012</v>
      </c>
      <c r="P51" s="14">
        <f t="shared" si="33"/>
        <v>9.0491654847610299</v>
      </c>
      <c r="Q51" s="22">
        <f t="shared" si="53"/>
        <v>66.385132385958812</v>
      </c>
      <c r="R51" s="62">
        <f t="shared" si="0"/>
        <v>320.1450010716265</v>
      </c>
      <c r="S51" s="62">
        <f ca="1">AVERAGE(OFFSET($R$3,0,0,'Données projet'!$E$9+1,1))-AVERAGE(OFFSET($H$3,0,0,'Données projet'!$E$9+1,1))</f>
        <v>158.2231941902271</v>
      </c>
      <c r="T51" s="62">
        <f t="shared" si="34"/>
        <v>109.82011879787936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11.857142857142858</v>
      </c>
      <c r="AI51" s="14">
        <f>IF('Données projet'!$A$62&gt;35,AI50+AH51-AQ50,IF(A51&lt;'Données projet'!$A$62,$AF$205^A51,IF(A51='Données projet'!$A$62,'Données projet'!$B$62,AI50+AH51-AQ50)))</f>
        <v>213.42857142857136</v>
      </c>
      <c r="AJ51" s="14">
        <f>AI51*VLOOKUP('Données projet'!$B$10,Paramètres!$A$1:$I$88,3,0)*VLOOKUP('Données projet'!$B$10,Paramètres!$A$1:$I$88,5,0)</f>
        <v>99.884571428571391</v>
      </c>
      <c r="AK51" s="14">
        <f t="shared" si="35"/>
        <v>26.934496434750237</v>
      </c>
      <c r="AL51" s="22">
        <f t="shared" si="4"/>
        <v>220.87654319528517</v>
      </c>
      <c r="AM51" s="62">
        <f t="shared" si="5"/>
        <v>474.63641188095289</v>
      </c>
      <c r="AN51" s="62">
        <f ca="1">AVERAGE(OFFSET($AM$3,0,0,'Données projet'!$E$10+1,1))-AVERAGE(OFFSET($H$3,0,0,'Données projet'!$E$10+1,1))</f>
        <v>188.94867378904664</v>
      </c>
      <c r="AO51" s="62">
        <f t="shared" si="36"/>
        <v>242.84781402593833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10.759852466377772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3.0300661977021814E-2</v>
      </c>
      <c r="AX51" s="23">
        <f t="shared" si="6"/>
        <v>10.790153128354794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projet'!$B$11,Paramètres!$A$1:$I$88,3,0)*0.475*44/12</f>
        <v>#N/A</v>
      </c>
      <c r="BQ51" s="23" t="e">
        <f>EXP(-LN(2)/25)*BQ50+(1-EXP(-LN(2)/25))/(LN(2)/25)*Calculateur!BL51*Calculateur!BN51*VLOOKUP('Données projet'!$B$11,Paramètres!$A$1:$I$88,3,0)*0.475*44/12</f>
        <v>#N/A</v>
      </c>
      <c r="BR51" s="23" t="e">
        <f>EXP(-LN(2)/2)*BR50+(1-EXP(-LN(2)/2))/(LN(2)/2)*BL51*BO51*VLOOKUP('Données projet'!$B$11,Paramètres!$A$1:$I$88,3,0)*0.475*44/12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9.375</v>
      </c>
      <c r="N52" s="14">
        <f>IF('Données projet'!$A$36&gt;35,N51+M52-V51,IF(A52&lt;'Données projet'!$A$36,$K$205^A52,IF(A52='Données projet'!$A$36,'Données projet'!$B$36,N51+M52-V51)))</f>
        <v>41.500000000000014</v>
      </c>
      <c r="O52" s="14">
        <f>N52*VLOOKUP('Données projet'!$B$9,Paramètres!$A$1:$I$88,3,0)*VLOOKUP('Données projet'!$B$9,Paramètres!$A$1:$I$88,5,0)</f>
        <v>37.549200000000013</v>
      </c>
      <c r="P52" s="14">
        <f t="shared" si="33"/>
        <v>11.34669113822601</v>
      </c>
      <c r="Q52" s="22">
        <f t="shared" si="53"/>
        <v>85.160343732410311</v>
      </c>
      <c r="R52" s="62">
        <f t="shared" si="0"/>
        <v>339.60672355670226</v>
      </c>
      <c r="S52" s="62">
        <f ca="1">AVERAGE(OFFSET($R$3,0,0,'Données projet'!$E$9+1,1))-AVERAGE(OFFSET($H$3,0,0,'Données projet'!$E$9+1,1))</f>
        <v>158.2231941902271</v>
      </c>
      <c r="T52" s="62">
        <f t="shared" si="34"/>
        <v>109.82011879787936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11.857142857142858</v>
      </c>
      <c r="AI52" s="14">
        <f>IF('Données projet'!$A$62&gt;35,AI51+AH52-AQ51,IF(A52&lt;'Données projet'!$A$62,$AF$205^A52,IF(A52='Données projet'!$A$62,'Données projet'!$B$62,AI51+AH52-AQ51)))</f>
        <v>225.28571428571422</v>
      </c>
      <c r="AJ52" s="14">
        <f>AI52*VLOOKUP('Données projet'!$B$10,Paramètres!$A$1:$I$88,3,0)*VLOOKUP('Données projet'!$B$10,Paramètres!$A$1:$I$88,5,0)</f>
        <v>105.43371428571426</v>
      </c>
      <c r="AK52" s="14">
        <f t="shared" si="35"/>
        <v>28.252491745957425</v>
      </c>
      <c r="AL52" s="22">
        <f t="shared" si="4"/>
        <v>232.83680883849482</v>
      </c>
      <c r="AM52" s="62">
        <f t="shared" si="5"/>
        <v>487.28318866278676</v>
      </c>
      <c r="AN52" s="62">
        <f ca="1">AVERAGE(OFFSET($AM$3,0,0,'Données projet'!$E$10+1,1))-AVERAGE(OFFSET($H$3,0,0,'Données projet'!$E$10+1,1))</f>
        <v>188.94867378904664</v>
      </c>
      <c r="AO52" s="62">
        <f t="shared" si="36"/>
        <v>242.84781402593833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10.54885832237408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2.1425803558393505E-2</v>
      </c>
      <c r="AX52" s="23">
        <f t="shared" si="6"/>
        <v>10.570284125932474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projet'!$B$11,Paramètres!$A$1:$I$88,3,0)*0.475*44/12</f>
        <v>#N/A</v>
      </c>
      <c r="BQ52" s="23" t="e">
        <f>EXP(-LN(2)/25)*BQ51+(1-EXP(-LN(2)/25))/(LN(2)/25)*Calculateur!BL52*Calculateur!BN52*VLOOKUP('Données projet'!$B$11,Paramètres!$A$1:$I$88,3,0)*0.475*44/12</f>
        <v>#N/A</v>
      </c>
      <c r="BR52" s="23" t="e">
        <f>EXP(-LN(2)/2)*BR51+(1-EXP(-LN(2)/2))/(LN(2)/2)*BL52*BO52*VLOOKUP('Données projet'!$B$11,Paramètres!$A$1:$I$88,3,0)*0.475*44/12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9.375</v>
      </c>
      <c r="N53" s="14">
        <f>IF('Données projet'!$A$36&gt;35,N52+M53-V52,IF(A53&lt;'Données projet'!$A$36,$K$205^A53,IF(A53='Données projet'!$A$36,'Données projet'!$B$36,N52+M53-V52)))</f>
        <v>50.875000000000014</v>
      </c>
      <c r="O53" s="14">
        <f>N53*VLOOKUP('Données projet'!$B$9,Paramètres!$A$1:$I$88,3,0)*VLOOKUP('Données projet'!$B$9,Paramètres!$A$1:$I$88,5,0)</f>
        <v>46.031700000000015</v>
      </c>
      <c r="P53" s="14">
        <f t="shared" si="33"/>
        <v>13.584049096823263</v>
      </c>
      <c r="Q53" s="22">
        <f t="shared" si="53"/>
        <v>103.83076301030054</v>
      </c>
      <c r="R53" s="62">
        <f t="shared" si="0"/>
        <v>358.95174453977063</v>
      </c>
      <c r="S53" s="62">
        <f ca="1">AVERAGE(OFFSET($R$3,0,0,'Données projet'!$E$9+1,1))-AVERAGE(OFFSET($H$3,0,0,'Données projet'!$E$9+1,1))</f>
        <v>158.2231941902271</v>
      </c>
      <c r="T53" s="62">
        <f t="shared" si="34"/>
        <v>109.82011879787936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11.857142857142858</v>
      </c>
      <c r="AI53" s="14">
        <f>IF('Données projet'!$A$62&gt;35,AI52+AH53-AQ52,IF(A53&lt;'Données projet'!$A$62,$AF$205^A53,IF(A53='Données projet'!$A$62,'Données projet'!$B$62,AI52+AH53-AQ52)))</f>
        <v>237.14285714285708</v>
      </c>
      <c r="AJ53" s="14">
        <f>AI53*VLOOKUP('Données projet'!$B$10,Paramètres!$A$1:$I$88,3,0)*VLOOKUP('Données projet'!$B$10,Paramètres!$A$1:$I$88,5,0)</f>
        <v>110.98285714285713</v>
      </c>
      <c r="AK53" s="14">
        <f t="shared" si="35"/>
        <v>29.562433359346652</v>
      </c>
      <c r="AL53" s="22">
        <f t="shared" si="4"/>
        <v>244.78304762467158</v>
      </c>
      <c r="AM53" s="62">
        <f t="shared" si="5"/>
        <v>499.90402915414165</v>
      </c>
      <c r="AN53" s="62">
        <f ca="1">AVERAGE(OFFSET($AM$3,0,0,'Données projet'!$E$10+1,1))-AVERAGE(OFFSET($H$3,0,0,'Données projet'!$E$10+1,1))</f>
        <v>188.94867378904664</v>
      </c>
      <c r="AO53" s="62">
        <f t="shared" si="36"/>
        <v>242.84781402593833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10.342001644840581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1.5150330988510909E-2</v>
      </c>
      <c r="AX53" s="23">
        <f t="shared" si="6"/>
        <v>10.357151975829092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projet'!$B$11,Paramètres!$A$1:$I$88,3,0)*0.475*44/12</f>
        <v>#N/A</v>
      </c>
      <c r="BQ53" s="23" t="e">
        <f>EXP(-LN(2)/25)*BQ52+(1-EXP(-LN(2)/25))/(LN(2)/25)*Calculateur!BL53*Calculateur!BN53*VLOOKUP('Données projet'!$B$11,Paramètres!$A$1:$I$88,3,0)*0.475*44/12</f>
        <v>#N/A</v>
      </c>
      <c r="BR53" s="23" t="e">
        <f>EXP(-LN(2)/2)*BR52+(1-EXP(-LN(2)/2))/(LN(2)/2)*BL53*BO53*VLOOKUP('Données projet'!$B$11,Paramètres!$A$1:$I$88,3,0)*0.475*44/12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9.375</v>
      </c>
      <c r="N54" s="14">
        <f>IF('Données projet'!$A$36&gt;35,N53+M54-V53,IF(A54&lt;'Données projet'!$A$36,$K$205^A54,IF(A54='Données projet'!$A$36,'Données projet'!$B$36,N53+M54-V53)))</f>
        <v>60.250000000000014</v>
      </c>
      <c r="O54" s="14">
        <f>N54*VLOOKUP('Données projet'!$B$9,Paramètres!$A$1:$I$88,3,0)*VLOOKUP('Données projet'!$B$9,Paramètres!$A$1:$I$88,5,0)</f>
        <v>54.514200000000017</v>
      </c>
      <c r="P54" s="14">
        <f t="shared" si="33"/>
        <v>15.773642208999272</v>
      </c>
      <c r="Q54" s="22">
        <f t="shared" si="53"/>
        <v>122.41799184734045</v>
      </c>
      <c r="R54" s="62">
        <f t="shared" si="0"/>
        <v>378.20187225058726</v>
      </c>
      <c r="S54" s="62">
        <f ca="1">AVERAGE(OFFSET($R$3,0,0,'Données projet'!$E$9+1,1))-AVERAGE(OFFSET($H$3,0,0,'Données projet'!$E$9+1,1))</f>
        <v>158.2231941902271</v>
      </c>
      <c r="T54" s="62">
        <f t="shared" si="34"/>
        <v>109.82011879787936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>
        <f>VLOOKUP(A54,'Données projet'!$A$61:$I$81,2,0)</f>
        <v>249</v>
      </c>
      <c r="AG54" s="13">
        <f>VLOOKUP(A54,'Données projet'!$A$61:$I$81,9,0)</f>
        <v>11.857142857142858</v>
      </c>
      <c r="AH54" s="13">
        <f t="array" ref="AH54">INDEX(AG:AG,MIN(IF(ISNUMBER(AG54:AG250),ROW(AG54:AG250),"")))</f>
        <v>11.857142857142858</v>
      </c>
      <c r="AI54" s="14">
        <f>IF('Données projet'!$A$62&gt;35,AI53+AH54-AQ53,IF(A54&lt;'Données projet'!$A$62,$AF$205^A54,IF(A54='Données projet'!$A$62,'Données projet'!$B$62,AI53+AH54-AQ53)))</f>
        <v>248.99999999999994</v>
      </c>
      <c r="AJ54" s="14">
        <f>AI54*VLOOKUP('Données projet'!$B$10,Paramètres!$A$1:$I$88,3,0)*VLOOKUP('Données projet'!$B$10,Paramètres!$A$1:$I$88,5,0)</f>
        <v>116.53199999999997</v>
      </c>
      <c r="AK54" s="14">
        <f t="shared" si="35"/>
        <v>30.864769909522728</v>
      </c>
      <c r="AL54" s="22">
        <f t="shared" si="4"/>
        <v>256.71604092575205</v>
      </c>
      <c r="AM54" s="62">
        <f t="shared" si="5"/>
        <v>512.49992132899888</v>
      </c>
      <c r="AN54" s="62">
        <f ca="1">AVERAGE(OFFSET($AM$3,0,0,'Données projet'!$E$10+1,1))-AVERAGE(OFFSET($H$3,0,0,'Données projet'!$E$10+1,1))</f>
        <v>188.94867378904664</v>
      </c>
      <c r="AO54" s="62">
        <f t="shared" si="36"/>
        <v>242.84781402593833</v>
      </c>
      <c r="AP54" s="16">
        <f>IF(ISNA(VLOOKUP(A54,'Données projet'!$A$61:$I$81,3,0)),0,VLOOKUP(A54,'Données projet'!$A$61:$I$81,3,0))</f>
        <v>6</v>
      </c>
      <c r="AQ54" s="16">
        <f>IF(ISNA(VLOOKUP(A54,'Données projet'!$A$61:$I$81,4,0)),0,VLOOKUP(A54,'Données projet'!$A$61:$I$81,4,0))</f>
        <v>70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10.139201300583398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1.0712901779196754E-2</v>
      </c>
      <c r="AX54" s="23">
        <f t="shared" si="6"/>
        <v>10.149914202362595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projet'!$B$11,Paramètres!$A$1:$I$88,3,0)*0.475*44/12</f>
        <v>#N/A</v>
      </c>
      <c r="BQ54" s="23" t="e">
        <f>EXP(-LN(2)/25)*BQ53+(1-EXP(-LN(2)/25))/(LN(2)/25)*Calculateur!BL54*Calculateur!BN54*VLOOKUP('Données projet'!$B$11,Paramètres!$A$1:$I$88,3,0)*0.475*44/12</f>
        <v>#N/A</v>
      </c>
      <c r="BR54" s="23" t="e">
        <f>EXP(-LN(2)/2)*BR53+(1-EXP(-LN(2)/2))/(LN(2)/2)*BL54*BO54*VLOOKUP('Données projet'!$B$11,Paramètres!$A$1:$I$88,3,0)*0.475*44/12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9.375</v>
      </c>
      <c r="N55" s="14">
        <f>IF('Données projet'!$A$36&gt;35,N54+M55-V54,IF(A55&lt;'Données projet'!$A$36,$K$205^A55,IF(A55='Données projet'!$A$36,'Données projet'!$B$36,N54+M55-V54)))</f>
        <v>69.625000000000014</v>
      </c>
      <c r="O55" s="14">
        <f>N55*VLOOKUP('Données projet'!$B$9,Paramètres!$A$1:$I$88,3,0)*VLOOKUP('Données projet'!$B$9,Paramètres!$A$1:$I$88,5,0)</f>
        <v>62.996700000000011</v>
      </c>
      <c r="P55" s="14">
        <f t="shared" si="33"/>
        <v>17.923766313679241</v>
      </c>
      <c r="Q55" s="22">
        <f t="shared" si="53"/>
        <v>140.93647882965803</v>
      </c>
      <c r="R55" s="62">
        <f t="shared" si="0"/>
        <v>397.37175829324138</v>
      </c>
      <c r="S55" s="62">
        <f ca="1">AVERAGE(OFFSET($R$3,0,0,'Données projet'!$E$9+1,1))-AVERAGE(OFFSET($H$3,0,0,'Données projet'!$E$9+1,1))</f>
        <v>158.2231941902271</v>
      </c>
      <c r="T55" s="62">
        <f t="shared" si="34"/>
        <v>109.82011879787936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13.444444444444445</v>
      </c>
      <c r="AI55" s="14">
        <f>IF('Données projet'!$A$62&gt;35,AI54+AH55-AQ54,IF(A55&lt;'Données projet'!$A$62,$AF$205^A55,IF(A55='Données projet'!$A$62,'Données projet'!$B$62,AI54+AH55-AQ54)))</f>
        <v>192.4444444444444</v>
      </c>
      <c r="AJ55" s="14">
        <f>AI55*VLOOKUP('Données projet'!$B$10,Paramètres!$A$1:$I$88,3,0)*VLOOKUP('Données projet'!$B$10,Paramètres!$A$1:$I$88,5,0)</f>
        <v>90.063999999999993</v>
      </c>
      <c r="AK55" s="14">
        <f t="shared" si="35"/>
        <v>24.580659614147791</v>
      </c>
      <c r="AL55" s="22">
        <f t="shared" si="4"/>
        <v>199.6727821613074</v>
      </c>
      <c r="AM55" s="62">
        <f t="shared" si="5"/>
        <v>456.10806162489075</v>
      </c>
      <c r="AN55" s="62">
        <f ca="1">AVERAGE(OFFSET($AM$3,0,0,'Données projet'!$E$10+1,1))-AVERAGE(OFFSET($H$3,0,0,'Données projet'!$E$10+1,1))</f>
        <v>188.94867378904664</v>
      </c>
      <c r="AO55" s="62">
        <f t="shared" si="36"/>
        <v>242.84781402593833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9.9403777473811026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7.5751654942554552E-3</v>
      </c>
      <c r="AX55" s="23">
        <f t="shared" si="6"/>
        <v>9.9479529128753583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projet'!$B$11,Paramètres!$A$1:$I$88,3,0)*0.475*44/12</f>
        <v>#N/A</v>
      </c>
      <c r="BQ55" s="23" t="e">
        <f>EXP(-LN(2)/25)*BQ54+(1-EXP(-LN(2)/25))/(LN(2)/25)*Calculateur!BL55*Calculateur!BN55*VLOOKUP('Données projet'!$B$11,Paramètres!$A$1:$I$88,3,0)*0.475*44/12</f>
        <v>#N/A</v>
      </c>
      <c r="BR55" s="23" t="e">
        <f>EXP(-LN(2)/2)*BR54+(1-EXP(-LN(2)/2))/(LN(2)/2)*BL55*BO55*VLOOKUP('Données projet'!$B$11,Paramètres!$A$1:$I$88,3,0)*0.475*44/12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>
        <f>VLOOKUP(A56,'Données projet'!$A$35:$I$55,2,0)</f>
        <v>79</v>
      </c>
      <c r="L56" s="13">
        <f>VLOOKUP(A56,'Données projet'!$A$35:$I$55,9,0)</f>
        <v>9.375</v>
      </c>
      <c r="M56" s="13">
        <f t="array" ref="M56">INDEX(L:L,MIN(IF(ISNUMBER(L56:L252),ROW(L56:L252),"")))</f>
        <v>9.375</v>
      </c>
      <c r="N56" s="14">
        <f>IF('Données projet'!$A$36&gt;35,N55+M56-V55,IF(A56&lt;'Données projet'!$A$36,$K$205^A56,IF(A56='Données projet'!$A$36,'Données projet'!$B$36,N55+M56-V55)))</f>
        <v>79.000000000000014</v>
      </c>
      <c r="O56" s="14">
        <f>N56*VLOOKUP('Données projet'!$B$9,Paramètres!$A$1:$I$88,3,0)*VLOOKUP('Données projet'!$B$9,Paramètres!$A$1:$I$88,5,0)</f>
        <v>71.47920000000002</v>
      </c>
      <c r="P56" s="14">
        <f t="shared" si="33"/>
        <v>20.040346808618629</v>
      </c>
      <c r="Q56" s="22">
        <f t="shared" si="53"/>
        <v>159.39654402501083</v>
      </c>
      <c r="R56" s="62">
        <f t="shared" si="0"/>
        <v>416.47192223154406</v>
      </c>
      <c r="S56" s="62">
        <f ca="1">AVERAGE(OFFSET($R$3,0,0,'Données projet'!$E$9+1,1))-AVERAGE(OFFSET($H$3,0,0,'Données projet'!$E$9+1,1))</f>
        <v>158.2231941902271</v>
      </c>
      <c r="T56" s="62">
        <f t="shared" si="34"/>
        <v>109.82011879787936</v>
      </c>
      <c r="U56" s="16">
        <f>IF(ISNA(VLOOKUP(A56,'Données projet'!$A$35:$I$55,3,0)),0,VLOOKUP(A56,'Données projet'!$A$35:$I$55,3,0))</f>
        <v>2</v>
      </c>
      <c r="V56" s="16">
        <f>IF(ISNA(VLOOKUP(A56,'Données projet'!$A$35:$I$55,4,0)),0,VLOOKUP(A56,'Données projet'!$A$35:$I$55,4,0))</f>
        <v>50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13.444444444444445</v>
      </c>
      <c r="AI56" s="14">
        <f>IF('Données projet'!$A$62&gt;35,AI55+AH56-AQ55,IF(A56&lt;'Données projet'!$A$62,$AF$205^A56,IF(A56='Données projet'!$A$62,'Données projet'!$B$62,AI55+AH56-AQ55)))</f>
        <v>205.88888888888886</v>
      </c>
      <c r="AJ56" s="14">
        <f>AI56*VLOOKUP('Données projet'!$B$10,Paramètres!$A$1:$I$88,3,0)*VLOOKUP('Données projet'!$B$10,Paramètres!$A$1:$I$88,5,0)</f>
        <v>96.355999999999995</v>
      </c>
      <c r="AK56" s="14">
        <f t="shared" si="35"/>
        <v>26.091998195525026</v>
      </c>
      <c r="AL56" s="22">
        <f t="shared" si="4"/>
        <v>213.26359685720604</v>
      </c>
      <c r="AM56" s="62">
        <f t="shared" si="5"/>
        <v>470.33897506373927</v>
      </c>
      <c r="AN56" s="62">
        <f ca="1">AVERAGE(OFFSET($AM$3,0,0,'Données projet'!$E$10+1,1))-AVERAGE(OFFSET($H$3,0,0,'Données projet'!$E$10+1,1))</f>
        <v>188.94867378904664</v>
      </c>
      <c r="AO56" s="62">
        <f t="shared" si="36"/>
        <v>242.84781402593833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9.7454530027867108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5.356450889598378E-3</v>
      </c>
      <c r="AX56" s="23">
        <f t="shared" si="6"/>
        <v>9.7508094536763092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projet'!$B$11,Paramètres!$A$1:$I$88,3,0)*0.475*44/12</f>
        <v>#N/A</v>
      </c>
      <c r="BQ56" s="23" t="e">
        <f>EXP(-LN(2)/25)*BQ55+(1-EXP(-LN(2)/25))/(LN(2)/25)*Calculateur!BL56*Calculateur!BN56*VLOOKUP('Données projet'!$B$11,Paramètres!$A$1:$I$88,3,0)*0.475*44/12</f>
        <v>#N/A</v>
      </c>
      <c r="BR56" s="23" t="e">
        <f>EXP(-LN(2)/2)*BR55+(1-EXP(-LN(2)/2))/(LN(2)/2)*BL56*BO56*VLOOKUP('Données projet'!$B$11,Paramètres!$A$1:$I$88,3,0)*0.475*44/12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8.375</v>
      </c>
      <c r="N57" s="14">
        <f>IF('Données projet'!$A$36&gt;35,N56+M57-V56,IF(A57&lt;'Données projet'!$A$36,$K$205^A57,IF(A57='Données projet'!$A$36,'Données projet'!$B$36,N56+M57-V56)))</f>
        <v>37.375000000000014</v>
      </c>
      <c r="O57" s="14">
        <f>N57*VLOOKUP('Données projet'!$B$9,Paramètres!$A$1:$I$88,3,0)*VLOOKUP('Données projet'!$B$9,Paramètres!$A$1:$I$88,5,0)</f>
        <v>33.816900000000011</v>
      </c>
      <c r="P57" s="14">
        <f t="shared" si="33"/>
        <v>10.34414702234946</v>
      </c>
      <c r="Q57" s="22">
        <f t="shared" si="53"/>
        <v>76.913823563925334</v>
      </c>
      <c r="R57" s="62">
        <f t="shared" si="0"/>
        <v>334.61819623126468</v>
      </c>
      <c r="S57" s="62">
        <f ca="1">AVERAGE(OFFSET($R$3,0,0,'Données projet'!$E$9+1,1))-AVERAGE(OFFSET($H$3,0,0,'Données projet'!$E$9+1,1))</f>
        <v>158.2231941902271</v>
      </c>
      <c r="T57" s="62">
        <f t="shared" si="34"/>
        <v>109.82011879787936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13.444444444444445</v>
      </c>
      <c r="AI57" s="14">
        <f>IF('Données projet'!$A$62&gt;35,AI56+AH57-AQ56,IF(A57&lt;'Données projet'!$A$62,$AF$205^A57,IF(A57='Données projet'!$A$62,'Données projet'!$B$62,AI56+AH57-AQ56)))</f>
        <v>219.33333333333331</v>
      </c>
      <c r="AJ57" s="14">
        <f>AI57*VLOOKUP('Données projet'!$B$10,Paramètres!$A$1:$I$88,3,0)*VLOOKUP('Données projet'!$B$10,Paramètres!$A$1:$I$88,5,0)</f>
        <v>102.648</v>
      </c>
      <c r="AK57" s="14">
        <f t="shared" si="35"/>
        <v>27.591884256813071</v>
      </c>
      <c r="AL57" s="22">
        <f t="shared" si="4"/>
        <v>226.83446508061607</v>
      </c>
      <c r="AM57" s="62">
        <f t="shared" si="5"/>
        <v>484.53883774795543</v>
      </c>
      <c r="AN57" s="62">
        <f ca="1">AVERAGE(OFFSET($AM$3,0,0,'Données projet'!$E$10+1,1))-AVERAGE(OFFSET($H$3,0,0,'Données projet'!$E$10+1,1))</f>
        <v>188.94867378904664</v>
      </c>
      <c r="AO57" s="62">
        <f t="shared" si="36"/>
        <v>242.84781402593833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9.5543506135414606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3.7875827471277284E-3</v>
      </c>
      <c r="AX57" s="23">
        <f t="shared" si="6"/>
        <v>9.5581381962885885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projet'!$B$11,Paramètres!$A$1:$I$88,3,0)*0.475*44/12</f>
        <v>#N/A</v>
      </c>
      <c r="BQ57" s="23" t="e">
        <f>EXP(-LN(2)/25)*BQ56+(1-EXP(-LN(2)/25))/(LN(2)/25)*Calculateur!BL57*Calculateur!BN57*VLOOKUP('Données projet'!$B$11,Paramètres!$A$1:$I$88,3,0)*0.475*44/12</f>
        <v>#N/A</v>
      </c>
      <c r="BR57" s="23" t="e">
        <f>EXP(-LN(2)/2)*BR56+(1-EXP(-LN(2)/2))/(LN(2)/2)*BL57*BO57*VLOOKUP('Données projet'!$B$11,Paramètres!$A$1:$I$88,3,0)*0.475*44/12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8.375</v>
      </c>
      <c r="N58" s="14">
        <f>IF('Données projet'!$A$36&gt;35,N57+M58-V57,IF(A58&lt;'Données projet'!$A$36,$K$205^A58,IF(A58='Données projet'!$A$36,'Données projet'!$B$36,N57+M58-V57)))</f>
        <v>45.750000000000014</v>
      </c>
      <c r="O58" s="14">
        <f>N58*VLOOKUP('Données projet'!$B$9,Paramètres!$A$1:$I$88,3,0)*VLOOKUP('Données projet'!$B$9,Paramètres!$A$1:$I$88,5,0)</f>
        <v>41.394600000000011</v>
      </c>
      <c r="P58" s="14">
        <f t="shared" si="33"/>
        <v>12.36754529594991</v>
      </c>
      <c r="Q58" s="22">
        <f t="shared" si="53"/>
        <v>93.635736390446098</v>
      </c>
      <c r="R58" s="62">
        <f t="shared" si="0"/>
        <v>351.95819187091746</v>
      </c>
      <c r="S58" s="62">
        <f ca="1">AVERAGE(OFFSET($R$3,0,0,'Données projet'!$E$9+1,1))-AVERAGE(OFFSET($H$3,0,0,'Données projet'!$E$9+1,1))</f>
        <v>158.2231941902271</v>
      </c>
      <c r="T58" s="62">
        <f t="shared" si="34"/>
        <v>109.82011879787936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13.444444444444445</v>
      </c>
      <c r="AI58" s="14">
        <f>IF('Données projet'!$A$62&gt;35,AI57+AH58-AQ57,IF(A58&lt;'Données projet'!$A$62,$AF$205^A58,IF(A58='Données projet'!$A$62,'Données projet'!$B$62,AI57+AH58-AQ57)))</f>
        <v>232.77777777777777</v>
      </c>
      <c r="AJ58" s="14">
        <f>AI58*VLOOKUP('Données projet'!$B$10,Paramètres!$A$1:$I$88,3,0)*VLOOKUP('Données projet'!$B$10,Paramètres!$A$1:$I$88,5,0)</f>
        <v>108.94</v>
      </c>
      <c r="AK58" s="14">
        <f t="shared" si="35"/>
        <v>29.081099734343869</v>
      </c>
      <c r="AL58" s="22">
        <f t="shared" si="4"/>
        <v>240.38674870398219</v>
      </c>
      <c r="AM58" s="62">
        <f t="shared" si="5"/>
        <v>498.7092041844536</v>
      </c>
      <c r="AN58" s="62">
        <f ca="1">AVERAGE(OFFSET($AM$3,0,0,'Données projet'!$E$10+1,1))-AVERAGE(OFFSET($H$3,0,0,'Données projet'!$E$10+1,1))</f>
        <v>188.94867378904664</v>
      </c>
      <c r="AO58" s="62">
        <f t="shared" si="36"/>
        <v>242.84781402593833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9.3669956255883609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2.6782254447991895E-3</v>
      </c>
      <c r="AX58" s="23">
        <f t="shared" si="6"/>
        <v>9.3696738510331592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projet'!$B$11,Paramètres!$A$1:$I$88,3,0)*0.475*44/12</f>
        <v>#N/A</v>
      </c>
      <c r="BQ58" s="23" t="e">
        <f>EXP(-LN(2)/25)*BQ57+(1-EXP(-LN(2)/25))/(LN(2)/25)*Calculateur!BL58*Calculateur!BN58*VLOOKUP('Données projet'!$B$11,Paramètres!$A$1:$I$88,3,0)*0.475*44/12</f>
        <v>#N/A</v>
      </c>
      <c r="BR58" s="23" t="e">
        <f>EXP(-LN(2)/2)*BR57+(1-EXP(-LN(2)/2))/(LN(2)/2)*BL58*BO58*VLOOKUP('Données projet'!$B$11,Paramètres!$A$1:$I$88,3,0)*0.475*44/12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8.375</v>
      </c>
      <c r="N59" s="14">
        <f>IF('Données projet'!$A$36&gt;35,N58+M59-V58,IF(A59&lt;'Données projet'!$A$36,$K$205^A59,IF(A59='Données projet'!$A$36,'Données projet'!$B$36,N58+M59-V58)))</f>
        <v>54.125000000000014</v>
      </c>
      <c r="O59" s="14">
        <f>N59*VLOOKUP('Données projet'!$B$9,Paramètres!$A$1:$I$88,3,0)*VLOOKUP('Données projet'!$B$9,Paramètres!$A$1:$I$88,5,0)</f>
        <v>48.972300000000011</v>
      </c>
      <c r="P59" s="14">
        <f t="shared" si="33"/>
        <v>14.348031709273055</v>
      </c>
      <c r="Q59" s="22">
        <f t="shared" si="53"/>
        <v>110.28291106031725</v>
      </c>
      <c r="R59" s="62">
        <f t="shared" si="0"/>
        <v>369.21272699893899</v>
      </c>
      <c r="S59" s="62">
        <f ca="1">AVERAGE(OFFSET($R$3,0,0,'Données projet'!$E$9+1,1))-AVERAGE(OFFSET($H$3,0,0,'Données projet'!$E$9+1,1))</f>
        <v>158.2231941902271</v>
      </c>
      <c r="T59" s="62">
        <f t="shared" si="34"/>
        <v>109.82011879787936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13.444444444444445</v>
      </c>
      <c r="AI59" s="14">
        <f>IF('Données projet'!$A$62&gt;35,AI58+AH59-AQ58,IF(A59&lt;'Données projet'!$A$62,$AF$205^A59,IF(A59='Données projet'!$A$62,'Données projet'!$B$62,AI58+AH59-AQ58)))</f>
        <v>246.22222222222223</v>
      </c>
      <c r="AJ59" s="14">
        <f>AI59*VLOOKUP('Données projet'!$B$10,Paramètres!$A$1:$I$88,3,0)*VLOOKUP('Données projet'!$B$10,Paramètres!$A$1:$I$88,5,0)</f>
        <v>115.232</v>
      </c>
      <c r="AK59" s="14">
        <f t="shared" si="35"/>
        <v>30.560331138556659</v>
      </c>
      <c r="AL59" s="22">
        <f t="shared" si="4"/>
        <v>253.92164339965282</v>
      </c>
      <c r="AM59" s="62">
        <f t="shared" si="5"/>
        <v>512.85145933827459</v>
      </c>
      <c r="AN59" s="62">
        <f ca="1">AVERAGE(OFFSET($AM$3,0,0,'Données projet'!$E$10+1,1))-AVERAGE(OFFSET($H$3,0,0,'Données projet'!$E$10+1,1))</f>
        <v>188.94867378904664</v>
      </c>
      <c r="AO59" s="62">
        <f t="shared" si="36"/>
        <v>242.84781402593833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9.1833145546737622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1.8937913735638644E-3</v>
      </c>
      <c r="AX59" s="23">
        <f t="shared" si="6"/>
        <v>9.1852083460473253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projet'!$B$11,Paramètres!$A$1:$I$88,3,0)*0.475*44/12</f>
        <v>#N/A</v>
      </c>
      <c r="BQ59" s="23" t="e">
        <f>EXP(-LN(2)/25)*BQ58+(1-EXP(-LN(2)/25))/(LN(2)/25)*Calculateur!BL59*Calculateur!BN59*VLOOKUP('Données projet'!$B$11,Paramètres!$A$1:$I$88,3,0)*0.475*44/12</f>
        <v>#N/A</v>
      </c>
      <c r="BR59" s="23" t="e">
        <f>EXP(-LN(2)/2)*BR58+(1-EXP(-LN(2)/2))/(LN(2)/2)*BL59*BO59*VLOOKUP('Données projet'!$B$11,Paramètres!$A$1:$I$88,3,0)*0.475*44/12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8.375</v>
      </c>
      <c r="N60" s="14">
        <f>IF('Données projet'!$A$36&gt;35,N59+M60-V59,IF(A60&lt;'Données projet'!$A$36,$K$205^A60,IF(A60='Données projet'!$A$36,'Données projet'!$B$36,N59+M60-V59)))</f>
        <v>62.500000000000014</v>
      </c>
      <c r="O60" s="14">
        <f>N60*VLOOKUP('Données projet'!$B$9,Paramètres!$A$1:$I$88,3,0)*VLOOKUP('Données projet'!$B$9,Paramètres!$A$1:$I$88,5,0)</f>
        <v>56.550000000000011</v>
      </c>
      <c r="P60" s="14">
        <f t="shared" si="33"/>
        <v>16.293017291168535</v>
      </c>
      <c r="Q60" s="22">
        <f t="shared" si="53"/>
        <v>126.86825511545187</v>
      </c>
      <c r="R60" s="62">
        <f t="shared" si="0"/>
        <v>386.39489516612957</v>
      </c>
      <c r="S60" s="62">
        <f ca="1">AVERAGE(OFFSET($R$3,0,0,'Données projet'!$E$9+1,1))-AVERAGE(OFFSET($H$3,0,0,'Données projet'!$E$9+1,1))</f>
        <v>158.2231941902271</v>
      </c>
      <c r="T60" s="62">
        <f t="shared" si="34"/>
        <v>109.82011879787936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13.444444444444445</v>
      </c>
      <c r="AI60" s="14">
        <f>IF('Données projet'!$A$62&gt;35,AI59+AH60-AQ59,IF(A60&lt;'Données projet'!$A$62,$AF$205^A60,IF(A60='Données projet'!$A$62,'Données projet'!$B$62,AI59+AH60-AQ59)))</f>
        <v>259.66666666666669</v>
      </c>
      <c r="AJ60" s="14">
        <f>AI60*VLOOKUP('Données projet'!$B$10,Paramètres!$A$1:$I$88,3,0)*VLOOKUP('Données projet'!$B$10,Paramètres!$A$1:$I$88,5,0)</f>
        <v>121.52400000000002</v>
      </c>
      <c r="AK60" s="14">
        <f t="shared" si="35"/>
        <v>32.030185774775809</v>
      </c>
      <c r="AL60" s="22">
        <f t="shared" si="4"/>
        <v>267.44020689106782</v>
      </c>
      <c r="AM60" s="62">
        <f t="shared" si="5"/>
        <v>526.96684694174553</v>
      </c>
      <c r="AN60" s="62">
        <f ca="1">AVERAGE(OFFSET($AM$3,0,0,'Données projet'!$E$10+1,1))-AVERAGE(OFFSET($H$3,0,0,'Données projet'!$E$10+1,1))</f>
        <v>188.94867378904664</v>
      </c>
      <c r="AO60" s="62">
        <f t="shared" si="36"/>
        <v>242.84781402593833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9.0032353575254085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1.3391127223995949E-3</v>
      </c>
      <c r="AX60" s="23">
        <f t="shared" si="6"/>
        <v>9.0045744702478085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projet'!$B$11,Paramètres!$A$1:$I$88,3,0)*0.475*44/12</f>
        <v>#N/A</v>
      </c>
      <c r="BQ60" s="23" t="e">
        <f>EXP(-LN(2)/25)*BQ59+(1-EXP(-LN(2)/25))/(LN(2)/25)*Calculateur!BL60*Calculateur!BN60*VLOOKUP('Données projet'!$B$11,Paramètres!$A$1:$I$88,3,0)*0.475*44/12</f>
        <v>#N/A</v>
      </c>
      <c r="BR60" s="23" t="e">
        <f>EXP(-LN(2)/2)*BR59+(1-EXP(-LN(2)/2))/(LN(2)/2)*BL60*BO60*VLOOKUP('Données projet'!$B$11,Paramètres!$A$1:$I$88,3,0)*0.475*44/12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8.375</v>
      </c>
      <c r="N61" s="14">
        <f>IF('Données projet'!$A$36&gt;35,N60+M61-V60,IF(A61&lt;'Données projet'!$A$36,$K$205^A61,IF(A61='Données projet'!$A$36,'Données projet'!$B$36,N60+M61-V60)))</f>
        <v>70.875000000000014</v>
      </c>
      <c r="O61" s="14">
        <f>N61*VLOOKUP('Données projet'!$B$9,Paramètres!$A$1:$I$88,3,0)*VLOOKUP('Données projet'!$B$9,Paramètres!$A$1:$I$88,5,0)</f>
        <v>64.127700000000019</v>
      </c>
      <c r="P61" s="14">
        <f t="shared" si="33"/>
        <v>18.207805831796744</v>
      </c>
      <c r="Q61" s="22">
        <f t="shared" si="53"/>
        <v>143.40100599037936</v>
      </c>
      <c r="R61" s="62">
        <f t="shared" si="0"/>
        <v>403.51411658906778</v>
      </c>
      <c r="S61" s="62">
        <f ca="1">AVERAGE(OFFSET($R$3,0,0,'Données projet'!$E$9+1,1))-AVERAGE(OFFSET($H$3,0,0,'Données projet'!$E$9+1,1))</f>
        <v>158.2231941902271</v>
      </c>
      <c r="T61" s="62">
        <f t="shared" si="34"/>
        <v>109.82011879787936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13.444444444444445</v>
      </c>
      <c r="AI61" s="14">
        <f>IF('Données projet'!$A$62&gt;35,AI60+AH61-AQ60,IF(A61&lt;'Données projet'!$A$62,$AF$205^A61,IF(A61='Données projet'!$A$62,'Données projet'!$B$62,AI60+AH61-AQ60)))</f>
        <v>273.11111111111114</v>
      </c>
      <c r="AJ61" s="14">
        <f>AI61*VLOOKUP('Données projet'!$B$10,Paramètres!$A$1:$I$88,3,0)*VLOOKUP('Données projet'!$B$10,Paramètres!$A$1:$I$88,5,0)</f>
        <v>127.81600000000002</v>
      </c>
      <c r="AK61" s="14">
        <f t="shared" si="35"/>
        <v>33.491204508905589</v>
      </c>
      <c r="AL61" s="22">
        <f t="shared" si="4"/>
        <v>280.94338118634391</v>
      </c>
      <c r="AM61" s="62">
        <f t="shared" si="5"/>
        <v>541.05649178503234</v>
      </c>
      <c r="AN61" s="62">
        <f ca="1">AVERAGE(OFFSET($AM$3,0,0,'Données projet'!$E$10+1,1))-AVERAGE(OFFSET($H$3,0,0,'Données projet'!$E$10+1,1))</f>
        <v>188.94867378904664</v>
      </c>
      <c r="AO61" s="62">
        <f t="shared" si="36"/>
        <v>242.84781402593833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8.8266874035956704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9.4689568678193244E-4</v>
      </c>
      <c r="AX61" s="23">
        <f t="shared" si="6"/>
        <v>8.8276342992824528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projet'!$B$11,Paramètres!$A$1:$I$88,3,0)*0.475*44/12</f>
        <v>#N/A</v>
      </c>
      <c r="BQ61" s="23" t="e">
        <f>EXP(-LN(2)/25)*BQ60+(1-EXP(-LN(2)/25))/(LN(2)/25)*Calculateur!BL61*Calculateur!BN61*VLOOKUP('Données projet'!$B$11,Paramètres!$A$1:$I$88,3,0)*0.475*44/12</f>
        <v>#N/A</v>
      </c>
      <c r="BR61" s="23" t="e">
        <f>EXP(-LN(2)/2)*BR60+(1-EXP(-LN(2)/2))/(LN(2)/2)*BL61*BO61*VLOOKUP('Données projet'!$B$11,Paramètres!$A$1:$I$88,3,0)*0.475*44/12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8.375</v>
      </c>
      <c r="N62" s="14">
        <f>IF('Données projet'!$A$36&gt;35,N61+M62-V61,IF(A62&lt;'Données projet'!$A$36,$K$205^A62,IF(A62='Données projet'!$A$36,'Données projet'!$B$36,N61+M62-V61)))</f>
        <v>79.250000000000014</v>
      </c>
      <c r="O62" s="14">
        <f>N62*VLOOKUP('Données projet'!$B$9,Paramètres!$A$1:$I$88,3,0)*VLOOKUP('Données projet'!$B$9,Paramètres!$A$1:$I$88,5,0)</f>
        <v>71.705400000000012</v>
      </c>
      <c r="P62" s="14">
        <f t="shared" si="33"/>
        <v>20.096373368519295</v>
      </c>
      <c r="Q62" s="22">
        <f t="shared" si="53"/>
        <v>159.88808861683779</v>
      </c>
      <c r="R62" s="62">
        <f t="shared" si="0"/>
        <v>420.5774958106806</v>
      </c>
      <c r="S62" s="62">
        <f ca="1">AVERAGE(OFFSET($R$3,0,0,'Données projet'!$E$9+1,1))-AVERAGE(OFFSET($H$3,0,0,'Données projet'!$E$9+1,1))</f>
        <v>158.2231941902271</v>
      </c>
      <c r="T62" s="62">
        <f t="shared" si="34"/>
        <v>109.82011879787936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13.444444444444445</v>
      </c>
      <c r="AI62" s="14">
        <f>IF('Données projet'!$A$62&gt;35,AI61+AH62-AQ61,IF(A62&lt;'Données projet'!$A$62,$AF$205^A62,IF(A62='Données projet'!$A$62,'Données projet'!$B$62,AI61+AH62-AQ61)))</f>
        <v>286.5555555555556</v>
      </c>
      <c r="AJ62" s="14">
        <f>AI62*VLOOKUP('Données projet'!$B$10,Paramètres!$A$1:$I$88,3,0)*VLOOKUP('Données projet'!$B$10,Paramètres!$A$1:$I$88,5,0)</f>
        <v>134.10800000000003</v>
      </c>
      <c r="AK62" s="14">
        <f t="shared" si="35"/>
        <v>34.943871948095122</v>
      </c>
      <c r="AL62" s="22">
        <f t="shared" si="4"/>
        <v>294.43201030959904</v>
      </c>
      <c r="AM62" s="62">
        <f t="shared" si="5"/>
        <v>555.12141750344176</v>
      </c>
      <c r="AN62" s="62">
        <f ca="1">AVERAGE(OFFSET($AM$3,0,0,'Données projet'!$E$10+1,1))-AVERAGE(OFFSET($H$3,0,0,'Données projet'!$E$10+1,1))</f>
        <v>188.94867378904664</v>
      </c>
      <c r="AO62" s="62">
        <f t="shared" si="36"/>
        <v>242.84781402593833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8.6536014473588754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6.6955636119979758E-4</v>
      </c>
      <c r="AX62" s="23">
        <f t="shared" si="6"/>
        <v>8.6542710037200745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projet'!$B$11,Paramètres!$A$1:$I$88,3,0)*0.475*44/12</f>
        <v>#N/A</v>
      </c>
      <c r="BQ62" s="23" t="e">
        <f>EXP(-LN(2)/25)*BQ61+(1-EXP(-LN(2)/25))/(LN(2)/25)*Calculateur!BL62*Calculateur!BN62*VLOOKUP('Données projet'!$B$11,Paramètres!$A$1:$I$88,3,0)*0.475*44/12</f>
        <v>#N/A</v>
      </c>
      <c r="BR62" s="23" t="e">
        <f>EXP(-LN(2)/2)*BR61+(1-EXP(-LN(2)/2))/(LN(2)/2)*BL62*BO62*VLOOKUP('Données projet'!$B$11,Paramètres!$A$1:$I$88,3,0)*0.475*44/12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8.375</v>
      </c>
      <c r="N63" s="14">
        <f>IF('Données projet'!$A$36&gt;35,N62+M63-V62,IF(A63&lt;'Données projet'!$A$36,$K$205^A63,IF(A63='Données projet'!$A$36,'Données projet'!$B$36,N62+M63-V62)))</f>
        <v>87.625000000000014</v>
      </c>
      <c r="O63" s="14">
        <f>N63*VLOOKUP('Données projet'!$B$9,Paramètres!$A$1:$I$88,3,0)*VLOOKUP('Données projet'!$B$9,Paramètres!$A$1:$I$88,5,0)</f>
        <v>79.283100000000005</v>
      </c>
      <c r="P63" s="14">
        <f t="shared" si="33"/>
        <v>21.961806626018745</v>
      </c>
      <c r="Q63" s="22">
        <f t="shared" si="53"/>
        <v>176.33487904031597</v>
      </c>
      <c r="R63" s="62">
        <f t="shared" si="0"/>
        <v>437.59058537179345</v>
      </c>
      <c r="S63" s="62">
        <f ca="1">AVERAGE(OFFSET($R$3,0,0,'Données projet'!$E$9+1,1))-AVERAGE(OFFSET($H$3,0,0,'Données projet'!$E$9+1,1))</f>
        <v>158.2231941902271</v>
      </c>
      <c r="T63" s="62">
        <f t="shared" si="34"/>
        <v>109.82011879787936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300</v>
      </c>
      <c r="AG63" s="13">
        <f>VLOOKUP(A63,'Données projet'!$A$61:$I$81,9,0)</f>
        <v>13.444444444444445</v>
      </c>
      <c r="AH63" s="13">
        <f t="array" ref="AH63">INDEX(AG:AG,MIN(IF(ISNUMBER(AG63:AG259),ROW(AG63:AG259),"")))</f>
        <v>13.444444444444445</v>
      </c>
      <c r="AI63" s="14">
        <f>IF('Données projet'!$A$62&gt;35,AI62+AH63-AQ62,IF(A63&lt;'Données projet'!$A$62,$AF$205^A63,IF(A63='Données projet'!$A$62,'Données projet'!$B$62,AI62+AH63-AQ62)))</f>
        <v>300.00000000000006</v>
      </c>
      <c r="AJ63" s="14">
        <f>AI63*VLOOKUP('Données projet'!$B$10,Paramètres!$A$1:$I$88,3,0)*VLOOKUP('Données projet'!$B$10,Paramètres!$A$1:$I$88,5,0)</f>
        <v>140.40000000000003</v>
      </c>
      <c r="AK63" s="14">
        <f t="shared" si="35"/>
        <v>36.388624656711201</v>
      </c>
      <c r="AL63" s="22">
        <f t="shared" si="4"/>
        <v>307.90685461043876</v>
      </c>
      <c r="AM63" s="62">
        <f t="shared" si="5"/>
        <v>569.16256094191624</v>
      </c>
      <c r="AN63" s="62">
        <f ca="1">AVERAGE(OFFSET($AM$3,0,0,'Données projet'!$E$10+1,1))-AVERAGE(OFFSET($H$3,0,0,'Données projet'!$E$10+1,1))</f>
        <v>188.94867378904664</v>
      </c>
      <c r="AO63" s="62">
        <f t="shared" si="36"/>
        <v>242.84781402593833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300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8.4839096011518738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4.7344784339096627E-4</v>
      </c>
      <c r="AX63" s="23">
        <f t="shared" si="6"/>
        <v>8.4843830489952641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projet'!$B$11,Paramètres!$A$1:$I$88,3,0)*0.475*44/12</f>
        <v>#N/A</v>
      </c>
      <c r="BQ63" s="23" t="e">
        <f>EXP(-LN(2)/25)*BQ62+(1-EXP(-LN(2)/25))/(LN(2)/25)*Calculateur!BL63*Calculateur!BN63*VLOOKUP('Données projet'!$B$11,Paramètres!$A$1:$I$88,3,0)*0.475*44/12</f>
        <v>#N/A</v>
      </c>
      <c r="BR63" s="23" t="e">
        <f>EXP(-LN(2)/2)*BR62+(1-EXP(-LN(2)/2))/(LN(2)/2)*BL63*BO63*VLOOKUP('Données projet'!$B$11,Paramètres!$A$1:$I$88,3,0)*0.475*44/12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>
        <f>VLOOKUP(A64,'Données projet'!$A$35:$I$55,2,0)</f>
        <v>96</v>
      </c>
      <c r="L64" s="13">
        <f>VLOOKUP(A64,'Données projet'!$A$35:$I$55,9,0)</f>
        <v>8.375</v>
      </c>
      <c r="M64" s="13">
        <f t="array" ref="M64">INDEX(L:L,MIN(IF(ISNUMBER(L64:L260),ROW(L64:L260),"")))</f>
        <v>8.375</v>
      </c>
      <c r="N64" s="14">
        <f>IF('Données projet'!$A$36&gt;35,N63+M64-V63,IF(A64&lt;'Données projet'!$A$36,$K$205^A64,IF(A64='Données projet'!$A$36,'Données projet'!$B$36,N63+M64-V63)))</f>
        <v>96.000000000000014</v>
      </c>
      <c r="O64" s="14">
        <f>N64*VLOOKUP('Données projet'!$B$9,Paramètres!$A$1:$I$88,3,0)*VLOOKUP('Données projet'!$B$9,Paramètres!$A$1:$I$88,5,0)</f>
        <v>86.860800000000012</v>
      </c>
      <c r="P64" s="14">
        <f t="shared" si="33"/>
        <v>23.806568296036296</v>
      </c>
      <c r="Q64" s="22">
        <f t="shared" si="53"/>
        <v>192.74566644892991</v>
      </c>
      <c r="R64" s="62">
        <f t="shared" si="0"/>
        <v>454.55784789405925</v>
      </c>
      <c r="S64" s="62">
        <f ca="1">AVERAGE(OFFSET($R$3,0,0,'Données projet'!$E$9+1,1))-AVERAGE(OFFSET($H$3,0,0,'Données projet'!$E$9+1,1))</f>
        <v>158.2231941902271</v>
      </c>
      <c r="T64" s="62">
        <f t="shared" si="34"/>
        <v>109.82011879787936</v>
      </c>
      <c r="U64" s="16">
        <f>IF(ISNA(VLOOKUP(A64,'Données projet'!$A$35:$I$55,3,0)),0,VLOOKUP(A64,'Données projet'!$A$35:$I$55,3,0))</f>
        <v>3</v>
      </c>
      <c r="V64" s="16">
        <f>IF(ISNA(VLOOKUP(A64,'Données projet'!$A$35:$I$55,4,0)),0,VLOOKUP(A64,'Données projet'!$A$35:$I$55,4,0))</f>
        <v>50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projet'!$B$10,Paramètres!$A$1:$I$88,3,0)*VLOOKUP('Données projet'!$B$10,Paramètres!$A$1:$I$88,5,0)</f>
        <v>2.6602720026858149E-14</v>
      </c>
      <c r="AK64" s="14">
        <f t="shared" si="35"/>
        <v>4.6624771586320878E-13</v>
      </c>
      <c r="AL64" s="22">
        <f t="shared" si="4"/>
        <v>8.583811758418665E-13</v>
      </c>
      <c r="AM64" s="62">
        <f t="shared" si="5"/>
        <v>261.81218144513019</v>
      </c>
      <c r="AN64" s="62">
        <f ca="1">AVERAGE(OFFSET($AM$3,0,0,'Données projet'!$E$10+1,1))-AVERAGE(OFFSET($H$3,0,0,'Données projet'!$E$10+1,1))</f>
        <v>188.94867378904664</v>
      </c>
      <c r="AO64" s="62">
        <f t="shared" si="36"/>
        <v>242.84781402593833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8.3175453085471851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3.3477818059989884E-4</v>
      </c>
      <c r="AX64" s="23">
        <f t="shared" si="6"/>
        <v>8.3178800867277847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projet'!$B$11,Paramètres!$A$1:$I$88,3,0)*0.475*44/12</f>
        <v>#N/A</v>
      </c>
      <c r="BQ64" s="23" t="e">
        <f>EXP(-LN(2)/25)*BQ63+(1-EXP(-LN(2)/25))/(LN(2)/25)*Calculateur!BL64*Calculateur!BN64*VLOOKUP('Données projet'!$B$11,Paramètres!$A$1:$I$88,3,0)*0.475*44/12</f>
        <v>#N/A</v>
      </c>
      <c r="BR64" s="23" t="e">
        <f>EXP(-LN(2)/2)*BR63+(1-EXP(-LN(2)/2))/(LN(2)/2)*BL64*BO64*VLOOKUP('Données projet'!$B$11,Paramètres!$A$1:$I$88,3,0)*0.475*44/12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6.1</v>
      </c>
      <c r="N65" s="14">
        <f>IF('Données projet'!$A$36&gt;35,N64+M65-V64,IF(A65&lt;'Données projet'!$A$36,$K$205^A65,IF(A65='Données projet'!$A$36,'Données projet'!$B$36,N64+M65-V64)))</f>
        <v>52.100000000000009</v>
      </c>
      <c r="O65" s="14">
        <f>N65*VLOOKUP('Données projet'!$B$9,Paramètres!$A$1:$I$88,3,0)*VLOOKUP('Données projet'!$B$9,Paramètres!$A$1:$I$88,5,0)</f>
        <v>47.140080000000005</v>
      </c>
      <c r="P65" s="14">
        <f t="shared" si="33"/>
        <v>13.872660158273474</v>
      </c>
      <c r="Q65" s="22">
        <f t="shared" si="53"/>
        <v>106.26385577565964</v>
      </c>
      <c r="R65" s="62">
        <f t="shared" si="0"/>
        <v>368.62285873531096</v>
      </c>
      <c r="S65" s="62">
        <f ca="1">AVERAGE(OFFSET($R$3,0,0,'Données projet'!$E$9+1,1))-AVERAGE(OFFSET($H$3,0,0,'Données projet'!$E$9+1,1))</f>
        <v>158.2231941902271</v>
      </c>
      <c r="T65" s="62">
        <f t="shared" si="34"/>
        <v>109.82011879787936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projet'!$B$10,Paramètres!$A$1:$I$88,3,0)*VLOOKUP('Données projet'!$B$10,Paramètres!$A$1:$I$88,5,0)</f>
        <v>2.6602720026858149E-14</v>
      </c>
      <c r="AK65" s="14">
        <f t="shared" si="35"/>
        <v>4.6624771586320878E-13</v>
      </c>
      <c r="AL65" s="22">
        <f t="shared" si="4"/>
        <v>8.583811758418665E-13</v>
      </c>
      <c r="AM65" s="62">
        <f t="shared" si="5"/>
        <v>262.35900295965217</v>
      </c>
      <c r="AN65" s="62">
        <f ca="1">AVERAGE(OFFSET($AM$3,0,0,'Données projet'!$E$10+1,1))-AVERAGE(OFFSET($H$3,0,0,'Données projet'!$E$10+1,1))</f>
        <v>188.94867378904664</v>
      </c>
      <c r="AO65" s="62">
        <f t="shared" si="36"/>
        <v>242.84781402593833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8.1544433182482763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2.3672392169548319E-4</v>
      </c>
      <c r="AX65" s="23">
        <f t="shared" si="6"/>
        <v>8.1546800421699714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projet'!$B$11,Paramètres!$A$1:$I$88,3,0)*0.475*44/12</f>
        <v>#N/A</v>
      </c>
      <c r="BQ65" s="23" t="e">
        <f>EXP(-LN(2)/25)*BQ64+(1-EXP(-LN(2)/25))/(LN(2)/25)*Calculateur!BL65*Calculateur!BN65*VLOOKUP('Données projet'!$B$11,Paramètres!$A$1:$I$88,3,0)*0.475*44/12</f>
        <v>#N/A</v>
      </c>
      <c r="BR65" s="23" t="e">
        <f>EXP(-LN(2)/2)*BR64+(1-EXP(-LN(2)/2))/(LN(2)/2)*BL65*BO65*VLOOKUP('Données projet'!$B$11,Paramètres!$A$1:$I$88,3,0)*0.475*44/12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6.1</v>
      </c>
      <c r="N66" s="14">
        <f>IF('Données projet'!$A$36&gt;35,N65+M66-V65,IF(A66&lt;'Données projet'!$A$36,$K$205^A66,IF(A66='Données projet'!$A$36,'Données projet'!$B$36,N65+M66-V65)))</f>
        <v>58.20000000000001</v>
      </c>
      <c r="O66" s="14">
        <f>N66*VLOOKUP('Données projet'!$B$9,Paramètres!$A$1:$I$88,3,0)*VLOOKUP('Données projet'!$B$9,Paramètres!$A$1:$I$88,5,0)</f>
        <v>52.65936</v>
      </c>
      <c r="P66" s="14">
        <f t="shared" si="33"/>
        <v>15.298465953467336</v>
      </c>
      <c r="Q66" s="22">
        <f t="shared" si="53"/>
        <v>118.35988020228893</v>
      </c>
      <c r="R66" s="62">
        <f t="shared" si="0"/>
        <v>381.25621854569505</v>
      </c>
      <c r="S66" s="62">
        <f ca="1">AVERAGE(OFFSET($R$3,0,0,'Données projet'!$E$9+1,1))-AVERAGE(OFFSET($H$3,0,0,'Données projet'!$E$9+1,1))</f>
        <v>158.2231941902271</v>
      </c>
      <c r="T66" s="62">
        <f t="shared" si="34"/>
        <v>109.82011879787936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projet'!$B$10,Paramètres!$A$1:$I$88,3,0)*VLOOKUP('Données projet'!$B$10,Paramètres!$A$1:$I$88,5,0)</f>
        <v>2.6602720026858149E-14</v>
      </c>
      <c r="AK66" s="14">
        <f t="shared" si="35"/>
        <v>4.6624771586320878E-13</v>
      </c>
      <c r="AL66" s="22">
        <f t="shared" si="4"/>
        <v>8.583811758418665E-13</v>
      </c>
      <c r="AM66" s="62">
        <f t="shared" si="5"/>
        <v>262.89633834340697</v>
      </c>
      <c r="AN66" s="62">
        <f ca="1">AVERAGE(OFFSET($AM$3,0,0,'Données projet'!$E$10+1,1))-AVERAGE(OFFSET($H$3,0,0,'Données projet'!$E$10+1,1))</f>
        <v>188.94867378904664</v>
      </c>
      <c r="AO66" s="62">
        <f t="shared" si="36"/>
        <v>242.84781402593833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7.9945396584967376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1.6738909029994945E-4</v>
      </c>
      <c r="AX66" s="23">
        <f t="shared" si="6"/>
        <v>7.9947070475870374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projet'!$B$11,Paramètres!$A$1:$I$88,3,0)*0.475*44/12</f>
        <v>#N/A</v>
      </c>
      <c r="BQ66" s="23" t="e">
        <f>EXP(-LN(2)/25)*BQ65+(1-EXP(-LN(2)/25))/(LN(2)/25)*Calculateur!BL66*Calculateur!BN66*VLOOKUP('Données projet'!$B$11,Paramètres!$A$1:$I$88,3,0)*0.475*44/12</f>
        <v>#N/A</v>
      </c>
      <c r="BR66" s="23" t="e">
        <f>EXP(-LN(2)/2)*BR65+(1-EXP(-LN(2)/2))/(LN(2)/2)*BL66*BO66*VLOOKUP('Données projet'!$B$11,Paramètres!$A$1:$I$88,3,0)*0.475*44/12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6.1</v>
      </c>
      <c r="N67" s="14">
        <f>IF('Données projet'!$A$36&gt;35,N66+M67-V66,IF(A67&lt;'Données projet'!$A$36,$K$205^A67,IF(A67='Données projet'!$A$36,'Données projet'!$B$36,N66+M67-V66)))</f>
        <v>64.300000000000011</v>
      </c>
      <c r="O67" s="14">
        <f>N67*VLOOKUP('Données projet'!$B$9,Paramètres!$A$1:$I$88,3,0)*VLOOKUP('Données projet'!$B$9,Paramètres!$A$1:$I$88,5,0)</f>
        <v>58.178640000000009</v>
      </c>
      <c r="P67" s="14">
        <f t="shared" si="33"/>
        <v>16.706949149608544</v>
      </c>
      <c r="Q67" s="22">
        <f t="shared" ref="Q67:Q98" si="54">(O67+P67)*0.475*44/12</f>
        <v>130.42573443556822</v>
      </c>
      <c r="R67" s="62">
        <f t="shared" ref="R67:R130" si="55">Q67+(I67+J67)*44/12</f>
        <v>393.850086595123</v>
      </c>
      <c r="S67" s="62">
        <f ca="1">AVERAGE(OFFSET($R$3,0,0,'Données projet'!$E$9+1,1))-AVERAGE(OFFSET($H$3,0,0,'Données projet'!$E$9+1,1))</f>
        <v>158.2231941902271</v>
      </c>
      <c r="T67" s="62">
        <f t="shared" si="34"/>
        <v>109.82011879787936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projet'!$B$10,Paramètres!$A$1:$I$88,3,0)*VLOOKUP('Données projet'!$B$10,Paramètres!$A$1:$I$88,5,0)</f>
        <v>2.6602720026858149E-14</v>
      </c>
      <c r="AK67" s="14">
        <f t="shared" si="35"/>
        <v>4.6624771586320878E-13</v>
      </c>
      <c r="AL67" s="22">
        <f t="shared" si="4"/>
        <v>8.583811758418665E-13</v>
      </c>
      <c r="AM67" s="62">
        <f t="shared" si="5"/>
        <v>263.42435215955561</v>
      </c>
      <c r="AN67" s="62">
        <f ca="1">AVERAGE(OFFSET($AM$3,0,0,'Données projet'!$E$10+1,1))-AVERAGE(OFFSET($H$3,0,0,'Données projet'!$E$10+1,1))</f>
        <v>188.94867378904664</v>
      </c>
      <c r="AO67" s="62">
        <f t="shared" si="36"/>
        <v>242.84781402593833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7.8377716119813243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1.1836196084774161E-4</v>
      </c>
      <c r="AX67" s="23">
        <f t="shared" si="6"/>
        <v>7.8378899739421719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projet'!$B$11,Paramètres!$A$1:$I$88,3,0)*0.475*44/12</f>
        <v>#N/A</v>
      </c>
      <c r="BQ67" s="23" t="e">
        <f>EXP(-LN(2)/25)*BQ66+(1-EXP(-LN(2)/25))/(LN(2)/25)*Calculateur!BL67*Calculateur!BN67*VLOOKUP('Données projet'!$B$11,Paramètres!$A$1:$I$88,3,0)*0.475*44/12</f>
        <v>#N/A</v>
      </c>
      <c r="BR67" s="23" t="e">
        <f>EXP(-LN(2)/2)*BR66+(1-EXP(-LN(2)/2))/(LN(2)/2)*BL67*BO67*VLOOKUP('Données projet'!$B$11,Paramètres!$A$1:$I$88,3,0)*0.475*44/12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6.1</v>
      </c>
      <c r="N68" s="14">
        <f>IF('Données projet'!$A$36&gt;35,N67+M68-V67,IF(A68&lt;'Données projet'!$A$36,$K$205^A68,IF(A68='Données projet'!$A$36,'Données projet'!$B$36,N67+M68-V67)))</f>
        <v>70.400000000000006</v>
      </c>
      <c r="O68" s="14">
        <f>N68*VLOOKUP('Données projet'!$B$9,Paramètres!$A$1:$I$88,3,0)*VLOOKUP('Données projet'!$B$9,Paramètres!$A$1:$I$88,5,0)</f>
        <v>63.697920000000003</v>
      </c>
      <c r="P68" s="14">
        <f t="shared" si="33"/>
        <v>18.099940062062903</v>
      </c>
      <c r="Q68" s="22">
        <f t="shared" si="54"/>
        <v>142.46460627475957</v>
      </c>
      <c r="R68" s="62">
        <f t="shared" si="55"/>
        <v>406.40781239121475</v>
      </c>
      <c r="S68" s="62">
        <f ca="1">AVERAGE(OFFSET($R$3,0,0,'Données projet'!$E$9+1,1))-AVERAGE(OFFSET($H$3,0,0,'Données projet'!$E$9+1,1))</f>
        <v>158.2231941902271</v>
      </c>
      <c r="T68" s="62">
        <f t="shared" si="34"/>
        <v>109.82011879787936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projet'!$B$10,Paramètres!$A$1:$I$88,3,0)*VLOOKUP('Données projet'!$B$10,Paramètres!$A$1:$I$88,5,0)</f>
        <v>2.6602720026858149E-14</v>
      </c>
      <c r="AK68" s="14">
        <f t="shared" si="35"/>
        <v>4.6624771586320878E-13</v>
      </c>
      <c r="AL68" s="22">
        <f t="shared" ref="AL68:AL131" si="58">(AJ68+AK68)*0.475*44/12</f>
        <v>8.583811758418665E-13</v>
      </c>
      <c r="AM68" s="62">
        <f t="shared" ref="AM68:AM131" si="59">AL68+(AD68+AE68)*44/12</f>
        <v>263.94320611645605</v>
      </c>
      <c r="AN68" s="62">
        <f ca="1">AVERAGE(OFFSET($AM$3,0,0,'Données projet'!$E$10+1,1))-AVERAGE(OFFSET($H$3,0,0,'Données projet'!$E$10+1,1))</f>
        <v>188.94867378904664</v>
      </c>
      <c r="AO68" s="62">
        <f t="shared" si="36"/>
        <v>242.84781402593833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7.6840776912390121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8.3694545149974738E-5</v>
      </c>
      <c r="AX68" s="23">
        <f t="shared" ref="AX68:AX131" si="60">SUM(AU68:AW68)</f>
        <v>7.6841613857841624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projet'!$B$11,Paramètres!$A$1:$I$88,3,0)*0.475*44/12</f>
        <v>#N/A</v>
      </c>
      <c r="BQ68" s="23" t="e">
        <f>EXP(-LN(2)/25)*BQ67+(1-EXP(-LN(2)/25))/(LN(2)/25)*Calculateur!BL68*Calculateur!BN68*VLOOKUP('Données projet'!$B$11,Paramètres!$A$1:$I$88,3,0)*0.475*44/12</f>
        <v>#N/A</v>
      </c>
      <c r="BR68" s="23" t="e">
        <f>EXP(-LN(2)/2)*BR67+(1-EXP(-LN(2)/2))/(LN(2)/2)*BL68*BO68*VLOOKUP('Données projet'!$B$11,Paramètres!$A$1:$I$88,3,0)*0.475*44/12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6.1</v>
      </c>
      <c r="N69" s="14">
        <f>IF('Données projet'!$A$36&gt;35,N68+M69-V68,IF(A69&lt;'Données projet'!$A$36,$K$205^A69,IF(A69='Données projet'!$A$36,'Données projet'!$B$36,N68+M69-V68)))</f>
        <v>76.5</v>
      </c>
      <c r="O69" s="14">
        <f>N69*VLOOKUP('Données projet'!$B$9,Paramètres!$A$1:$I$88,3,0)*VLOOKUP('Données projet'!$B$9,Paramètres!$A$1:$I$88,5,0)</f>
        <v>69.217200000000005</v>
      </c>
      <c r="P69" s="14">
        <f t="shared" ref="P69:P132" si="87">EXP(-1.0587+0.8836*LN(O69)+0.284)</f>
        <v>19.478933690703869</v>
      </c>
      <c r="Q69" s="22">
        <f t="shared" si="54"/>
        <v>154.47909951130922</v>
      </c>
      <c r="R69" s="62">
        <f t="shared" si="55"/>
        <v>418.93215862849627</v>
      </c>
      <c r="S69" s="62">
        <f ca="1">AVERAGE(OFFSET($R$3,0,0,'Données projet'!$E$9+1,1))-AVERAGE(OFFSET($H$3,0,0,'Données projet'!$E$9+1,1))</f>
        <v>158.2231941902271</v>
      </c>
      <c r="T69" s="62">
        <f t="shared" ref="T69:T132" si="88">$T$3</f>
        <v>109.82011879787936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projet'!$B$10,Paramètres!$A$1:$I$88,3,0)*VLOOKUP('Données projet'!$B$10,Paramètres!$A$1:$I$88,5,0)</f>
        <v>2.6602720026858149E-14</v>
      </c>
      <c r="AK69" s="14">
        <f t="shared" ref="AK69:AK132" si="89">EXP(-1.0587+0.8836*LN(AJ69)+0.284)</f>
        <v>4.6624771586320878E-13</v>
      </c>
      <c r="AL69" s="22">
        <f t="shared" si="58"/>
        <v>8.583811758418665E-13</v>
      </c>
      <c r="AM69" s="62">
        <f t="shared" si="59"/>
        <v>264.45305911718793</v>
      </c>
      <c r="AN69" s="62">
        <f ca="1">AVERAGE(OFFSET($AM$3,0,0,'Données projet'!$E$10+1,1))-AVERAGE(OFFSET($H$3,0,0,'Données projet'!$E$10+1,1))</f>
        <v>188.94867378904664</v>
      </c>
      <c r="AO69" s="62">
        <f t="shared" ref="AO69:AO132" si="90">$AO$3</f>
        <v>242.84781402593833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7.5333976145384209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5.9180980423870811E-5</v>
      </c>
      <c r="AX69" s="23">
        <f t="shared" si="60"/>
        <v>7.5334567955188447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projet'!$B$11,Paramètres!$A$1:$I$88,3,0)*0.475*44/12</f>
        <v>#N/A</v>
      </c>
      <c r="BQ69" s="23" t="e">
        <f>EXP(-LN(2)/25)*BQ68+(1-EXP(-LN(2)/25))/(LN(2)/25)*Calculateur!BL69*Calculateur!BN69*VLOOKUP('Données projet'!$B$11,Paramètres!$A$1:$I$88,3,0)*0.475*44/12</f>
        <v>#N/A</v>
      </c>
      <c r="BR69" s="23" t="e">
        <f>EXP(-LN(2)/2)*BR68+(1-EXP(-LN(2)/2))/(LN(2)/2)*BL69*BO69*VLOOKUP('Données projet'!$B$11,Paramètres!$A$1:$I$88,3,0)*0.475*44/12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6.1</v>
      </c>
      <c r="N70" s="14">
        <f>IF('Données projet'!$A$36&gt;35,N69+M70-V69,IF(A70&lt;'Données projet'!$A$36,$K$205^A70,IF(A70='Données projet'!$A$36,'Données projet'!$B$36,N69+M70-V69)))</f>
        <v>82.6</v>
      </c>
      <c r="O70" s="14">
        <f>N70*VLOOKUP('Données projet'!$B$9,Paramètres!$A$1:$I$88,3,0)*VLOOKUP('Données projet'!$B$9,Paramètres!$A$1:$I$88,5,0)</f>
        <v>74.73648</v>
      </c>
      <c r="P70" s="14">
        <f t="shared" si="87"/>
        <v>20.845173052306084</v>
      </c>
      <c r="Q70" s="22">
        <f t="shared" si="54"/>
        <v>166.47137906609976</v>
      </c>
      <c r="R70" s="62">
        <f t="shared" si="55"/>
        <v>431.42544637431666</v>
      </c>
      <c r="S70" s="62">
        <f ca="1">AVERAGE(OFFSET($R$3,0,0,'Données projet'!$E$9+1,1))-AVERAGE(OFFSET($H$3,0,0,'Données projet'!$E$9+1,1))</f>
        <v>158.2231941902271</v>
      </c>
      <c r="T70" s="62">
        <f t="shared" si="88"/>
        <v>109.82011879787936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projet'!$B$10,Paramètres!$A$1:$I$88,3,0)*VLOOKUP('Données projet'!$B$10,Paramètres!$A$1:$I$88,5,0)</f>
        <v>2.6602720026858149E-14</v>
      </c>
      <c r="AK70" s="14">
        <f t="shared" si="89"/>
        <v>4.6624771586320878E-13</v>
      </c>
      <c r="AL70" s="22">
        <f t="shared" si="58"/>
        <v>8.583811758418665E-13</v>
      </c>
      <c r="AM70" s="62">
        <f t="shared" si="59"/>
        <v>264.95406730821776</v>
      </c>
      <c r="AN70" s="62">
        <f ca="1">AVERAGE(OFFSET($AM$3,0,0,'Données projet'!$E$10+1,1))-AVERAGE(OFFSET($H$3,0,0,'Données projet'!$E$10+1,1))</f>
        <v>188.94867378904664</v>
      </c>
      <c r="AO70" s="62">
        <f t="shared" si="90"/>
        <v>242.84781402593833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7.3856722822361567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4.1847272574987376E-5</v>
      </c>
      <c r="AX70" s="23">
        <f t="shared" si="60"/>
        <v>7.3857141295087319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projet'!$B$11,Paramètres!$A$1:$I$88,3,0)*0.475*44/12</f>
        <v>#N/A</v>
      </c>
      <c r="BQ70" s="23" t="e">
        <f>EXP(-LN(2)/25)*BQ69+(1-EXP(-LN(2)/25))/(LN(2)/25)*Calculateur!BL70*Calculateur!BN70*VLOOKUP('Données projet'!$B$11,Paramètres!$A$1:$I$88,3,0)*0.475*44/12</f>
        <v>#N/A</v>
      </c>
      <c r="BR70" s="23" t="e">
        <f>EXP(-LN(2)/2)*BR69+(1-EXP(-LN(2)/2))/(LN(2)/2)*BL70*BO70*VLOOKUP('Données projet'!$B$11,Paramètres!$A$1:$I$88,3,0)*0.475*44/12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6.1</v>
      </c>
      <c r="N71" s="14">
        <f>IF('Données projet'!$A$36&gt;35,N70+M71-V70,IF(A71&lt;'Données projet'!$A$36,$K$205^A71,IF(A71='Données projet'!$A$36,'Données projet'!$B$36,N70+M71-V70)))</f>
        <v>88.699999999999989</v>
      </c>
      <c r="O71" s="14">
        <f>N71*VLOOKUP('Données projet'!$B$9,Paramètres!$A$1:$I$88,3,0)*VLOOKUP('Données projet'!$B$9,Paramètres!$A$1:$I$88,5,0)</f>
        <v>80.255759999999995</v>
      </c>
      <c r="P71" s="14">
        <f t="shared" si="87"/>
        <v>22.199707156566085</v>
      </c>
      <c r="Q71" s="22">
        <f t="shared" si="54"/>
        <v>178.44327196435256</v>
      </c>
      <c r="R71" s="62">
        <f t="shared" si="55"/>
        <v>443.8896560915714</v>
      </c>
      <c r="S71" s="62">
        <f ca="1">AVERAGE(OFFSET($R$3,0,0,'Données projet'!$E$9+1,1))-AVERAGE(OFFSET($H$3,0,0,'Données projet'!$E$9+1,1))</f>
        <v>158.2231941902271</v>
      </c>
      <c r="T71" s="62">
        <f t="shared" si="88"/>
        <v>109.82011879787936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projet'!$B$10,Paramètres!$A$1:$I$88,3,0)*VLOOKUP('Données projet'!$B$10,Paramètres!$A$1:$I$88,5,0)</f>
        <v>2.6602720026858149E-14</v>
      </c>
      <c r="AK71" s="14">
        <f t="shared" si="89"/>
        <v>4.6624771586320878E-13</v>
      </c>
      <c r="AL71" s="22">
        <f t="shared" si="58"/>
        <v>8.583811758418665E-13</v>
      </c>
      <c r="AM71" s="62">
        <f t="shared" si="59"/>
        <v>265.44638412721969</v>
      </c>
      <c r="AN71" s="62">
        <f ca="1">AVERAGE(OFFSET($AM$3,0,0,'Données projet'!$E$10+1,1))-AVERAGE(OFFSET($H$3,0,0,'Données projet'!$E$10+1,1))</f>
        <v>188.94867378904664</v>
      </c>
      <c r="AO71" s="62">
        <f t="shared" si="90"/>
        <v>242.84781402593833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7.240843753596784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2.9590490211935412E-5</v>
      </c>
      <c r="AX71" s="23">
        <f t="shared" si="60"/>
        <v>7.2408733440869959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projet'!$B$11,Paramètres!$A$1:$I$88,3,0)*0.475*44/12</f>
        <v>#N/A</v>
      </c>
      <c r="BQ71" s="23" t="e">
        <f>EXP(-LN(2)/25)*BQ70+(1-EXP(-LN(2)/25))/(LN(2)/25)*Calculateur!BL71*Calculateur!BN71*VLOOKUP('Données projet'!$B$11,Paramètres!$A$1:$I$88,3,0)*0.475*44/12</f>
        <v>#N/A</v>
      </c>
      <c r="BR71" s="23" t="e">
        <f>EXP(-LN(2)/2)*BR70+(1-EXP(-LN(2)/2))/(LN(2)/2)*BL71*BO71*VLOOKUP('Données projet'!$B$11,Paramètres!$A$1:$I$88,3,0)*0.475*44/12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6.1</v>
      </c>
      <c r="N72" s="14">
        <f>IF('Données projet'!$A$36&gt;35,N71+M72-V71,IF(A72&lt;'Données projet'!$A$36,$K$205^A72,IF(A72='Données projet'!$A$36,'Données projet'!$B$36,N71+M72-V71)))</f>
        <v>94.799999999999983</v>
      </c>
      <c r="O72" s="14">
        <f>N72*VLOOKUP('Données projet'!$B$9,Paramètres!$A$1:$I$88,3,0)*VLOOKUP('Données projet'!$B$9,Paramètres!$A$1:$I$88,5,0)</f>
        <v>85.77503999999999</v>
      </c>
      <c r="P72" s="14">
        <f t="shared" si="87"/>
        <v>23.543432562020953</v>
      </c>
      <c r="Q72" s="22">
        <f t="shared" si="54"/>
        <v>190.39633971218646</v>
      </c>
      <c r="R72" s="62">
        <f t="shared" si="55"/>
        <v>456.32650006225299</v>
      </c>
      <c r="S72" s="62">
        <f ca="1">AVERAGE(OFFSET($R$3,0,0,'Données projet'!$E$9+1,1))-AVERAGE(OFFSET($H$3,0,0,'Données projet'!$E$9+1,1))</f>
        <v>158.2231941902271</v>
      </c>
      <c r="T72" s="62">
        <f t="shared" si="88"/>
        <v>109.82011879787936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projet'!$B$10,Paramètres!$A$1:$I$88,3,0)*VLOOKUP('Données projet'!$B$10,Paramètres!$A$1:$I$88,5,0)</f>
        <v>2.6602720026858149E-14</v>
      </c>
      <c r="AK72" s="14">
        <f t="shared" si="89"/>
        <v>4.6624771586320878E-13</v>
      </c>
      <c r="AL72" s="22">
        <f t="shared" si="58"/>
        <v>8.583811758418665E-13</v>
      </c>
      <c r="AM72" s="62">
        <f t="shared" si="59"/>
        <v>265.93016035006741</v>
      </c>
      <c r="AN72" s="62">
        <f ca="1">AVERAGE(OFFSET($AM$3,0,0,'Données projet'!$E$10+1,1))-AVERAGE(OFFSET($H$3,0,0,'Données projet'!$E$10+1,1))</f>
        <v>188.94867378904664</v>
      </c>
      <c r="AO72" s="62">
        <f t="shared" si="90"/>
        <v>242.84781402593833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7.0988552240673499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2.0923636287493691E-5</v>
      </c>
      <c r="AX72" s="23">
        <f t="shared" si="60"/>
        <v>7.0988761477036375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projet'!$B$11,Paramètres!$A$1:$I$88,3,0)*0.475*44/12</f>
        <v>#N/A</v>
      </c>
      <c r="BQ72" s="23" t="e">
        <f>EXP(-LN(2)/25)*BQ71+(1-EXP(-LN(2)/25))/(LN(2)/25)*Calculateur!BL72*Calculateur!BN72*VLOOKUP('Données projet'!$B$11,Paramètres!$A$1:$I$88,3,0)*0.475*44/12</f>
        <v>#N/A</v>
      </c>
      <c r="BR72" s="23" t="e">
        <f>EXP(-LN(2)/2)*BR71+(1-EXP(-LN(2)/2))/(LN(2)/2)*BL72*BO72*VLOOKUP('Données projet'!$B$11,Paramètres!$A$1:$I$88,3,0)*0.475*44/12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6.1</v>
      </c>
      <c r="N73" s="14">
        <f>IF('Données projet'!$A$36&gt;35,N72+M73-V72,IF(A73&lt;'Données projet'!$A$36,$K$205^A73,IF(A73='Données projet'!$A$36,'Données projet'!$B$36,N72+M73-V72)))</f>
        <v>100.89999999999998</v>
      </c>
      <c r="O73" s="14">
        <f>N73*VLOOKUP('Données projet'!$B$9,Paramètres!$A$1:$I$88,3,0)*VLOOKUP('Données projet'!$B$9,Paramètres!$A$1:$I$88,5,0)</f>
        <v>91.294319999999985</v>
      </c>
      <c r="P73" s="14">
        <f t="shared" si="87"/>
        <v>24.877123923557303</v>
      </c>
      <c r="Q73" s="22">
        <f t="shared" si="54"/>
        <v>202.33193150019562</v>
      </c>
      <c r="R73" s="62">
        <f t="shared" si="55"/>
        <v>468.73747563720508</v>
      </c>
      <c r="S73" s="62">
        <f ca="1">AVERAGE(OFFSET($R$3,0,0,'Données projet'!$E$9+1,1))-AVERAGE(OFFSET($H$3,0,0,'Données projet'!$E$9+1,1))</f>
        <v>158.2231941902271</v>
      </c>
      <c r="T73" s="62">
        <f t="shared" si="88"/>
        <v>109.82011879787936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projet'!$B$10,Paramètres!$A$1:$I$88,3,0)*VLOOKUP('Données projet'!$B$10,Paramètres!$A$1:$I$88,5,0)</f>
        <v>2.6602720026858149E-14</v>
      </c>
      <c r="AK73" s="14">
        <f t="shared" si="89"/>
        <v>4.6624771586320878E-13</v>
      </c>
      <c r="AL73" s="22">
        <f t="shared" si="58"/>
        <v>8.583811758418665E-13</v>
      </c>
      <c r="AM73" s="62">
        <f t="shared" si="59"/>
        <v>266.40554413701034</v>
      </c>
      <c r="AN73" s="62">
        <f ca="1">AVERAGE(OFFSET($AM$3,0,0,'Données projet'!$E$10+1,1))-AVERAGE(OFFSET($H$3,0,0,'Données projet'!$E$10+1,1))</f>
        <v>188.94867378904664</v>
      </c>
      <c r="AO73" s="62">
        <f t="shared" si="90"/>
        <v>242.84781402593833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6.9596510029975365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1.4795245105967708E-5</v>
      </c>
      <c r="AX73" s="23">
        <f t="shared" si="60"/>
        <v>6.9596657982426429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projet'!$B$11,Paramètres!$A$1:$I$88,3,0)*0.475*44/12</f>
        <v>#N/A</v>
      </c>
      <c r="BQ73" s="23" t="e">
        <f>EXP(-LN(2)/25)*BQ72+(1-EXP(-LN(2)/25))/(LN(2)/25)*Calculateur!BL73*Calculateur!BN73*VLOOKUP('Données projet'!$B$11,Paramètres!$A$1:$I$88,3,0)*0.475*44/12</f>
        <v>#N/A</v>
      </c>
      <c r="BR73" s="23" t="e">
        <f>EXP(-LN(2)/2)*BR72+(1-EXP(-LN(2)/2))/(LN(2)/2)*BL73*BO73*VLOOKUP('Données projet'!$B$11,Paramètres!$A$1:$I$88,3,0)*0.475*44/12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>
        <f>VLOOKUP(A74,'Données projet'!$A$35:$I$55,2,0)</f>
        <v>107</v>
      </c>
      <c r="L74" s="13">
        <f>VLOOKUP(A74,'Données projet'!$A$35:$I$55,9,0)</f>
        <v>6.1</v>
      </c>
      <c r="M74" s="13">
        <f t="array" ref="M74">INDEX(L:L,MIN(IF(ISNUMBER(L74:L270),ROW(L74:L270),"")))</f>
        <v>6.1</v>
      </c>
      <c r="N74" s="14">
        <f>IF('Données projet'!$A$36&gt;35,N73+M74-V73,IF(A74&lt;'Données projet'!$A$36,$K$205^A74,IF(A74='Données projet'!$A$36,'Données projet'!$B$36,N73+M74-V73)))</f>
        <v>106.99999999999997</v>
      </c>
      <c r="O74" s="14">
        <f>N74*VLOOKUP('Données projet'!$B$9,Paramètres!$A$1:$I$88,3,0)*VLOOKUP('Données projet'!$B$9,Paramètres!$A$1:$I$88,5,0)</f>
        <v>96.81359999999998</v>
      </c>
      <c r="P74" s="14">
        <f t="shared" si="87"/>
        <v>26.201456938925315</v>
      </c>
      <c r="Q74" s="22">
        <f t="shared" si="54"/>
        <v>214.25122416862823</v>
      </c>
      <c r="R74" s="62">
        <f t="shared" si="55"/>
        <v>481.12390524667614</v>
      </c>
      <c r="S74" s="62">
        <f ca="1">AVERAGE(OFFSET($R$3,0,0,'Données projet'!$E$9+1,1))-AVERAGE(OFFSET($H$3,0,0,'Données projet'!$E$9+1,1))</f>
        <v>158.2231941902271</v>
      </c>
      <c r="T74" s="62">
        <f t="shared" si="88"/>
        <v>109.82011879787936</v>
      </c>
      <c r="U74" s="16">
        <f>IF(ISNA(VLOOKUP(A74,'Données projet'!$A$35:$I$55,3,0)),0,VLOOKUP(A74,'Données projet'!$A$35:$I$55,3,0))</f>
        <v>4</v>
      </c>
      <c r="V74" s="16">
        <f>IF(ISNA(VLOOKUP(A74,'Données projet'!$A$35:$I$55,4,0)),0,VLOOKUP(A74,'Données projet'!$A$35:$I$55,4,0))</f>
        <v>70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projet'!$B$10,Paramètres!$A$1:$I$88,3,0)*VLOOKUP('Données projet'!$B$10,Paramètres!$A$1:$I$88,5,0)</f>
        <v>2.6602720026858149E-14</v>
      </c>
      <c r="AK74" s="14">
        <f t="shared" si="89"/>
        <v>4.6624771586320878E-13</v>
      </c>
      <c r="AL74" s="22">
        <f t="shared" si="58"/>
        <v>8.583811758418665E-13</v>
      </c>
      <c r="AM74" s="62">
        <f t="shared" si="59"/>
        <v>266.8726810780488</v>
      </c>
      <c r="AN74" s="62">
        <f ca="1">AVERAGE(OFFSET($AM$3,0,0,'Données projet'!$E$10+1,1))-AVERAGE(OFFSET($H$3,0,0,'Données projet'!$E$10+1,1))</f>
        <v>188.94867378904664</v>
      </c>
      <c r="AO74" s="62">
        <f t="shared" si="90"/>
        <v>242.84781402593833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6.823176491796711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1.0461818143746847E-5</v>
      </c>
      <c r="AX74" s="23">
        <f t="shared" si="60"/>
        <v>6.8231869536148544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projet'!$B$11,Paramètres!$A$1:$I$88,3,0)*0.475*44/12</f>
        <v>#N/A</v>
      </c>
      <c r="BQ74" s="23" t="e">
        <f>EXP(-LN(2)/25)*BQ73+(1-EXP(-LN(2)/25))/(LN(2)/25)*Calculateur!BL74*Calculateur!BN74*VLOOKUP('Données projet'!$B$11,Paramètres!$A$1:$I$88,3,0)*0.475*44/12</f>
        <v>#N/A</v>
      </c>
      <c r="BR74" s="23" t="e">
        <f>EXP(-LN(2)/2)*BR73+(1-EXP(-LN(2)/2))/(LN(2)/2)*BL74*BO74*VLOOKUP('Données projet'!$B$11,Paramètres!$A$1:$I$88,3,0)*0.475*44/12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5.9</v>
      </c>
      <c r="N75" s="14">
        <f>IF('Données projet'!$A$36&gt;35,N74+M75-V74,IF(A75&lt;'Données projet'!$A$36,$K$205^A75,IF(A75='Données projet'!$A$36,'Données projet'!$B$36,N74+M75-V74)))</f>
        <v>42.899999999999977</v>
      </c>
      <c r="O75" s="14">
        <f>N75*VLOOKUP('Données projet'!$B$9,Paramètres!$A$1:$I$88,3,0)*VLOOKUP('Données projet'!$B$9,Paramètres!$A$1:$I$88,5,0)</f>
        <v>38.815919999999977</v>
      </c>
      <c r="P75" s="14">
        <f t="shared" si="87"/>
        <v>11.684259625057942</v>
      </c>
      <c r="Q75" s="22">
        <f t="shared" si="54"/>
        <v>87.954479513642539</v>
      </c>
      <c r="R75" s="62">
        <f t="shared" si="55"/>
        <v>355.28619375116364</v>
      </c>
      <c r="S75" s="62">
        <f ca="1">AVERAGE(OFFSET($R$3,0,0,'Données projet'!$E$9+1,1))-AVERAGE(OFFSET($H$3,0,0,'Données projet'!$E$9+1,1))</f>
        <v>158.2231941902271</v>
      </c>
      <c r="T75" s="62">
        <f t="shared" si="88"/>
        <v>109.82011879787936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projet'!$B$10,Paramètres!$A$1:$I$88,3,0)*VLOOKUP('Données projet'!$B$10,Paramètres!$A$1:$I$88,5,0)</f>
        <v>2.6602720026858149E-14</v>
      </c>
      <c r="AK75" s="14">
        <f t="shared" si="89"/>
        <v>4.6624771586320878E-13</v>
      </c>
      <c r="AL75" s="22">
        <f t="shared" si="58"/>
        <v>8.583811758418665E-13</v>
      </c>
      <c r="AM75" s="62">
        <f t="shared" si="59"/>
        <v>267.33171423752196</v>
      </c>
      <c r="AN75" s="62">
        <f ca="1">AVERAGE(OFFSET($AM$3,0,0,'Données projet'!$E$10+1,1))-AVERAGE(OFFSET($H$3,0,0,'Données projet'!$E$10+1,1))</f>
        <v>188.94867378904664</v>
      </c>
      <c r="AO75" s="62">
        <f t="shared" si="90"/>
        <v>242.84781402593833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6.6893781625193007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7.3976225529838556E-6</v>
      </c>
      <c r="AX75" s="23">
        <f t="shared" si="60"/>
        <v>6.6893855601418535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projet'!$B$11,Paramètres!$A$1:$I$88,3,0)*0.475*44/12</f>
        <v>#N/A</v>
      </c>
      <c r="BQ75" s="23" t="e">
        <f>EXP(-LN(2)/25)*BQ74+(1-EXP(-LN(2)/25))/(LN(2)/25)*Calculateur!BL75*Calculateur!BN75*VLOOKUP('Données projet'!$B$11,Paramètres!$A$1:$I$88,3,0)*0.475*44/12</f>
        <v>#N/A</v>
      </c>
      <c r="BR75" s="23" t="e">
        <f>EXP(-LN(2)/2)*BR74+(1-EXP(-LN(2)/2))/(LN(2)/2)*BL75*BO75*VLOOKUP('Données projet'!$B$11,Paramètres!$A$1:$I$88,3,0)*0.475*44/12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5.9</v>
      </c>
      <c r="N76" s="14">
        <f>IF('Données projet'!$A$36&gt;35,N75+M76-V75,IF(A76&lt;'Données projet'!$A$36,$K$205^A76,IF(A76='Données projet'!$A$36,'Données projet'!$B$36,N75+M76-V75)))</f>
        <v>48.799999999999976</v>
      </c>
      <c r="O76" s="14">
        <f>N76*VLOOKUP('Données projet'!$B$9,Paramètres!$A$1:$I$88,3,0)*VLOOKUP('Données projet'!$B$9,Paramètres!$A$1:$I$88,5,0)</f>
        <v>44.15423999999998</v>
      </c>
      <c r="P76" s="14">
        <f t="shared" si="87"/>
        <v>13.093317216372977</v>
      </c>
      <c r="Q76" s="22">
        <f t="shared" si="54"/>
        <v>99.706162151849568</v>
      </c>
      <c r="R76" s="62">
        <f t="shared" si="55"/>
        <v>367.48894634977137</v>
      </c>
      <c r="S76" s="62">
        <f ca="1">AVERAGE(OFFSET($R$3,0,0,'Données projet'!$E$9+1,1))-AVERAGE(OFFSET($H$3,0,0,'Données projet'!$E$9+1,1))</f>
        <v>158.2231941902271</v>
      </c>
      <c r="T76" s="62">
        <f t="shared" si="88"/>
        <v>109.82011879787936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projet'!$B$10,Paramètres!$A$1:$I$88,3,0)*VLOOKUP('Données projet'!$B$10,Paramètres!$A$1:$I$88,5,0)</f>
        <v>2.6602720026858149E-14</v>
      </c>
      <c r="AK76" s="14">
        <f t="shared" si="89"/>
        <v>4.6624771586320878E-13</v>
      </c>
      <c r="AL76" s="22">
        <f t="shared" si="58"/>
        <v>8.583811758418665E-13</v>
      </c>
      <c r="AM76" s="62">
        <f t="shared" si="59"/>
        <v>267.78278419792264</v>
      </c>
      <c r="AN76" s="62">
        <f ca="1">AVERAGE(OFFSET($AM$3,0,0,'Données projet'!$E$10+1,1))-AVERAGE(OFFSET($H$3,0,0,'Données projet'!$E$10+1,1))</f>
        <v>188.94867378904664</v>
      </c>
      <c r="AO76" s="62">
        <f t="shared" si="90"/>
        <v>242.84781402593833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6.5582035368700984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5.2309090718734245E-6</v>
      </c>
      <c r="AX76" s="23">
        <f t="shared" si="60"/>
        <v>6.5582087677791705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projet'!$B$11,Paramètres!$A$1:$I$88,3,0)*0.475*44/12</f>
        <v>#N/A</v>
      </c>
      <c r="BQ76" s="23" t="e">
        <f>EXP(-LN(2)/25)*BQ75+(1-EXP(-LN(2)/25))/(LN(2)/25)*Calculateur!BL76*Calculateur!BN76*VLOOKUP('Données projet'!$B$11,Paramètres!$A$1:$I$88,3,0)*0.475*44/12</f>
        <v>#N/A</v>
      </c>
      <c r="BR76" s="23" t="e">
        <f>EXP(-LN(2)/2)*BR75+(1-EXP(-LN(2)/2))/(LN(2)/2)*BL76*BO76*VLOOKUP('Données projet'!$B$11,Paramètres!$A$1:$I$88,3,0)*0.475*44/12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5.9</v>
      </c>
      <c r="N77" s="14">
        <f>IF('Données projet'!$A$36&gt;35,N76+M77-V76,IF(A77&lt;'Données projet'!$A$36,$K$205^A77,IF(A77='Données projet'!$A$36,'Données projet'!$B$36,N76+M77-V76)))</f>
        <v>54.699999999999974</v>
      </c>
      <c r="O77" s="14">
        <f>N77*VLOOKUP('Données projet'!$B$9,Paramètres!$A$1:$I$88,3,0)*VLOOKUP('Données projet'!$B$9,Paramètres!$A$1:$I$88,5,0)</f>
        <v>49.492559999999969</v>
      </c>
      <c r="P77" s="14">
        <f t="shared" si="87"/>
        <v>14.482633371524102</v>
      </c>
      <c r="Q77" s="22">
        <f t="shared" si="54"/>
        <v>111.42346178873775</v>
      </c>
      <c r="R77" s="62">
        <f t="shared" si="55"/>
        <v>379.64949089168863</v>
      </c>
      <c r="S77" s="62">
        <f ca="1">AVERAGE(OFFSET($R$3,0,0,'Données projet'!$E$9+1,1))-AVERAGE(OFFSET($H$3,0,0,'Données projet'!$E$9+1,1))</f>
        <v>158.2231941902271</v>
      </c>
      <c r="T77" s="62">
        <f t="shared" si="88"/>
        <v>109.82011879787936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projet'!$B$10,Paramètres!$A$1:$I$88,3,0)*VLOOKUP('Données projet'!$B$10,Paramètres!$A$1:$I$88,5,0)</f>
        <v>2.6602720026858149E-14</v>
      </c>
      <c r="AK77" s="14">
        <f t="shared" si="89"/>
        <v>4.6624771586320878E-13</v>
      </c>
      <c r="AL77" s="22">
        <f t="shared" si="58"/>
        <v>8.583811758418665E-13</v>
      </c>
      <c r="AM77" s="62">
        <f t="shared" si="59"/>
        <v>268.22602910295171</v>
      </c>
      <c r="AN77" s="62">
        <f ca="1">AVERAGE(OFFSET($AM$3,0,0,'Données projet'!$E$10+1,1))-AVERAGE(OFFSET($H$3,0,0,'Données projet'!$E$10+1,1))</f>
        <v>188.94867378904664</v>
      </c>
      <c r="AO77" s="62">
        <f t="shared" si="90"/>
        <v>242.84781402593833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6.4296011656212553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3.6988112764919282E-6</v>
      </c>
      <c r="AX77" s="23">
        <f t="shared" si="60"/>
        <v>6.4296048644325321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projet'!$B$11,Paramètres!$A$1:$I$88,3,0)*0.475*44/12</f>
        <v>#N/A</v>
      </c>
      <c r="BQ77" s="23" t="e">
        <f>EXP(-LN(2)/25)*BQ76+(1-EXP(-LN(2)/25))/(LN(2)/25)*Calculateur!BL77*Calculateur!BN77*VLOOKUP('Données projet'!$B$11,Paramètres!$A$1:$I$88,3,0)*0.475*44/12</f>
        <v>#N/A</v>
      </c>
      <c r="BR77" s="23" t="e">
        <f>EXP(-LN(2)/2)*BR76+(1-EXP(-LN(2)/2))/(LN(2)/2)*BL77*BO77*VLOOKUP('Données projet'!$B$11,Paramètres!$A$1:$I$88,3,0)*0.475*44/12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5.9</v>
      </c>
      <c r="N78" s="14">
        <f>IF('Données projet'!$A$36&gt;35,N77+M78-V77,IF(A78&lt;'Données projet'!$A$36,$K$205^A78,IF(A78='Données projet'!$A$36,'Données projet'!$B$36,N77+M78-V77)))</f>
        <v>60.599999999999973</v>
      </c>
      <c r="O78" s="14">
        <f>N78*VLOOKUP('Données projet'!$B$9,Paramètres!$A$1:$I$88,3,0)*VLOOKUP('Données projet'!$B$9,Paramètres!$A$1:$I$88,5,0)</f>
        <v>54.830879999999972</v>
      </c>
      <c r="P78" s="14">
        <f t="shared" si="87"/>
        <v>15.854580148944924</v>
      </c>
      <c r="Q78" s="22">
        <f t="shared" si="54"/>
        <v>123.11050975941235</v>
      </c>
      <c r="R78" s="62">
        <f t="shared" si="55"/>
        <v>391.77209445923717</v>
      </c>
      <c r="S78" s="62">
        <f ca="1">AVERAGE(OFFSET($R$3,0,0,'Données projet'!$E$9+1,1))-AVERAGE(OFFSET($H$3,0,0,'Données projet'!$E$9+1,1))</f>
        <v>158.2231941902271</v>
      </c>
      <c r="T78" s="62">
        <f t="shared" si="88"/>
        <v>109.82011879787936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projet'!$B$10,Paramètres!$A$1:$I$88,3,0)*VLOOKUP('Données projet'!$B$10,Paramètres!$A$1:$I$88,5,0)</f>
        <v>2.6602720026858149E-14</v>
      </c>
      <c r="AK78" s="14">
        <f t="shared" si="89"/>
        <v>4.6624771586320878E-13</v>
      </c>
      <c r="AL78" s="22">
        <f t="shared" si="58"/>
        <v>8.583811758418665E-13</v>
      </c>
      <c r="AM78" s="62">
        <f t="shared" si="59"/>
        <v>268.66158469982565</v>
      </c>
      <c r="AN78" s="62">
        <f ca="1">AVERAGE(OFFSET($AM$3,0,0,'Données projet'!$E$10+1,1))-AVERAGE(OFFSET($H$3,0,0,'Données projet'!$E$10+1,1))</f>
        <v>188.94867378904664</v>
      </c>
      <c r="AO78" s="62">
        <f t="shared" si="90"/>
        <v>242.84781402593833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6.3035206084329012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2.6154545359367127E-6</v>
      </c>
      <c r="AX78" s="23">
        <f t="shared" si="60"/>
        <v>6.3035232238874368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projet'!$B$11,Paramètres!$A$1:$I$88,3,0)*0.475*44/12</f>
        <v>#N/A</v>
      </c>
      <c r="BQ78" s="23" t="e">
        <f>EXP(-LN(2)/25)*BQ77+(1-EXP(-LN(2)/25))/(LN(2)/25)*Calculateur!BL78*Calculateur!BN78*VLOOKUP('Données projet'!$B$11,Paramètres!$A$1:$I$88,3,0)*0.475*44/12</f>
        <v>#N/A</v>
      </c>
      <c r="BR78" s="23" t="e">
        <f>EXP(-LN(2)/2)*BR77+(1-EXP(-LN(2)/2))/(LN(2)/2)*BL78*BO78*VLOOKUP('Données projet'!$B$11,Paramètres!$A$1:$I$88,3,0)*0.475*44/12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66.499999999999972</v>
      </c>
      <c r="O79" s="14">
        <f>N79*VLOOKUP('Données projet'!$B$9,Paramètres!$A$1:$I$88,3,0)*VLOOKUP('Données projet'!$B$9,Paramètres!$A$1:$I$88,5,0)</f>
        <v>60.169199999999968</v>
      </c>
      <c r="P79" s="14">
        <f t="shared" si="87"/>
        <v>17.211041067430926</v>
      </c>
      <c r="Q79" s="22">
        <f t="shared" si="54"/>
        <v>134.77058652577546</v>
      </c>
      <c r="R79" s="62">
        <f t="shared" si="55"/>
        <v>403.86017090662489</v>
      </c>
      <c r="S79" s="62">
        <f ca="1">AVERAGE(OFFSET($R$3,0,0,'Données projet'!$E$9+1,1))-AVERAGE(OFFSET($H$3,0,0,'Données projet'!$E$9+1,1))</f>
        <v>158.2231941902271</v>
      </c>
      <c r="T79" s="62">
        <f t="shared" si="88"/>
        <v>109.82011879787936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projet'!$B$10,Paramètres!$A$1:$I$88,3,0)*VLOOKUP('Données projet'!$B$10,Paramètres!$A$1:$I$88,5,0)</f>
        <v>2.6602720026858149E-14</v>
      </c>
      <c r="AK79" s="14">
        <f t="shared" si="89"/>
        <v>4.6624771586320878E-13</v>
      </c>
      <c r="AL79" s="22">
        <f t="shared" si="58"/>
        <v>8.583811758418665E-13</v>
      </c>
      <c r="AM79" s="62">
        <f t="shared" si="59"/>
        <v>269.08958438085028</v>
      </c>
      <c r="AN79" s="62">
        <f ca="1">AVERAGE(OFFSET($AM$3,0,0,'Données projet'!$E$10+1,1))-AVERAGE(OFFSET($H$3,0,0,'Données projet'!$E$10+1,1))</f>
        <v>188.94867378904664</v>
      </c>
      <c r="AO79" s="62">
        <f t="shared" si="90"/>
        <v>242.84781402593833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6.1799124140694639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1.8494056382459643E-6</v>
      </c>
      <c r="AX79" s="23">
        <f t="shared" si="60"/>
        <v>6.1799142634751023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projet'!$B$11,Paramètres!$A$1:$I$88,3,0)*0.475*44/12</f>
        <v>#N/A</v>
      </c>
      <c r="BQ79" s="23" t="e">
        <f>EXP(-LN(2)/25)*BQ78+(1-EXP(-LN(2)/25))/(LN(2)/25)*Calculateur!BL79*Calculateur!BN79*VLOOKUP('Données projet'!$B$11,Paramètres!$A$1:$I$88,3,0)*0.475*44/12</f>
        <v>#N/A</v>
      </c>
      <c r="BR79" s="23" t="e">
        <f>EXP(-LN(2)/2)*BR78+(1-EXP(-LN(2)/2))/(LN(2)/2)*BL79*BO79*VLOOKUP('Données projet'!$B$11,Paramètres!$A$1:$I$88,3,0)*0.475*44/12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72.399999999999977</v>
      </c>
      <c r="O80" s="14">
        <f>N80*VLOOKUP('Données projet'!$B$9,Paramètres!$A$1:$I$88,3,0)*VLOOKUP('Données projet'!$B$9,Paramètres!$A$1:$I$88,5,0)</f>
        <v>65.507519999999971</v>
      </c>
      <c r="P80" s="14">
        <f t="shared" si="87"/>
        <v>18.553546292669147</v>
      </c>
      <c r="Q80" s="22">
        <f t="shared" si="54"/>
        <v>146.40635712639872</v>
      </c>
      <c r="R80" s="62">
        <f t="shared" si="55"/>
        <v>415.91651635067103</v>
      </c>
      <c r="S80" s="62">
        <f ca="1">AVERAGE(OFFSET($R$3,0,0,'Données projet'!$E$9+1,1))-AVERAGE(OFFSET($H$3,0,0,'Données projet'!$E$9+1,1))</f>
        <v>158.2231941902271</v>
      </c>
      <c r="T80" s="62">
        <f t="shared" si="88"/>
        <v>109.82011879787936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projet'!$B$10,Paramètres!$A$1:$I$88,3,0)*VLOOKUP('Données projet'!$B$10,Paramètres!$A$1:$I$88,5,0)</f>
        <v>2.6602720026858149E-14</v>
      </c>
      <c r="AK80" s="14">
        <f t="shared" si="89"/>
        <v>4.6624771586320878E-13</v>
      </c>
      <c r="AL80" s="22">
        <f t="shared" si="58"/>
        <v>8.583811758418665E-13</v>
      </c>
      <c r="AM80" s="62">
        <f t="shared" si="59"/>
        <v>269.51015922427314</v>
      </c>
      <c r="AN80" s="62">
        <f ca="1">AVERAGE(OFFSET($AM$3,0,0,'Données projet'!$E$10+1,1))-AVERAGE(OFFSET($H$3,0,0,'Données projet'!$E$10+1,1))</f>
        <v>188.94867378904664</v>
      </c>
      <c r="AO80" s="62">
        <f t="shared" si="90"/>
        <v>242.84781402593833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6.0587281010039398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1.3077272679683566E-6</v>
      </c>
      <c r="AX80" s="23">
        <f t="shared" si="60"/>
        <v>6.0587294087312076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projet'!$B$11,Paramètres!$A$1:$I$88,3,0)*0.475*44/12</f>
        <v>#N/A</v>
      </c>
      <c r="BQ80" s="23" t="e">
        <f>EXP(-LN(2)/25)*BQ79+(1-EXP(-LN(2)/25))/(LN(2)/25)*Calculateur!BL80*Calculateur!BN80*VLOOKUP('Données projet'!$B$11,Paramètres!$A$1:$I$88,3,0)*0.475*44/12</f>
        <v>#N/A</v>
      </c>
      <c r="BR80" s="23" t="e">
        <f>EXP(-LN(2)/2)*BR79+(1-EXP(-LN(2)/2))/(LN(2)/2)*BL80*BO80*VLOOKUP('Données projet'!$B$11,Paramètres!$A$1:$I$88,3,0)*0.475*44/12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78.299999999999983</v>
      </c>
      <c r="O81" s="14">
        <f>N81*VLOOKUP('Données projet'!$B$9,Paramètres!$A$1:$I$88,3,0)*VLOOKUP('Données projet'!$B$9,Paramètres!$A$1:$I$88,5,0)</f>
        <v>70.845839999999981</v>
      </c>
      <c r="P81" s="14">
        <f t="shared" si="87"/>
        <v>19.883362394406497</v>
      </c>
      <c r="Q81" s="22">
        <f t="shared" si="54"/>
        <v>158.02002750359128</v>
      </c>
      <c r="R81" s="62">
        <f t="shared" si="55"/>
        <v>427.94346553801751</v>
      </c>
      <c r="S81" s="62">
        <f ca="1">AVERAGE(OFFSET($R$3,0,0,'Données projet'!$E$9+1,1))-AVERAGE(OFFSET($H$3,0,0,'Données projet'!$E$9+1,1))</f>
        <v>158.2231941902271</v>
      </c>
      <c r="T81" s="62">
        <f t="shared" si="88"/>
        <v>109.82011879787936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projet'!$B$10,Paramètres!$A$1:$I$88,3,0)*VLOOKUP('Données projet'!$B$10,Paramètres!$A$1:$I$88,5,0)</f>
        <v>2.6602720026858149E-14</v>
      </c>
      <c r="AK81" s="14">
        <f t="shared" si="89"/>
        <v>4.6624771586320878E-13</v>
      </c>
      <c r="AL81" s="22">
        <f t="shared" si="58"/>
        <v>8.583811758418665E-13</v>
      </c>
      <c r="AM81" s="62">
        <f t="shared" si="59"/>
        <v>269.92343803442708</v>
      </c>
      <c r="AN81" s="62">
        <f ca="1">AVERAGE(OFFSET($AM$3,0,0,'Données projet'!$E$10+1,1))-AVERAGE(OFFSET($H$3,0,0,'Données projet'!$E$10+1,1))</f>
        <v>188.94867378904664</v>
      </c>
      <c r="AO81" s="62">
        <f t="shared" si="90"/>
        <v>242.84781402593833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5.9399201384024982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9.2470281912298238E-7</v>
      </c>
      <c r="AX81" s="23">
        <f t="shared" si="60"/>
        <v>5.9399210631053174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projet'!$B$11,Paramètres!$A$1:$I$88,3,0)*0.475*44/12</f>
        <v>#N/A</v>
      </c>
      <c r="BQ81" s="23" t="e">
        <f>EXP(-LN(2)/25)*BQ80+(1-EXP(-LN(2)/25))/(LN(2)/25)*Calculateur!BL81*Calculateur!BN81*VLOOKUP('Données projet'!$B$11,Paramètres!$A$1:$I$88,3,0)*0.475*44/12</f>
        <v>#N/A</v>
      </c>
      <c r="BR81" s="23" t="e">
        <f>EXP(-LN(2)/2)*BR80+(1-EXP(-LN(2)/2))/(LN(2)/2)*BL81*BO81*VLOOKUP('Données projet'!$B$11,Paramètres!$A$1:$I$88,3,0)*0.475*44/12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84.199999999999989</v>
      </c>
      <c r="O82" s="14">
        <f>N82*VLOOKUP('Données projet'!$B$9,Paramètres!$A$1:$I$88,3,0)*VLOOKUP('Données projet'!$B$9,Paramètres!$A$1:$I$88,5,0)</f>
        <v>76.184159999999991</v>
      </c>
      <c r="P82" s="14">
        <f t="shared" si="87"/>
        <v>21.201554232857223</v>
      </c>
      <c r="Q82" s="22">
        <f t="shared" si="54"/>
        <v>169.61345228889297</v>
      </c>
      <c r="R82" s="62">
        <f t="shared" si="55"/>
        <v>439.94299967006992</v>
      </c>
      <c r="S82" s="62">
        <f ca="1">AVERAGE(OFFSET($R$3,0,0,'Données projet'!$E$9+1,1))-AVERAGE(OFFSET($H$3,0,0,'Données projet'!$E$9+1,1))</f>
        <v>158.2231941902271</v>
      </c>
      <c r="T82" s="62">
        <f t="shared" si="88"/>
        <v>109.82011879787936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projet'!$B$10,Paramètres!$A$1:$I$88,3,0)*VLOOKUP('Données projet'!$B$10,Paramètres!$A$1:$I$88,5,0)</f>
        <v>2.6602720026858149E-14</v>
      </c>
      <c r="AK82" s="14">
        <f t="shared" si="89"/>
        <v>4.6624771586320878E-13</v>
      </c>
      <c r="AL82" s="22">
        <f t="shared" si="58"/>
        <v>8.583811758418665E-13</v>
      </c>
      <c r="AM82" s="62">
        <f t="shared" si="59"/>
        <v>270.3295473811778</v>
      </c>
      <c r="AN82" s="62">
        <f ca="1">AVERAGE(OFFSET($AM$3,0,0,'Données projet'!$E$10+1,1))-AVERAGE(OFFSET($H$3,0,0,'Données projet'!$E$10+1,1))</f>
        <v>188.94867378904664</v>
      </c>
      <c r="AO82" s="62">
        <f t="shared" si="90"/>
        <v>242.84781402593833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5.8234419274819684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6.5386363398417838E-7</v>
      </c>
      <c r="AX82" s="23">
        <f t="shared" si="60"/>
        <v>5.8234425813456028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projet'!$B$11,Paramètres!$A$1:$I$88,3,0)*0.475*44/12</f>
        <v>#N/A</v>
      </c>
      <c r="BQ82" s="23" t="e">
        <f>EXP(-LN(2)/25)*BQ81+(1-EXP(-LN(2)/25))/(LN(2)/25)*Calculateur!BL82*Calculateur!BN82*VLOOKUP('Données projet'!$B$11,Paramètres!$A$1:$I$88,3,0)*0.475*44/12</f>
        <v>#N/A</v>
      </c>
      <c r="BR82" s="23" t="e">
        <f>EXP(-LN(2)/2)*BR81+(1-EXP(-LN(2)/2))/(LN(2)/2)*BL82*BO82*VLOOKUP('Données projet'!$B$11,Paramètres!$A$1:$I$88,3,0)*0.475*44/12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90.1</v>
      </c>
      <c r="O83" s="14">
        <f>N83*VLOOKUP('Données projet'!$B$9,Paramètres!$A$1:$I$88,3,0)*VLOOKUP('Données projet'!$B$9,Paramètres!$A$1:$I$88,5,0)</f>
        <v>81.522480000000002</v>
      </c>
      <c r="P83" s="14">
        <f t="shared" si="87"/>
        <v>22.509028984134066</v>
      </c>
      <c r="Q83" s="22">
        <f t="shared" si="54"/>
        <v>181.18821148070015</v>
      </c>
      <c r="R83" s="62">
        <f t="shared" si="55"/>
        <v>451.91682311938627</v>
      </c>
      <c r="S83" s="62">
        <f ca="1">AVERAGE(OFFSET($R$3,0,0,'Données projet'!$E$9+1,1))-AVERAGE(OFFSET($H$3,0,0,'Données projet'!$E$9+1,1))</f>
        <v>158.2231941902271</v>
      </c>
      <c r="T83" s="62">
        <f t="shared" si="88"/>
        <v>109.82011879787936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projet'!$B$10,Paramètres!$A$1:$I$88,3,0)*VLOOKUP('Données projet'!$B$10,Paramètres!$A$1:$I$88,5,0)</f>
        <v>2.6602720026858149E-14</v>
      </c>
      <c r="AK83" s="14">
        <f t="shared" si="89"/>
        <v>4.6624771586320878E-13</v>
      </c>
      <c r="AL83" s="22">
        <f t="shared" si="58"/>
        <v>8.583811758418665E-13</v>
      </c>
      <c r="AM83" s="62">
        <f t="shared" si="59"/>
        <v>270.72861163868697</v>
      </c>
      <c r="AN83" s="62">
        <f ca="1">AVERAGE(OFFSET($AM$3,0,0,'Données projet'!$E$10+1,1))-AVERAGE(OFFSET($H$3,0,0,'Données projet'!$E$10+1,1))</f>
        <v>188.94867378904664</v>
      </c>
      <c r="AO83" s="62">
        <f t="shared" si="90"/>
        <v>242.84781402593833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5.7092477832328967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4.6235140956149124E-7</v>
      </c>
      <c r="AX83" s="23">
        <f t="shared" si="60"/>
        <v>5.7092482455843063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projet'!$B$11,Paramètres!$A$1:$I$88,3,0)*0.475*44/12</f>
        <v>#N/A</v>
      </c>
      <c r="BQ83" s="23" t="e">
        <f>EXP(-LN(2)/25)*BQ82+(1-EXP(-LN(2)/25))/(LN(2)/25)*Calculateur!BL83*Calculateur!BN83*VLOOKUP('Données projet'!$B$11,Paramètres!$A$1:$I$88,3,0)*0.475*44/12</f>
        <v>#N/A</v>
      </c>
      <c r="BR83" s="23" t="e">
        <f>EXP(-LN(2)/2)*BR82+(1-EXP(-LN(2)/2))/(LN(2)/2)*BL83*BO83*VLOOKUP('Données projet'!$B$11,Paramètres!$A$1:$I$88,3,0)*0.475*44/12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>
        <f>VLOOKUP(A84,'Données projet'!$A$35:$I$55,2,0)</f>
        <v>96</v>
      </c>
      <c r="L84" s="13">
        <f>VLOOKUP(A84,'Données projet'!$A$35:$I$55,9,0)</f>
        <v>5.9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96</v>
      </c>
      <c r="O84" s="14">
        <f>N84*VLOOKUP('Données projet'!$B$9,Paramètres!$A$1:$I$88,3,0)*VLOOKUP('Données projet'!$B$9,Paramètres!$A$1:$I$88,5,0)</f>
        <v>86.860799999999998</v>
      </c>
      <c r="P84" s="14">
        <f t="shared" si="87"/>
        <v>23.806568296036275</v>
      </c>
      <c r="Q84" s="22">
        <f t="shared" si="54"/>
        <v>192.74566644892982</v>
      </c>
      <c r="R84" s="62">
        <f t="shared" si="55"/>
        <v>463.86641947243129</v>
      </c>
      <c r="S84" s="62">
        <f ca="1">AVERAGE(OFFSET($R$3,0,0,'Données projet'!$E$9+1,1))-AVERAGE(OFFSET($H$3,0,0,'Données projet'!$E$9+1,1))</f>
        <v>158.2231941902271</v>
      </c>
      <c r="T84" s="62">
        <f t="shared" si="88"/>
        <v>109.82011879787936</v>
      </c>
      <c r="U84" s="16">
        <f>IF(ISNA(VLOOKUP(A84,'Données projet'!$A$35:$I$55,3,0)),0,VLOOKUP(A84,'Données projet'!$A$35:$I$55,3,0))</f>
        <v>5</v>
      </c>
      <c r="V84" s="16">
        <f>IF(ISNA(VLOOKUP(A84,'Données projet'!$A$35:$I$55,4,0)),0,VLOOKUP(A84,'Données projet'!$A$35:$I$55,4,0))</f>
        <v>70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projet'!$B$10,Paramètres!$A$1:$I$88,3,0)*VLOOKUP('Données projet'!$B$10,Paramètres!$A$1:$I$88,5,0)</f>
        <v>2.6602720026858149E-14</v>
      </c>
      <c r="AK84" s="14">
        <f t="shared" si="89"/>
        <v>4.6624771586320878E-13</v>
      </c>
      <c r="AL84" s="22">
        <f t="shared" si="58"/>
        <v>8.583811758418665E-13</v>
      </c>
      <c r="AM84" s="62">
        <f t="shared" si="59"/>
        <v>271.12075302350229</v>
      </c>
      <c r="AN84" s="62">
        <f ca="1">AVERAGE(OFFSET($AM$3,0,0,'Données projet'!$E$10+1,1))-AVERAGE(OFFSET($H$3,0,0,'Données projet'!$E$10+1,1))</f>
        <v>188.94867378904664</v>
      </c>
      <c r="AO84" s="62">
        <f t="shared" si="90"/>
        <v>242.84781402593833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5.597292916500999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3.2693181699208925E-7</v>
      </c>
      <c r="AX84" s="23">
        <f t="shared" si="60"/>
        <v>5.5972932434328158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projet'!$B$11,Paramètres!$A$1:$I$88,3,0)*0.475*44/12</f>
        <v>#N/A</v>
      </c>
      <c r="BQ84" s="23" t="e">
        <f>EXP(-LN(2)/25)*BQ83+(1-EXP(-LN(2)/25))/(LN(2)/25)*Calculateur!BL84*Calculateur!BN84*VLOOKUP('Données projet'!$B$11,Paramètres!$A$1:$I$88,3,0)*0.475*44/12</f>
        <v>#N/A</v>
      </c>
      <c r="BR84" s="23" t="e">
        <f>EXP(-LN(2)/2)*BR83+(1-EXP(-LN(2)/2))/(LN(2)/2)*BL84*BO84*VLOOKUP('Données projet'!$B$11,Paramètres!$A$1:$I$88,3,0)*0.475*44/12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5.6599999999999993</v>
      </c>
      <c r="N85" s="14">
        <f>IF('Données projet'!$A$36&gt;35,N84+M85-V84,IF(A85&lt;'Données projet'!$A$36,$K$205^A85,IF(A85='Données projet'!$A$36,'Données projet'!$B$36,N84+M85-V84)))</f>
        <v>31.659999999999997</v>
      </c>
      <c r="O85" s="14">
        <f>N85*VLOOKUP('Données projet'!$B$9,Paramètres!$A$1:$I$88,3,0)*VLOOKUP('Données projet'!$B$9,Paramètres!$A$1:$I$88,5,0)</f>
        <v>28.645967999999996</v>
      </c>
      <c r="P85" s="14">
        <f t="shared" si="87"/>
        <v>8.9333299664696497</v>
      </c>
      <c r="Q85" s="22">
        <f t="shared" si="54"/>
        <v>65.45061062493464</v>
      </c>
      <c r="R85" s="62">
        <f t="shared" si="55"/>
        <v>336.95670225692169</v>
      </c>
      <c r="S85" s="62">
        <f ca="1">AVERAGE(OFFSET($R$3,0,0,'Données projet'!$E$9+1,1))-AVERAGE(OFFSET($H$3,0,0,'Données projet'!$E$9+1,1))</f>
        <v>158.2231941902271</v>
      </c>
      <c r="T85" s="62">
        <f t="shared" si="88"/>
        <v>109.82011879787936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projet'!$B$10,Paramètres!$A$1:$I$88,3,0)*VLOOKUP('Données projet'!$B$10,Paramètres!$A$1:$I$88,5,0)</f>
        <v>2.6602720026858149E-14</v>
      </c>
      <c r="AK85" s="14">
        <f t="shared" si="89"/>
        <v>4.6624771586320878E-13</v>
      </c>
      <c r="AL85" s="22">
        <f t="shared" si="58"/>
        <v>8.583811758418665E-13</v>
      </c>
      <c r="AM85" s="62">
        <f t="shared" si="59"/>
        <v>271.50609163198789</v>
      </c>
      <c r="AN85" s="62">
        <f ca="1">AVERAGE(OFFSET($AM$3,0,0,'Données projet'!$E$10+1,1))-AVERAGE(OFFSET($H$3,0,0,'Données projet'!$E$10+1,1))</f>
        <v>188.94867378904664</v>
      </c>
      <c r="AO85" s="62">
        <f t="shared" si="90"/>
        <v>242.84781402593833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5.4875334164199883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2.3117570478074567E-7</v>
      </c>
      <c r="AX85" s="23">
        <f t="shared" si="60"/>
        <v>5.4875336475956926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projet'!$B$11,Paramètres!$A$1:$I$88,3,0)*0.475*44/12</f>
        <v>#N/A</v>
      </c>
      <c r="BQ85" s="23" t="e">
        <f>EXP(-LN(2)/25)*BQ84+(1-EXP(-LN(2)/25))/(LN(2)/25)*Calculateur!BL85*Calculateur!BN85*VLOOKUP('Données projet'!$B$11,Paramètres!$A$1:$I$88,3,0)*0.475*44/12</f>
        <v>#N/A</v>
      </c>
      <c r="BR85" s="23" t="e">
        <f>EXP(-LN(2)/2)*BR84+(1-EXP(-LN(2)/2))/(LN(2)/2)*BL85*BO85*VLOOKUP('Données projet'!$B$11,Paramètres!$A$1:$I$88,3,0)*0.475*44/12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5.6599999999999993</v>
      </c>
      <c r="N86" s="14">
        <f>IF('Données projet'!$A$36&gt;35,N85+M86-V85,IF(A86&lt;'Données projet'!$A$36,$K$205^A86,IF(A86='Données projet'!$A$36,'Données projet'!$B$36,N85+M86-V85)))</f>
        <v>37.319999999999993</v>
      </c>
      <c r="O86" s="14">
        <f>N86*VLOOKUP('Données projet'!$B$9,Paramètres!$A$1:$I$88,3,0)*VLOOKUP('Données projet'!$B$9,Paramètres!$A$1:$I$88,5,0)</f>
        <v>33.767135999999994</v>
      </c>
      <c r="P86" s="14">
        <f t="shared" si="87"/>
        <v>10.330695572583851</v>
      </c>
      <c r="Q86" s="22">
        <f t="shared" si="54"/>
        <v>76.803723322250192</v>
      </c>
      <c r="R86" s="62">
        <f t="shared" si="55"/>
        <v>348.6884687993537</v>
      </c>
      <c r="S86" s="62">
        <f ca="1">AVERAGE(OFFSET($R$3,0,0,'Données projet'!$E$9+1,1))-AVERAGE(OFFSET($H$3,0,0,'Données projet'!$E$9+1,1))</f>
        <v>158.2231941902271</v>
      </c>
      <c r="T86" s="62">
        <f t="shared" si="88"/>
        <v>109.82011879787936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projet'!$B$10,Paramètres!$A$1:$I$88,3,0)*VLOOKUP('Données projet'!$B$10,Paramètres!$A$1:$I$88,5,0)</f>
        <v>2.6602720026858149E-14</v>
      </c>
      <c r="AK86" s="14">
        <f t="shared" si="89"/>
        <v>4.6624771586320878E-13</v>
      </c>
      <c r="AL86" s="22">
        <f t="shared" si="58"/>
        <v>8.583811758418665E-13</v>
      </c>
      <c r="AM86" s="62">
        <f t="shared" si="59"/>
        <v>271.88474547710433</v>
      </c>
      <c r="AN86" s="62">
        <f ca="1">AVERAGE(OFFSET($AM$3,0,0,'Données projet'!$E$10+1,1))-AVERAGE(OFFSET($H$3,0,0,'Données projet'!$E$10+1,1))</f>
        <v>188.94867378904664</v>
      </c>
      <c r="AO86" s="62">
        <f t="shared" si="90"/>
        <v>242.84781402593833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5.3799262331888809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1.6346590849604465E-7</v>
      </c>
      <c r="AX86" s="23">
        <f t="shared" si="60"/>
        <v>5.3799263966547892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projet'!$B$11,Paramètres!$A$1:$I$88,3,0)*0.475*44/12</f>
        <v>#N/A</v>
      </c>
      <c r="BQ86" s="23" t="e">
        <f>EXP(-LN(2)/25)*BQ85+(1-EXP(-LN(2)/25))/(LN(2)/25)*Calculateur!BL86*Calculateur!BN86*VLOOKUP('Données projet'!$B$11,Paramètres!$A$1:$I$88,3,0)*0.475*44/12</f>
        <v>#N/A</v>
      </c>
      <c r="BR86" s="23" t="e">
        <f>EXP(-LN(2)/2)*BR85+(1-EXP(-LN(2)/2))/(LN(2)/2)*BL86*BO86*VLOOKUP('Données projet'!$B$11,Paramètres!$A$1:$I$88,3,0)*0.475*44/12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5.6599999999999993</v>
      </c>
      <c r="N87" s="14">
        <f>IF('Données projet'!$A$36&gt;35,N86+M87-V86,IF(A87&lt;'Données projet'!$A$36,$K$205^A87,IF(A87='Données projet'!$A$36,'Données projet'!$B$36,N86+M87-V86)))</f>
        <v>42.97999999999999</v>
      </c>
      <c r="O87" s="14">
        <f>N87*VLOOKUP('Données projet'!$B$9,Paramètres!$A$1:$I$88,3,0)*VLOOKUP('Données projet'!$B$9,Paramètres!$A$1:$I$88,5,0)</f>
        <v>38.888303999999991</v>
      </c>
      <c r="P87" s="14">
        <f t="shared" si="87"/>
        <v>11.703510146418585</v>
      </c>
      <c r="Q87" s="22">
        <f t="shared" si="54"/>
        <v>88.114076305012361</v>
      </c>
      <c r="R87" s="62">
        <f t="shared" si="55"/>
        <v>360.37090682956267</v>
      </c>
      <c r="S87" s="62">
        <f ca="1">AVERAGE(OFFSET($R$3,0,0,'Données projet'!$E$9+1,1))-AVERAGE(OFFSET($H$3,0,0,'Données projet'!$E$9+1,1))</f>
        <v>158.2231941902271</v>
      </c>
      <c r="T87" s="62">
        <f t="shared" si="88"/>
        <v>109.82011879787936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projet'!$B$10,Paramètres!$A$1:$I$88,3,0)*VLOOKUP('Données projet'!$B$10,Paramètres!$A$1:$I$88,5,0)</f>
        <v>2.6602720026858149E-14</v>
      </c>
      <c r="AK87" s="14">
        <f t="shared" si="89"/>
        <v>4.6624771586320878E-13</v>
      </c>
      <c r="AL87" s="22">
        <f t="shared" si="58"/>
        <v>8.583811758418665E-13</v>
      </c>
      <c r="AM87" s="62">
        <f t="shared" si="59"/>
        <v>272.25683052455116</v>
      </c>
      <c r="AN87" s="62">
        <f ca="1">AVERAGE(OFFSET($AM$3,0,0,'Données projet'!$E$10+1,1))-AVERAGE(OFFSET($H$3,0,0,'Données projet'!$E$10+1,1))</f>
        <v>188.94867378904664</v>
      </c>
      <c r="AO87" s="62">
        <f t="shared" si="90"/>
        <v>242.84781402593833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5.2744291611870349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1.1558785239037285E-7</v>
      </c>
      <c r="AX87" s="23">
        <f t="shared" si="60"/>
        <v>5.274429276774887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projet'!$B$11,Paramètres!$A$1:$I$88,3,0)*0.475*44/12</f>
        <v>#N/A</v>
      </c>
      <c r="BQ87" s="23" t="e">
        <f>EXP(-LN(2)/25)*BQ86+(1-EXP(-LN(2)/25))/(LN(2)/25)*Calculateur!BL87*Calculateur!BN87*VLOOKUP('Données projet'!$B$11,Paramètres!$A$1:$I$88,3,0)*0.475*44/12</f>
        <v>#N/A</v>
      </c>
      <c r="BR87" s="23" t="e">
        <f>EXP(-LN(2)/2)*BR86+(1-EXP(-LN(2)/2))/(LN(2)/2)*BL87*BO87*VLOOKUP('Données projet'!$B$11,Paramètres!$A$1:$I$88,3,0)*0.475*44/12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5.6599999999999993</v>
      </c>
      <c r="N88" s="14">
        <f>IF('Données projet'!$A$36&gt;35,N87+M88-V87,IF(A88&lt;'Données projet'!$A$36,$K$205^A88,IF(A88='Données projet'!$A$36,'Données projet'!$B$36,N87+M88-V87)))</f>
        <v>48.639999999999986</v>
      </c>
      <c r="O88" s="14">
        <f>N88*VLOOKUP('Données projet'!$B$9,Paramètres!$A$1:$I$88,3,0)*VLOOKUP('Données projet'!$B$9,Paramètres!$A$1:$I$88,5,0)</f>
        <v>44.009471999999988</v>
      </c>
      <c r="P88" s="14">
        <f t="shared" si="87"/>
        <v>13.055377985448075</v>
      </c>
      <c r="Q88" s="22">
        <f t="shared" si="54"/>
        <v>99.387947057988711</v>
      </c>
      <c r="R88" s="62">
        <f t="shared" si="55"/>
        <v>372.01040778627021</v>
      </c>
      <c r="S88" s="62">
        <f ca="1">AVERAGE(OFFSET($R$3,0,0,'Données projet'!$E$9+1,1))-AVERAGE(OFFSET($H$3,0,0,'Données projet'!$E$9+1,1))</f>
        <v>158.2231941902271</v>
      </c>
      <c r="T88" s="62">
        <f t="shared" si="88"/>
        <v>109.82011879787936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projet'!$B$10,Paramètres!$A$1:$I$88,3,0)*VLOOKUP('Données projet'!$B$10,Paramètres!$A$1:$I$88,5,0)</f>
        <v>2.6602720026858149E-14</v>
      </c>
      <c r="AK88" s="14">
        <f t="shared" si="89"/>
        <v>4.6624771586320878E-13</v>
      </c>
      <c r="AL88" s="22">
        <f t="shared" si="58"/>
        <v>8.583811758418665E-13</v>
      </c>
      <c r="AM88" s="62">
        <f t="shared" si="59"/>
        <v>272.62246072828236</v>
      </c>
      <c r="AN88" s="62">
        <f ca="1">AVERAGE(OFFSET($AM$3,0,0,'Données projet'!$E$10+1,1))-AVERAGE(OFFSET($H$3,0,0,'Données projet'!$E$10+1,1))</f>
        <v>188.94867378904664</v>
      </c>
      <c r="AO88" s="62">
        <f t="shared" si="90"/>
        <v>242.84781402593833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5.171000822420285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8.1732954248022338E-8</v>
      </c>
      <c r="AX88" s="23">
        <f t="shared" si="60"/>
        <v>5.1710009041532397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projet'!$B$11,Paramètres!$A$1:$I$88,3,0)*0.475*44/12</f>
        <v>#N/A</v>
      </c>
      <c r="BQ88" s="23" t="e">
        <f>EXP(-LN(2)/25)*BQ87+(1-EXP(-LN(2)/25))/(LN(2)/25)*Calculateur!BL88*Calculateur!BN88*VLOOKUP('Données projet'!$B$11,Paramètres!$A$1:$I$88,3,0)*0.475*44/12</f>
        <v>#N/A</v>
      </c>
      <c r="BR88" s="23" t="e">
        <f>EXP(-LN(2)/2)*BR87+(1-EXP(-LN(2)/2))/(LN(2)/2)*BL88*BO88*VLOOKUP('Données projet'!$B$11,Paramètres!$A$1:$I$88,3,0)*0.475*44/12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5.6599999999999993</v>
      </c>
      <c r="N89" s="14">
        <f>IF('Données projet'!$A$36&gt;35,N88+M89-V88,IF(A89&lt;'Données projet'!$A$36,$K$205^A89,IF(A89='Données projet'!$A$36,'Données projet'!$B$36,N88+M89-V88)))</f>
        <v>54.299999999999983</v>
      </c>
      <c r="O89" s="14">
        <f>N89*VLOOKUP('Données projet'!$B$9,Paramètres!$A$1:$I$88,3,0)*VLOOKUP('Données projet'!$B$9,Paramètres!$A$1:$I$88,5,0)</f>
        <v>49.130639999999985</v>
      </c>
      <c r="P89" s="14">
        <f t="shared" si="87"/>
        <v>14.389014973045185</v>
      </c>
      <c r="Q89" s="22">
        <f t="shared" si="54"/>
        <v>110.63006574472034</v>
      </c>
      <c r="R89" s="62">
        <f t="shared" si="55"/>
        <v>383.61181381012506</v>
      </c>
      <c r="S89" s="62">
        <f ca="1">AVERAGE(OFFSET($R$3,0,0,'Données projet'!$E$9+1,1))-AVERAGE(OFFSET($H$3,0,0,'Données projet'!$E$9+1,1))</f>
        <v>158.2231941902271</v>
      </c>
      <c r="T89" s="62">
        <f t="shared" si="88"/>
        <v>109.82011879787936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projet'!$B$10,Paramètres!$A$1:$I$88,3,0)*VLOOKUP('Données projet'!$B$10,Paramètres!$A$1:$I$88,5,0)</f>
        <v>2.6602720026858149E-14</v>
      </c>
      <c r="AK89" s="14">
        <f t="shared" si="89"/>
        <v>4.6624771586320878E-13</v>
      </c>
      <c r="AL89" s="22">
        <f t="shared" si="58"/>
        <v>8.583811758418665E-13</v>
      </c>
      <c r="AM89" s="62">
        <f t="shared" si="59"/>
        <v>272.98174806540555</v>
      </c>
      <c r="AN89" s="62">
        <f ca="1">AVERAGE(OFFSET($AM$3,0,0,'Données projet'!$E$10+1,1))-AVERAGE(OFFSET($H$3,0,0,'Données projet'!$E$10+1,1))</f>
        <v>188.94867378904664</v>
      </c>
      <c r="AO89" s="62">
        <f t="shared" si="90"/>
        <v>242.84781402593833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5.0696006502916937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5.7793926195186438E-8</v>
      </c>
      <c r="AX89" s="23">
        <f t="shared" si="60"/>
        <v>5.0696007080856198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projet'!$B$11,Paramètres!$A$1:$I$88,3,0)*0.475*44/12</f>
        <v>#N/A</v>
      </c>
      <c r="BQ89" s="23" t="e">
        <f>EXP(-LN(2)/25)*BQ88+(1-EXP(-LN(2)/25))/(LN(2)/25)*Calculateur!BL89*Calculateur!BN89*VLOOKUP('Données projet'!$B$11,Paramètres!$A$1:$I$88,3,0)*0.475*44/12</f>
        <v>#N/A</v>
      </c>
      <c r="BR89" s="23" t="e">
        <f>EXP(-LN(2)/2)*BR88+(1-EXP(-LN(2)/2))/(LN(2)/2)*BL89*BO89*VLOOKUP('Données projet'!$B$11,Paramètres!$A$1:$I$88,3,0)*0.475*44/12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5.6599999999999993</v>
      </c>
      <c r="N90" s="14">
        <f>IF('Données projet'!$A$36&gt;35,N89+M90-V89,IF(A90&lt;'Données projet'!$A$36,$K$205^A90,IF(A90='Données projet'!$A$36,'Données projet'!$B$36,N89+M90-V89)))</f>
        <v>59.95999999999998</v>
      </c>
      <c r="O90" s="14">
        <f>N90*VLOOKUP('Données projet'!$B$9,Paramètres!$A$1:$I$88,3,0)*VLOOKUP('Données projet'!$B$9,Paramètres!$A$1:$I$88,5,0)</f>
        <v>54.251807999999983</v>
      </c>
      <c r="P90" s="14">
        <f t="shared" si="87"/>
        <v>15.706537885737932</v>
      </c>
      <c r="Q90" s="22">
        <f t="shared" si="54"/>
        <v>121.84411908432686</v>
      </c>
      <c r="R90" s="62">
        <f t="shared" si="55"/>
        <v>395.17892165480168</v>
      </c>
      <c r="S90" s="62">
        <f ca="1">AVERAGE(OFFSET($R$3,0,0,'Données projet'!$E$9+1,1))-AVERAGE(OFFSET($H$3,0,0,'Données projet'!$E$9+1,1))</f>
        <v>158.2231941902271</v>
      </c>
      <c r="T90" s="62">
        <f t="shared" si="88"/>
        <v>109.82011879787936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projet'!$B$10,Paramètres!$A$1:$I$88,3,0)*VLOOKUP('Données projet'!$B$10,Paramètres!$A$1:$I$88,5,0)</f>
        <v>2.6602720026858149E-14</v>
      </c>
      <c r="AK90" s="14">
        <f t="shared" si="89"/>
        <v>4.6624771586320878E-13</v>
      </c>
      <c r="AL90" s="22">
        <f t="shared" si="58"/>
        <v>8.583811758418665E-13</v>
      </c>
      <c r="AM90" s="62">
        <f t="shared" si="59"/>
        <v>273.33480257047569</v>
      </c>
      <c r="AN90" s="62">
        <f ca="1">AVERAGE(OFFSET($AM$3,0,0,'Données projet'!$E$10+1,1))-AVERAGE(OFFSET($H$3,0,0,'Données projet'!$E$10+1,1))</f>
        <v>188.94867378904664</v>
      </c>
      <c r="AO90" s="62">
        <f t="shared" si="90"/>
        <v>242.84781402593833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4.970188873690546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4.0866477124011175E-8</v>
      </c>
      <c r="AX90" s="23">
        <f t="shared" si="60"/>
        <v>4.9701889145570233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projet'!$B$11,Paramètres!$A$1:$I$88,3,0)*0.475*44/12</f>
        <v>#N/A</v>
      </c>
      <c r="BQ90" s="23" t="e">
        <f>EXP(-LN(2)/25)*BQ89+(1-EXP(-LN(2)/25))/(LN(2)/25)*Calculateur!BL90*Calculateur!BN90*VLOOKUP('Données projet'!$B$11,Paramètres!$A$1:$I$88,3,0)*0.475*44/12</f>
        <v>#N/A</v>
      </c>
      <c r="BR90" s="23" t="e">
        <f>EXP(-LN(2)/2)*BR89+(1-EXP(-LN(2)/2))/(LN(2)/2)*BL90*BO90*VLOOKUP('Données projet'!$B$11,Paramètres!$A$1:$I$88,3,0)*0.475*44/12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5.6599999999999993</v>
      </c>
      <c r="N91" s="14">
        <f>IF('Données projet'!$A$36&gt;35,N90+M91-V90,IF(A91&lt;'Données projet'!$A$36,$K$205^A91,IF(A91='Données projet'!$A$36,'Données projet'!$B$36,N90+M91-V90)))</f>
        <v>65.619999999999976</v>
      </c>
      <c r="O91" s="14">
        <f>N91*VLOOKUP('Données projet'!$B$9,Paramètres!$A$1:$I$88,3,0)*VLOOKUP('Données projet'!$B$9,Paramètres!$A$1:$I$88,5,0)</f>
        <v>59.372975999999973</v>
      </c>
      <c r="P91" s="14">
        <f t="shared" si="87"/>
        <v>17.009640874496675</v>
      </c>
      <c r="Q91" s="22">
        <f t="shared" si="54"/>
        <v>133.03305772308167</v>
      </c>
      <c r="R91" s="62">
        <f t="shared" si="55"/>
        <v>406.71479009227539</v>
      </c>
      <c r="S91" s="62">
        <f ca="1">AVERAGE(OFFSET($R$3,0,0,'Données projet'!$E$9+1,1))-AVERAGE(OFFSET($H$3,0,0,'Données projet'!$E$9+1,1))</f>
        <v>158.2231941902271</v>
      </c>
      <c r="T91" s="62">
        <f t="shared" si="88"/>
        <v>109.82011879787936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projet'!$B$10,Paramètres!$A$1:$I$88,3,0)*VLOOKUP('Données projet'!$B$10,Paramètres!$A$1:$I$88,5,0)</f>
        <v>2.6602720026858149E-14</v>
      </c>
      <c r="AK91" s="14">
        <f t="shared" si="89"/>
        <v>4.6624771586320878E-13</v>
      </c>
      <c r="AL91" s="22">
        <f t="shared" si="58"/>
        <v>8.583811758418665E-13</v>
      </c>
      <c r="AM91" s="62">
        <f t="shared" si="59"/>
        <v>273.68173236919455</v>
      </c>
      <c r="AN91" s="62">
        <f ca="1">AVERAGE(OFFSET($AM$3,0,0,'Données projet'!$E$10+1,1))-AVERAGE(OFFSET($H$3,0,0,'Données projet'!$E$10+1,1))</f>
        <v>188.94867378904664</v>
      </c>
      <c r="AO91" s="62">
        <f t="shared" si="90"/>
        <v>242.84781402593833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4.8727265013933501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2.8896963097593222E-8</v>
      </c>
      <c r="AX91" s="23">
        <f t="shared" si="60"/>
        <v>4.8727265302903131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projet'!$B$11,Paramètres!$A$1:$I$88,3,0)*0.475*44/12</f>
        <v>#N/A</v>
      </c>
      <c r="BQ91" s="23" t="e">
        <f>EXP(-LN(2)/25)*BQ90+(1-EXP(-LN(2)/25))/(LN(2)/25)*Calculateur!BL91*Calculateur!BN91*VLOOKUP('Données projet'!$B$11,Paramètres!$A$1:$I$88,3,0)*0.475*44/12</f>
        <v>#N/A</v>
      </c>
      <c r="BR91" s="23" t="e">
        <f>EXP(-LN(2)/2)*BR90+(1-EXP(-LN(2)/2))/(LN(2)/2)*BL91*BO91*VLOOKUP('Données projet'!$B$11,Paramètres!$A$1:$I$88,3,0)*0.475*44/12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5.6599999999999993</v>
      </c>
      <c r="N92" s="14">
        <f>IF('Données projet'!$A$36&gt;35,N91+M92-V91,IF(A92&lt;'Données projet'!$A$36,$K$205^A92,IF(A92='Données projet'!$A$36,'Données projet'!$B$36,N91+M92-V91)))</f>
        <v>71.279999999999973</v>
      </c>
      <c r="O92" s="14">
        <f>N92*VLOOKUP('Données projet'!$B$9,Paramètres!$A$1:$I$88,3,0)*VLOOKUP('Données projet'!$B$9,Paramètres!$A$1:$I$88,5,0)</f>
        <v>64.494143999999977</v>
      </c>
      <c r="P92" s="14">
        <f t="shared" si="87"/>
        <v>18.299709134817348</v>
      </c>
      <c r="Q92" s="22">
        <f t="shared" si="54"/>
        <v>144.19929420980682</v>
      </c>
      <c r="R92" s="62">
        <f t="shared" si="55"/>
        <v>418.22193792133044</v>
      </c>
      <c r="S92" s="62">
        <f ca="1">AVERAGE(OFFSET($R$3,0,0,'Données projet'!$E$9+1,1))-AVERAGE(OFFSET($H$3,0,0,'Données projet'!$E$9+1,1))</f>
        <v>158.2231941902271</v>
      </c>
      <c r="T92" s="62">
        <f t="shared" si="88"/>
        <v>109.82011879787936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projet'!$B$10,Paramètres!$A$1:$I$88,3,0)*VLOOKUP('Données projet'!$B$10,Paramètres!$A$1:$I$88,5,0)</f>
        <v>2.6602720026858149E-14</v>
      </c>
      <c r="AK92" s="14">
        <f t="shared" si="89"/>
        <v>4.6624771586320878E-13</v>
      </c>
      <c r="AL92" s="22">
        <f t="shared" si="58"/>
        <v>8.583811758418665E-13</v>
      </c>
      <c r="AM92" s="62">
        <f t="shared" si="59"/>
        <v>274.02264371152444</v>
      </c>
      <c r="AN92" s="62">
        <f ca="1">AVERAGE(OFFSET($AM$3,0,0,'Données projet'!$E$10+1,1))-AVERAGE(OFFSET($H$3,0,0,'Données projet'!$E$10+1,1))</f>
        <v>188.94867378904664</v>
      </c>
      <c r="AO92" s="62">
        <f t="shared" si="90"/>
        <v>242.84781402593833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4.777175306770725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2.0433238562005591E-8</v>
      </c>
      <c r="AX92" s="23">
        <f t="shared" si="60"/>
        <v>4.7771753272039632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projet'!$B$11,Paramètres!$A$1:$I$88,3,0)*0.475*44/12</f>
        <v>#N/A</v>
      </c>
      <c r="BQ92" s="23" t="e">
        <f>EXP(-LN(2)/25)*BQ91+(1-EXP(-LN(2)/25))/(LN(2)/25)*Calculateur!BL92*Calculateur!BN92*VLOOKUP('Données projet'!$B$11,Paramètres!$A$1:$I$88,3,0)*0.475*44/12</f>
        <v>#N/A</v>
      </c>
      <c r="BR92" s="23" t="e">
        <f>EXP(-LN(2)/2)*BR91+(1-EXP(-LN(2)/2))/(LN(2)/2)*BL92*BO92*VLOOKUP('Données projet'!$B$11,Paramètres!$A$1:$I$88,3,0)*0.475*44/12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5.6599999999999993</v>
      </c>
      <c r="N93" s="14">
        <f>IF('Données projet'!$A$36&gt;35,N92+M93-V92,IF(A93&lt;'Données projet'!$A$36,$K$205^A93,IF(A93='Données projet'!$A$36,'Données projet'!$B$36,N92+M93-V92)))</f>
        <v>76.939999999999969</v>
      </c>
      <c r="O93" s="14">
        <f>N93*VLOOKUP('Données projet'!$B$9,Paramètres!$A$1:$I$88,3,0)*VLOOKUP('Données projet'!$B$9,Paramètres!$A$1:$I$88,5,0)</f>
        <v>69.615311999999975</v>
      </c>
      <c r="P93" s="14">
        <f t="shared" si="87"/>
        <v>19.577895365320529</v>
      </c>
      <c r="Q93" s="22">
        <f t="shared" si="54"/>
        <v>155.34483616126656</v>
      </c>
      <c r="R93" s="62">
        <f t="shared" si="55"/>
        <v>429.7024771654942</v>
      </c>
      <c r="S93" s="62">
        <f ca="1">AVERAGE(OFFSET($R$3,0,0,'Données projet'!$E$9+1,1))-AVERAGE(OFFSET($H$3,0,0,'Données projet'!$E$9+1,1))</f>
        <v>158.2231941902271</v>
      </c>
      <c r="T93" s="62">
        <f t="shared" si="88"/>
        <v>109.82011879787936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projet'!$B$10,Paramètres!$A$1:$I$88,3,0)*VLOOKUP('Données projet'!$B$10,Paramètres!$A$1:$I$88,5,0)</f>
        <v>2.6602720026858149E-14</v>
      </c>
      <c r="AK93" s="14">
        <f t="shared" si="89"/>
        <v>4.6624771586320878E-13</v>
      </c>
      <c r="AL93" s="22">
        <f t="shared" si="58"/>
        <v>8.583811758418665E-13</v>
      </c>
      <c r="AM93" s="62">
        <f t="shared" si="59"/>
        <v>274.35764100422853</v>
      </c>
      <c r="AN93" s="62">
        <f ca="1">AVERAGE(OFFSET($AM$3,0,0,'Données projet'!$E$10+1,1))-AVERAGE(OFFSET($H$3,0,0,'Données projet'!$E$10+1,1))</f>
        <v>188.94867378904664</v>
      </c>
      <c r="AO93" s="62">
        <f t="shared" si="90"/>
        <v>242.84781402593833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4.6834978127941751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1.4448481548796613E-8</v>
      </c>
      <c r="AX93" s="23">
        <f t="shared" si="60"/>
        <v>4.6834978272426566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projet'!$B$11,Paramètres!$A$1:$I$88,3,0)*0.475*44/12</f>
        <v>#N/A</v>
      </c>
      <c r="BQ93" s="23" t="e">
        <f>EXP(-LN(2)/25)*BQ92+(1-EXP(-LN(2)/25))/(LN(2)/25)*Calculateur!BL93*Calculateur!BN93*VLOOKUP('Données projet'!$B$11,Paramètres!$A$1:$I$88,3,0)*0.475*44/12</f>
        <v>#N/A</v>
      </c>
      <c r="BR93" s="23" t="e">
        <f>EXP(-LN(2)/2)*BR92+(1-EXP(-LN(2)/2))/(LN(2)/2)*BL93*BO93*VLOOKUP('Données projet'!$B$11,Paramètres!$A$1:$I$88,3,0)*0.475*44/12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>
        <f>VLOOKUP(A94,'Données projet'!$A$35:$I$55,2,0)</f>
        <v>82.6</v>
      </c>
      <c r="L94" s="13">
        <f>VLOOKUP(A94,'Données projet'!$A$35:$I$55,9,0)</f>
        <v>5.6599999999999993</v>
      </c>
      <c r="M94" s="13">
        <f t="array" ref="M94">INDEX(L:L,MIN(IF(ISNUMBER(L94:L290),ROW(L94:L290),"")))</f>
        <v>5.6599999999999993</v>
      </c>
      <c r="N94" s="14">
        <f>IF('Données projet'!$A$36&gt;35,N93+M94-V93,IF(A94&lt;'Données projet'!$A$36,$K$205^A94,IF(A94='Données projet'!$A$36,'Données projet'!$B$36,N93+M94-V93)))</f>
        <v>82.599999999999966</v>
      </c>
      <c r="O94" s="14">
        <f>N94*VLOOKUP('Données projet'!$B$9,Paramètres!$A$1:$I$88,3,0)*VLOOKUP('Données projet'!$B$9,Paramètres!$A$1:$I$88,5,0)</f>
        <v>74.736479999999972</v>
      </c>
      <c r="P94" s="14">
        <f t="shared" si="87"/>
        <v>20.845173052306073</v>
      </c>
      <c r="Q94" s="22">
        <f t="shared" si="54"/>
        <v>166.47137906609973</v>
      </c>
      <c r="R94" s="62">
        <f t="shared" si="55"/>
        <v>441.15820590894475</v>
      </c>
      <c r="S94" s="62">
        <f ca="1">AVERAGE(OFFSET($R$3,0,0,'Données projet'!$E$9+1,1))-AVERAGE(OFFSET($H$3,0,0,'Données projet'!$E$9+1,1))</f>
        <v>158.2231941902271</v>
      </c>
      <c r="T94" s="62">
        <f t="shared" si="88"/>
        <v>109.82011879787936</v>
      </c>
      <c r="U94" s="16">
        <f>IF(ISNA(VLOOKUP(A94,'Données projet'!$A$35:$I$55,3,0)),0,VLOOKUP(A94,'Données projet'!$A$35:$I$55,3,0))</f>
        <v>6</v>
      </c>
      <c r="V94" s="16">
        <f>IF(ISNA(VLOOKUP(A94,'Données projet'!$A$35:$I$55,4,0)),0,VLOOKUP(A94,'Données projet'!$A$35:$I$55,4,0))</f>
        <v>70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projet'!$B$10,Paramètres!$A$1:$I$88,3,0)*VLOOKUP('Données projet'!$B$10,Paramètres!$A$1:$I$88,5,0)</f>
        <v>2.6602720026858149E-14</v>
      </c>
      <c r="AK94" s="14">
        <f t="shared" si="89"/>
        <v>4.6624771586320878E-13</v>
      </c>
      <c r="AL94" s="22">
        <f t="shared" si="58"/>
        <v>8.583811758418665E-13</v>
      </c>
      <c r="AM94" s="62">
        <f t="shared" si="59"/>
        <v>274.6868268428459</v>
      </c>
      <c r="AN94" s="62">
        <f ca="1">AVERAGE(OFFSET($AM$3,0,0,'Données projet'!$E$10+1,1))-AVERAGE(OFFSET($H$3,0,0,'Données projet'!$E$10+1,1))</f>
        <v>188.94867378904664</v>
      </c>
      <c r="AO94" s="62">
        <f t="shared" si="90"/>
        <v>242.84781402593833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4.5916572773368758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1.0216619281002797E-8</v>
      </c>
      <c r="AX94" s="23">
        <f t="shared" si="60"/>
        <v>4.5916572875534953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projet'!$B$11,Paramètres!$A$1:$I$88,3,0)*0.475*44/12</f>
        <v>#N/A</v>
      </c>
      <c r="BQ94" s="23" t="e">
        <f>EXP(-LN(2)/25)*BQ93+(1-EXP(-LN(2)/25))/(LN(2)/25)*Calculateur!BL94*Calculateur!BN94*VLOOKUP('Données projet'!$B$11,Paramètres!$A$1:$I$88,3,0)*0.475*44/12</f>
        <v>#N/A</v>
      </c>
      <c r="BR94" s="23" t="e">
        <f>EXP(-LN(2)/2)*BR93+(1-EXP(-LN(2)/2))/(LN(2)/2)*BL94*BO94*VLOOKUP('Données projet'!$B$11,Paramètres!$A$1:$I$88,3,0)*0.475*44/12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5.4421052631578952</v>
      </c>
      <c r="N95" s="14">
        <f>IF('Données projet'!$A$36&gt;35,N94+M95-V94,IF(A95&lt;'Données projet'!$A$36,$K$205^A95,IF(A95='Données projet'!$A$36,'Données projet'!$B$36,N94+M95-V94)))</f>
        <v>18.042105263157865</v>
      </c>
      <c r="O95" s="14">
        <f>N95*VLOOKUP('Données projet'!$B$9,Paramètres!$A$1:$I$88,3,0)*VLOOKUP('Données projet'!$B$9,Paramètres!$A$1:$I$88,5,0)</f>
        <v>16.324496842105237</v>
      </c>
      <c r="P95" s="14">
        <f t="shared" si="87"/>
        <v>5.4352223562176727</v>
      </c>
      <c r="Q95" s="22">
        <f t="shared" si="54"/>
        <v>37.898177603745729</v>
      </c>
      <c r="R95" s="62">
        <f t="shared" si="55"/>
        <v>312.90847964685747</v>
      </c>
      <c r="S95" s="62">
        <f ca="1">AVERAGE(OFFSET($R$3,0,0,'Données projet'!$E$9+1,1))-AVERAGE(OFFSET($H$3,0,0,'Données projet'!$E$9+1,1))</f>
        <v>158.2231941902271</v>
      </c>
      <c r="T95" s="62">
        <f t="shared" si="88"/>
        <v>109.82011879787936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projet'!$B$10,Paramètres!$A$1:$I$88,3,0)*VLOOKUP('Données projet'!$B$10,Paramètres!$A$1:$I$88,5,0)</f>
        <v>2.6602720026858149E-14</v>
      </c>
      <c r="AK95" s="14">
        <f t="shared" si="89"/>
        <v>4.6624771586320878E-13</v>
      </c>
      <c r="AL95" s="22">
        <f t="shared" si="58"/>
        <v>8.583811758418665E-13</v>
      </c>
      <c r="AM95" s="62">
        <f t="shared" si="59"/>
        <v>275.01030204311257</v>
      </c>
      <c r="AN95" s="62">
        <f ca="1">AVERAGE(OFFSET($AM$3,0,0,'Données projet'!$E$10+1,1))-AVERAGE(OFFSET($H$3,0,0,'Données projet'!$E$10+1,1))</f>
        <v>188.94867378904664</v>
      </c>
      <c r="AO95" s="62">
        <f t="shared" si="90"/>
        <v>242.84781402593833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4.5016176787626989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7.2242407743983081E-9</v>
      </c>
      <c r="AX95" s="23">
        <f t="shared" si="60"/>
        <v>4.5016176859869397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projet'!$B$11,Paramètres!$A$1:$I$88,3,0)*0.475*44/12</f>
        <v>#N/A</v>
      </c>
      <c r="BQ95" s="23" t="e">
        <f>EXP(-LN(2)/25)*BQ94+(1-EXP(-LN(2)/25))/(LN(2)/25)*Calculateur!BL95*Calculateur!BN95*VLOOKUP('Données projet'!$B$11,Paramètres!$A$1:$I$88,3,0)*0.475*44/12</f>
        <v>#N/A</v>
      </c>
      <c r="BR95" s="23" t="e">
        <f>EXP(-LN(2)/2)*BR94+(1-EXP(-LN(2)/2))/(LN(2)/2)*BL95*BO95*VLOOKUP('Données projet'!$B$11,Paramètres!$A$1:$I$88,3,0)*0.475*44/12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5.4421052631578952</v>
      </c>
      <c r="N96" s="14">
        <f>IF('Données projet'!$A$36&gt;35,N95+M96-V95,IF(A96&lt;'Données projet'!$A$36,$K$205^A96,IF(A96='Données projet'!$A$36,'Données projet'!$B$36,N95+M96-V95)))</f>
        <v>23.48421052631576</v>
      </c>
      <c r="O96" s="14">
        <f>N96*VLOOKUP('Données projet'!$B$9,Paramètres!$A$1:$I$88,3,0)*VLOOKUP('Données projet'!$B$9,Paramètres!$A$1:$I$88,5,0)</f>
        <v>21.248513684210501</v>
      </c>
      <c r="P96" s="14">
        <f t="shared" si="87"/>
        <v>6.8608761197253312</v>
      </c>
      <c r="Q96" s="22">
        <f t="shared" si="54"/>
        <v>48.957187241854911</v>
      </c>
      <c r="R96" s="62">
        <f t="shared" si="55"/>
        <v>324.28535291369087</v>
      </c>
      <c r="S96" s="62">
        <f ca="1">AVERAGE(OFFSET($R$3,0,0,'Données projet'!$E$9+1,1))-AVERAGE(OFFSET($H$3,0,0,'Données projet'!$E$9+1,1))</f>
        <v>158.2231941902271</v>
      </c>
      <c r="T96" s="62">
        <f t="shared" si="88"/>
        <v>109.82011879787936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projet'!$B$10,Paramètres!$A$1:$I$88,3,0)*VLOOKUP('Données projet'!$B$10,Paramètres!$A$1:$I$88,5,0)</f>
        <v>2.6602720026858149E-14</v>
      </c>
      <c r="AK96" s="14">
        <f t="shared" si="89"/>
        <v>4.6624771586320878E-13</v>
      </c>
      <c r="AL96" s="22">
        <f t="shared" si="58"/>
        <v>8.583811758418665E-13</v>
      </c>
      <c r="AM96" s="62">
        <f t="shared" si="59"/>
        <v>275.32816567183681</v>
      </c>
      <c r="AN96" s="62">
        <f ca="1">AVERAGE(OFFSET($AM$3,0,0,'Données projet'!$E$10+1,1))-AVERAGE(OFFSET($H$3,0,0,'Données projet'!$E$10+1,1))</f>
        <v>188.94867378904664</v>
      </c>
      <c r="AO96" s="62">
        <f t="shared" si="90"/>
        <v>242.84781402593833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4.4133437017978299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5.1083096405013994E-9</v>
      </c>
      <c r="AX96" s="23">
        <f t="shared" si="60"/>
        <v>4.4133437069061392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projet'!$B$11,Paramètres!$A$1:$I$88,3,0)*0.475*44/12</f>
        <v>#N/A</v>
      </c>
      <c r="BQ96" s="23" t="e">
        <f>EXP(-LN(2)/25)*BQ95+(1-EXP(-LN(2)/25))/(LN(2)/25)*Calculateur!BL96*Calculateur!BN96*VLOOKUP('Données projet'!$B$11,Paramètres!$A$1:$I$88,3,0)*0.475*44/12</f>
        <v>#N/A</v>
      </c>
      <c r="BR96" s="23" t="e">
        <f>EXP(-LN(2)/2)*BR95+(1-EXP(-LN(2)/2))/(LN(2)/2)*BL96*BO96*VLOOKUP('Données projet'!$B$11,Paramètres!$A$1:$I$88,3,0)*0.475*44/12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5.4421052631578952</v>
      </c>
      <c r="N97" s="14">
        <f>IF('Données projet'!$A$36&gt;35,N96+M97-V96,IF(A97&lt;'Données projet'!$A$36,$K$205^A97,IF(A97='Données projet'!$A$36,'Données projet'!$B$36,N96+M97-V96)))</f>
        <v>28.926315789473655</v>
      </c>
      <c r="O97" s="14">
        <f>N97*VLOOKUP('Données projet'!$B$9,Paramètres!$A$1:$I$88,3,0)*VLOOKUP('Données projet'!$B$9,Paramètres!$A$1:$I$88,5,0)</f>
        <v>26.172530526315764</v>
      </c>
      <c r="P97" s="14">
        <f t="shared" si="87"/>
        <v>8.2482257459553665</v>
      </c>
      <c r="Q97" s="22">
        <f t="shared" si="54"/>
        <v>59.949483840872226</v>
      </c>
      <c r="R97" s="62">
        <f t="shared" si="55"/>
        <v>335.58999891811072</v>
      </c>
      <c r="S97" s="62">
        <f ca="1">AVERAGE(OFFSET($R$3,0,0,'Données projet'!$E$9+1,1))-AVERAGE(OFFSET($H$3,0,0,'Données projet'!$E$9+1,1))</f>
        <v>158.2231941902271</v>
      </c>
      <c r="T97" s="62">
        <f t="shared" si="88"/>
        <v>109.82011879787936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projet'!$B$10,Paramètres!$A$1:$I$88,3,0)*VLOOKUP('Données projet'!$B$10,Paramètres!$A$1:$I$88,5,0)</f>
        <v>2.6602720026858149E-14</v>
      </c>
      <c r="AK97" s="14">
        <f t="shared" si="89"/>
        <v>4.6624771586320878E-13</v>
      </c>
      <c r="AL97" s="22">
        <f t="shared" si="58"/>
        <v>8.583811758418665E-13</v>
      </c>
      <c r="AM97" s="62">
        <f t="shared" si="59"/>
        <v>275.64051507723934</v>
      </c>
      <c r="AN97" s="62">
        <f ca="1">AVERAGE(OFFSET($AM$3,0,0,'Données projet'!$E$10+1,1))-AVERAGE(OFFSET($H$3,0,0,'Données projet'!$E$10+1,1))</f>
        <v>188.94867378904664</v>
      </c>
      <c r="AO97" s="62">
        <f t="shared" si="90"/>
        <v>242.84781402593833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4.3268007236794324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3.6121203871991545E-9</v>
      </c>
      <c r="AX97" s="23">
        <f t="shared" si="60"/>
        <v>4.3268007272915527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projet'!$B$11,Paramètres!$A$1:$I$88,3,0)*0.475*44/12</f>
        <v>#N/A</v>
      </c>
      <c r="BQ97" s="23" t="e">
        <f>EXP(-LN(2)/25)*BQ96+(1-EXP(-LN(2)/25))/(LN(2)/25)*Calculateur!BL97*Calculateur!BN97*VLOOKUP('Données projet'!$B$11,Paramètres!$A$1:$I$88,3,0)*0.475*44/12</f>
        <v>#N/A</v>
      </c>
      <c r="BR97" s="23" t="e">
        <f>EXP(-LN(2)/2)*BR96+(1-EXP(-LN(2)/2))/(LN(2)/2)*BL97*BO97*VLOOKUP('Données projet'!$B$11,Paramètres!$A$1:$I$88,3,0)*0.475*44/12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5.4421052631578952</v>
      </c>
      <c r="N98" s="14">
        <f>IF('Données projet'!$A$36&gt;35,N97+M98-V97,IF(A98&lt;'Données projet'!$A$36,$K$205^A98,IF(A98='Données projet'!$A$36,'Données projet'!$B$36,N97+M98-V97)))</f>
        <v>34.368421052631547</v>
      </c>
      <c r="O98" s="14">
        <f>N98*VLOOKUP('Données projet'!$B$9,Paramètres!$A$1:$I$88,3,0)*VLOOKUP('Données projet'!$B$9,Paramètres!$A$1:$I$88,5,0)</f>
        <v>31.096547368421021</v>
      </c>
      <c r="P98" s="14">
        <f t="shared" si="87"/>
        <v>9.6053355340888125</v>
      </c>
      <c r="Q98" s="22">
        <f t="shared" si="54"/>
        <v>70.8891127218713</v>
      </c>
      <c r="R98" s="62">
        <f t="shared" si="55"/>
        <v>346.83655864063724</v>
      </c>
      <c r="S98" s="62">
        <f ca="1">AVERAGE(OFFSET($R$3,0,0,'Données projet'!$E$9+1,1))-AVERAGE(OFFSET($H$3,0,0,'Données projet'!$E$9+1,1))</f>
        <v>158.2231941902271</v>
      </c>
      <c r="T98" s="62">
        <f t="shared" si="88"/>
        <v>109.82011879787936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projet'!$B$10,Paramètres!$A$1:$I$88,3,0)*VLOOKUP('Données projet'!$B$10,Paramètres!$A$1:$I$88,5,0)</f>
        <v>2.6602720026858149E-14</v>
      </c>
      <c r="AK98" s="14">
        <f t="shared" si="89"/>
        <v>4.6624771586320878E-13</v>
      </c>
      <c r="AL98" s="22">
        <f t="shared" si="58"/>
        <v>8.583811758418665E-13</v>
      </c>
      <c r="AM98" s="62">
        <f t="shared" si="59"/>
        <v>275.94744591876679</v>
      </c>
      <c r="AN98" s="62">
        <f ca="1">AVERAGE(OFFSET($AM$3,0,0,'Données projet'!$E$10+1,1))-AVERAGE(OFFSET($H$3,0,0,'Données projet'!$E$10+1,1))</f>
        <v>188.94867378904664</v>
      </c>
      <c r="AO98" s="62">
        <f t="shared" si="90"/>
        <v>242.84781402593833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4.2419548005759316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2.5541548202507001E-9</v>
      </c>
      <c r="AX98" s="23">
        <f t="shared" si="60"/>
        <v>4.2419548031300867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projet'!$B$11,Paramètres!$A$1:$I$88,3,0)*0.475*44/12</f>
        <v>#N/A</v>
      </c>
      <c r="BQ98" s="23" t="e">
        <f>EXP(-LN(2)/25)*BQ97+(1-EXP(-LN(2)/25))/(LN(2)/25)*Calculateur!BL98*Calculateur!BN98*VLOOKUP('Données projet'!$B$11,Paramètres!$A$1:$I$88,3,0)*0.475*44/12</f>
        <v>#N/A</v>
      </c>
      <c r="BR98" s="23" t="e">
        <f>EXP(-LN(2)/2)*BR97+(1-EXP(-LN(2)/2))/(LN(2)/2)*BL98*BO98*VLOOKUP('Données projet'!$B$11,Paramètres!$A$1:$I$88,3,0)*0.475*44/12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5.4421052631578952</v>
      </c>
      <c r="N99" s="14">
        <f>IF('Données projet'!$A$36&gt;35,N98+M99-V98,IF(A99&lt;'Données projet'!$A$36,$K$205^A99,IF(A99='Données projet'!$A$36,'Données projet'!$B$36,N98+M99-V98)))</f>
        <v>39.810526315789446</v>
      </c>
      <c r="O99" s="14">
        <f>N99*VLOOKUP('Données projet'!$B$9,Paramètres!$A$1:$I$88,3,0)*VLOOKUP('Données projet'!$B$9,Paramètres!$A$1:$I$88,5,0)</f>
        <v>36.020564210526288</v>
      </c>
      <c r="P99" s="14">
        <f t="shared" si="87"/>
        <v>10.937551136801307</v>
      </c>
      <c r="Q99" s="22">
        <f t="shared" ref="Q99:Q130" si="107">(O99+P99)*0.475*44/12</f>
        <v>81.78538422992888</v>
      </c>
      <c r="R99" s="62">
        <f t="shared" si="55"/>
        <v>358.03443642631629</v>
      </c>
      <c r="S99" s="62">
        <f ca="1">AVERAGE(OFFSET($R$3,0,0,'Données projet'!$E$9+1,1))-AVERAGE(OFFSET($H$3,0,0,'Données projet'!$E$9+1,1))</f>
        <v>158.2231941902271</v>
      </c>
      <c r="T99" s="62">
        <f t="shared" si="88"/>
        <v>109.82011879787936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projet'!$B$10,Paramètres!$A$1:$I$88,3,0)*VLOOKUP('Données projet'!$B$10,Paramètres!$A$1:$I$88,5,0)</f>
        <v>2.6602720026858149E-14</v>
      </c>
      <c r="AK99" s="14">
        <f t="shared" si="89"/>
        <v>4.6624771586320878E-13</v>
      </c>
      <c r="AL99" s="22">
        <f t="shared" si="58"/>
        <v>8.583811758418665E-13</v>
      </c>
      <c r="AM99" s="62">
        <f t="shared" si="59"/>
        <v>276.24905219638828</v>
      </c>
      <c r="AN99" s="62">
        <f ca="1">AVERAGE(OFFSET($AM$3,0,0,'Données projet'!$E$10+1,1))-AVERAGE(OFFSET($H$3,0,0,'Données projet'!$E$10+1,1))</f>
        <v>188.94867378904664</v>
      </c>
      <c r="AO99" s="62">
        <f t="shared" si="90"/>
        <v>242.84781402593833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4.1587726542735872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1.8060601935995776E-9</v>
      </c>
      <c r="AX99" s="23">
        <f t="shared" si="60"/>
        <v>4.1587726560796474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projet'!$B$11,Paramètres!$A$1:$I$88,3,0)*0.475*44/12</f>
        <v>#N/A</v>
      </c>
      <c r="BQ99" s="23" t="e">
        <f>EXP(-LN(2)/25)*BQ98+(1-EXP(-LN(2)/25))/(LN(2)/25)*Calculateur!BL99*Calculateur!BN99*VLOOKUP('Données projet'!$B$11,Paramètres!$A$1:$I$88,3,0)*0.475*44/12</f>
        <v>#N/A</v>
      </c>
      <c r="BR99" s="23" t="e">
        <f>EXP(-LN(2)/2)*BR98+(1-EXP(-LN(2)/2))/(LN(2)/2)*BL99*BO99*VLOOKUP('Données projet'!$B$11,Paramètres!$A$1:$I$88,3,0)*0.475*44/12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5.4421052631578952</v>
      </c>
      <c r="N100" s="14">
        <f>IF('Données projet'!$A$36&gt;35,N99+M100-V99,IF(A100&lt;'Données projet'!$A$36,$K$205^A100,IF(A100='Données projet'!$A$36,'Données projet'!$B$36,N99+M100-V99)))</f>
        <v>45.252631578947344</v>
      </c>
      <c r="O100" s="14">
        <f>N100*VLOOKUP('Données projet'!$B$9,Paramètres!$A$1:$I$88,3,0)*VLOOKUP('Données projet'!$B$9,Paramètres!$A$1:$I$88,5,0)</f>
        <v>40.944581052631555</v>
      </c>
      <c r="P100" s="14">
        <f t="shared" si="87"/>
        <v>12.248667117353852</v>
      </c>
      <c r="Q100" s="22">
        <f t="shared" si="107"/>
        <v>92.644907229391251</v>
      </c>
      <c r="R100" s="62">
        <f t="shared" si="55"/>
        <v>369.19033350877407</v>
      </c>
      <c r="S100" s="62">
        <f ca="1">AVERAGE(OFFSET($R$3,0,0,'Données projet'!$E$9+1,1))-AVERAGE(OFFSET($H$3,0,0,'Données projet'!$E$9+1,1))</f>
        <v>158.2231941902271</v>
      </c>
      <c r="T100" s="62">
        <f t="shared" si="88"/>
        <v>109.82011879787936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projet'!$B$10,Paramètres!$A$1:$I$88,3,0)*VLOOKUP('Données projet'!$B$10,Paramètres!$A$1:$I$88,5,0)</f>
        <v>2.6602720026858149E-14</v>
      </c>
      <c r="AK100" s="14">
        <f t="shared" si="89"/>
        <v>4.6624771586320878E-13</v>
      </c>
      <c r="AL100" s="22">
        <f t="shared" si="58"/>
        <v>8.583811758418665E-13</v>
      </c>
      <c r="AM100" s="62">
        <f t="shared" si="59"/>
        <v>276.54542627938366</v>
      </c>
      <c r="AN100" s="62">
        <f ca="1">AVERAGE(OFFSET($AM$3,0,0,'Données projet'!$E$10+1,1))-AVERAGE(OFFSET($H$3,0,0,'Données projet'!$E$10+1,1))</f>
        <v>188.94867378904664</v>
      </c>
      <c r="AO100" s="62">
        <f t="shared" si="90"/>
        <v>242.84781402593833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4.0772216591241328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1.2770774101253503E-9</v>
      </c>
      <c r="AX100" s="23">
        <f t="shared" si="60"/>
        <v>4.0772216604012099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projet'!$B$11,Paramètres!$A$1:$I$88,3,0)*0.475*44/12</f>
        <v>#N/A</v>
      </c>
      <c r="BQ100" s="23" t="e">
        <f>EXP(-LN(2)/25)*BQ99+(1-EXP(-LN(2)/25))/(LN(2)/25)*Calculateur!BL100*Calculateur!BN100*VLOOKUP('Données projet'!$B$11,Paramètres!$A$1:$I$88,3,0)*0.475*44/12</f>
        <v>#N/A</v>
      </c>
      <c r="BR100" s="23" t="e">
        <f>EXP(-LN(2)/2)*BR99+(1-EXP(-LN(2)/2))/(LN(2)/2)*BL100*BO100*VLOOKUP('Données projet'!$B$11,Paramètres!$A$1:$I$88,3,0)*0.475*44/12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5.4421052631578952</v>
      </c>
      <c r="N101" s="14">
        <f>IF('Données projet'!$A$36&gt;35,N100+M101-V100,IF(A101&lt;'Données projet'!$A$36,$K$205^A101,IF(A101='Données projet'!$A$36,'Données projet'!$B$36,N100+M101-V100)))</f>
        <v>50.694736842105243</v>
      </c>
      <c r="O101" s="14">
        <f>N101*VLOOKUP('Données projet'!$B$9,Paramètres!$A$1:$I$88,3,0)*VLOOKUP('Données projet'!$B$9,Paramètres!$A$1:$I$88,5,0)</f>
        <v>45.868597894736823</v>
      </c>
      <c r="P101" s="14">
        <f t="shared" si="87"/>
        <v>13.5415110866682</v>
      </c>
      <c r="Q101" s="22">
        <f t="shared" si="107"/>
        <v>103.47260647594709</v>
      </c>
      <c r="R101" s="62">
        <f t="shared" si="55"/>
        <v>380.30926541057846</v>
      </c>
      <c r="S101" s="62">
        <f ca="1">AVERAGE(OFFSET($R$3,0,0,'Données projet'!$E$9+1,1))-AVERAGE(OFFSET($H$3,0,0,'Données projet'!$E$9+1,1))</f>
        <v>158.2231941902271</v>
      </c>
      <c r="T101" s="62">
        <f t="shared" si="88"/>
        <v>109.82011879787936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projet'!$B$10,Paramètres!$A$1:$I$88,3,0)*VLOOKUP('Données projet'!$B$10,Paramètres!$A$1:$I$88,5,0)</f>
        <v>2.6602720026858149E-14</v>
      </c>
      <c r="AK101" s="14">
        <f t="shared" si="89"/>
        <v>4.6624771586320878E-13</v>
      </c>
      <c r="AL101" s="22">
        <f t="shared" si="58"/>
        <v>8.583811758418665E-13</v>
      </c>
      <c r="AM101" s="62">
        <f t="shared" si="59"/>
        <v>276.83665893463223</v>
      </c>
      <c r="AN101" s="62">
        <f ca="1">AVERAGE(OFFSET($AM$3,0,0,'Données projet'!$E$10+1,1))-AVERAGE(OFFSET($H$3,0,0,'Données projet'!$E$10+1,1))</f>
        <v>188.94867378904664</v>
      </c>
      <c r="AO101" s="62">
        <f t="shared" si="90"/>
        <v>242.84781402593833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3.9972698292483635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9.0303009679978893E-10</v>
      </c>
      <c r="AX101" s="23">
        <f t="shared" si="60"/>
        <v>3.9972698301513936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projet'!$B$11,Paramètres!$A$1:$I$88,3,0)*0.475*44/12</f>
        <v>#N/A</v>
      </c>
      <c r="BQ101" s="23" t="e">
        <f>EXP(-LN(2)/25)*BQ100+(1-EXP(-LN(2)/25))/(LN(2)/25)*Calculateur!BL101*Calculateur!BN101*VLOOKUP('Données projet'!$B$11,Paramètres!$A$1:$I$88,3,0)*0.475*44/12</f>
        <v>#N/A</v>
      </c>
      <c r="BR101" s="23" t="e">
        <f>EXP(-LN(2)/2)*BR100+(1-EXP(-LN(2)/2))/(LN(2)/2)*BL101*BO101*VLOOKUP('Données projet'!$B$11,Paramètres!$A$1:$I$88,3,0)*0.475*44/12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5.4421052631578952</v>
      </c>
      <c r="N102" s="14">
        <f>IF('Données projet'!$A$36&gt;35,N101+M102-V101,IF(A102&lt;'Données projet'!$A$36,$K$205^A102,IF(A102='Données projet'!$A$36,'Données projet'!$B$36,N101+M102-V101)))</f>
        <v>56.136842105263142</v>
      </c>
      <c r="O102" s="14">
        <f>N102*VLOOKUP('Données projet'!$B$9,Paramètres!$A$1:$I$88,3,0)*VLOOKUP('Données projet'!$B$9,Paramètres!$A$1:$I$88,5,0)</f>
        <v>50.792614736842083</v>
      </c>
      <c r="P102" s="14">
        <f t="shared" si="87"/>
        <v>14.818268127028221</v>
      </c>
      <c r="Q102" s="22">
        <f t="shared" si="107"/>
        <v>114.2722876545741</v>
      </c>
      <c r="R102" s="62">
        <f t="shared" si="55"/>
        <v>391.39512700898422</v>
      </c>
      <c r="S102" s="62">
        <f ca="1">AVERAGE(OFFSET($R$3,0,0,'Données projet'!$E$9+1,1))-AVERAGE(OFFSET($H$3,0,0,'Données projet'!$E$9+1,1))</f>
        <v>158.2231941902271</v>
      </c>
      <c r="T102" s="62">
        <f t="shared" si="88"/>
        <v>109.82011879787936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projet'!$B$10,Paramètres!$A$1:$I$88,3,0)*VLOOKUP('Données projet'!$B$10,Paramètres!$A$1:$I$88,5,0)</f>
        <v>2.6602720026858149E-14</v>
      </c>
      <c r="AK102" s="14">
        <f t="shared" si="89"/>
        <v>4.6624771586320878E-13</v>
      </c>
      <c r="AL102" s="22">
        <f t="shared" si="58"/>
        <v>8.583811758418665E-13</v>
      </c>
      <c r="AM102" s="62">
        <f t="shared" si="59"/>
        <v>277.12283935441098</v>
      </c>
      <c r="AN102" s="62">
        <f ca="1">AVERAGE(OFFSET($AM$3,0,0,'Données projet'!$E$10+1,1))-AVERAGE(OFFSET($H$3,0,0,'Données projet'!$E$10+1,1))</f>
        <v>188.94867378904664</v>
      </c>
      <c r="AO102" s="62">
        <f t="shared" si="90"/>
        <v>242.84781402593833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3.9188858059906573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6.3853870506267524E-10</v>
      </c>
      <c r="AX102" s="23">
        <f t="shared" si="60"/>
        <v>3.9188858066291958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projet'!$B$11,Paramètres!$A$1:$I$88,3,0)*0.475*44/12</f>
        <v>#N/A</v>
      </c>
      <c r="BQ102" s="23" t="e">
        <f>EXP(-LN(2)/25)*BQ101+(1-EXP(-LN(2)/25))/(LN(2)/25)*Calculateur!BL102*Calculateur!BN102*VLOOKUP('Données projet'!$B$11,Paramètres!$A$1:$I$88,3,0)*0.475*44/12</f>
        <v>#N/A</v>
      </c>
      <c r="BR102" s="23" t="e">
        <f>EXP(-LN(2)/2)*BR101+(1-EXP(-LN(2)/2))/(LN(2)/2)*BL102*BO102*VLOOKUP('Données projet'!$B$11,Paramètres!$A$1:$I$88,3,0)*0.475*44/12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5.4421052631578952</v>
      </c>
      <c r="N103" s="14">
        <f>IF('Données projet'!$A$36&gt;35,N102+M103-V102,IF(A103&lt;'Données projet'!$A$36,$K$205^A103,IF(A103='Données projet'!$A$36,'Données projet'!$B$36,N102+M103-V102)))</f>
        <v>61.578947368421041</v>
      </c>
      <c r="O103" s="14">
        <f>N103*VLOOKUP('Données projet'!$B$9,Paramètres!$A$1:$I$88,3,0)*VLOOKUP('Données projet'!$B$9,Paramètres!$A$1:$I$88,5,0)</f>
        <v>55.716631578947357</v>
      </c>
      <c r="P103" s="14">
        <f t="shared" si="87"/>
        <v>16.080675224003734</v>
      </c>
      <c r="Q103" s="22">
        <f t="shared" si="107"/>
        <v>125.0469760151398</v>
      </c>
      <c r="R103" s="62">
        <f t="shared" si="55"/>
        <v>402.45103119884902</v>
      </c>
      <c r="S103" s="62">
        <f ca="1">AVERAGE(OFFSET($R$3,0,0,'Données projet'!$E$9+1,1))-AVERAGE(OFFSET($H$3,0,0,'Données projet'!$E$9+1,1))</f>
        <v>158.2231941902271</v>
      </c>
      <c r="T103" s="62">
        <f t="shared" si="88"/>
        <v>109.82011879787936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projet'!$B$10,Paramètres!$A$1:$I$88,3,0)*VLOOKUP('Données projet'!$B$10,Paramètres!$A$1:$I$88,5,0)</f>
        <v>2.6602720026858149E-14</v>
      </c>
      <c r="AK103" s="14">
        <f t="shared" si="89"/>
        <v>4.6624771586320878E-13</v>
      </c>
      <c r="AL103" s="22">
        <f t="shared" si="58"/>
        <v>8.583811758418665E-13</v>
      </c>
      <c r="AM103" s="62">
        <f t="shared" si="59"/>
        <v>277.40405518371006</v>
      </c>
      <c r="AN103" s="62">
        <f ca="1">AVERAGE(OFFSET($AM$3,0,0,'Données projet'!$E$10+1,1))-AVERAGE(OFFSET($H$3,0,0,'Données projet'!$E$10+1,1))</f>
        <v>188.94867378904664</v>
      </c>
      <c r="AO103" s="62">
        <f t="shared" si="90"/>
        <v>242.84781402593833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3.8420388456195012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4.5151504839989451E-10</v>
      </c>
      <c r="AX103" s="23">
        <f t="shared" si="60"/>
        <v>3.8420388460710164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projet'!$B$11,Paramètres!$A$1:$I$88,3,0)*0.475*44/12</f>
        <v>#N/A</v>
      </c>
      <c r="BQ103" s="23" t="e">
        <f>EXP(-LN(2)/25)*BQ102+(1-EXP(-LN(2)/25))/(LN(2)/25)*Calculateur!BL103*Calculateur!BN103*VLOOKUP('Données projet'!$B$11,Paramètres!$A$1:$I$88,3,0)*0.475*44/12</f>
        <v>#N/A</v>
      </c>
      <c r="BR103" s="23" t="e">
        <f>EXP(-LN(2)/2)*BR102+(1-EXP(-LN(2)/2))/(LN(2)/2)*BL103*BO103*VLOOKUP('Données projet'!$B$11,Paramètres!$A$1:$I$88,3,0)*0.475*44/12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5.4421052631578952</v>
      </c>
      <c r="N104" s="14">
        <f>IF('Données projet'!$A$36&gt;35,N103+M104-V103,IF(A104&lt;'Données projet'!$A$36,$K$205^A104,IF(A104='Données projet'!$A$36,'Données projet'!$B$36,N103+M104-V103)))</f>
        <v>67.021052631578939</v>
      </c>
      <c r="O104" s="14">
        <f>N104*VLOOKUP('Données projet'!$B$9,Paramètres!$A$1:$I$88,3,0)*VLOOKUP('Données projet'!$B$9,Paramètres!$A$1:$I$88,5,0)</f>
        <v>60.640648421052624</v>
      </c>
      <c r="P104" s="14">
        <f t="shared" si="87"/>
        <v>17.330144774794643</v>
      </c>
      <c r="Q104" s="22">
        <f t="shared" si="107"/>
        <v>135.79913148276731</v>
      </c>
      <c r="R104" s="62">
        <f t="shared" si="55"/>
        <v>413.47952402984174</v>
      </c>
      <c r="S104" s="62">
        <f ca="1">AVERAGE(OFFSET($R$3,0,0,'Données projet'!$E$9+1,1))-AVERAGE(OFFSET($H$3,0,0,'Données projet'!$E$9+1,1))</f>
        <v>158.2231941902271</v>
      </c>
      <c r="T104" s="62">
        <f t="shared" si="88"/>
        <v>109.82011879787936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projet'!$B$10,Paramètres!$A$1:$I$88,3,0)*VLOOKUP('Données projet'!$B$10,Paramètres!$A$1:$I$88,5,0)</f>
        <v>2.6602720026858149E-14</v>
      </c>
      <c r="AK104" s="14">
        <f t="shared" si="89"/>
        <v>4.6624771586320878E-13</v>
      </c>
      <c r="AL104" s="22">
        <f t="shared" si="58"/>
        <v>8.583811758418665E-13</v>
      </c>
      <c r="AM104" s="62">
        <f t="shared" si="59"/>
        <v>277.68039254707526</v>
      </c>
      <c r="AN104" s="62">
        <f ca="1">AVERAGE(OFFSET($AM$3,0,0,'Données projet'!$E$10+1,1))-AVERAGE(OFFSET($H$3,0,0,'Données projet'!$E$10+1,1))</f>
        <v>188.94867378904664</v>
      </c>
      <c r="AO104" s="62">
        <f t="shared" si="90"/>
        <v>242.84781402593833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3.766698807269206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3.1926935253133767E-10</v>
      </c>
      <c r="AX104" s="23">
        <f t="shared" si="60"/>
        <v>3.7666988075884755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projet'!$B$11,Paramètres!$A$1:$I$88,3,0)*0.475*44/12</f>
        <v>#N/A</v>
      </c>
      <c r="BQ104" s="23" t="e">
        <f>EXP(-LN(2)/25)*BQ103+(1-EXP(-LN(2)/25))/(LN(2)/25)*Calculateur!BL104*Calculateur!BN104*VLOOKUP('Données projet'!$B$11,Paramètres!$A$1:$I$88,3,0)*0.475*44/12</f>
        <v>#N/A</v>
      </c>
      <c r="BR104" s="23" t="e">
        <f>EXP(-LN(2)/2)*BR103+(1-EXP(-LN(2)/2))/(LN(2)/2)*BL104*BO104*VLOOKUP('Données projet'!$B$11,Paramètres!$A$1:$I$88,3,0)*0.475*44/12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5.4421052631578952</v>
      </c>
      <c r="N105" s="14">
        <f>IF('Données projet'!$A$36&gt;35,N104+M105-V104,IF(A105&lt;'Données projet'!$A$36,$K$205^A105,IF(A105='Données projet'!$A$36,'Données projet'!$B$36,N104+M105-V104)))</f>
        <v>72.463157894736838</v>
      </c>
      <c r="O105" s="14">
        <f>N105*VLOOKUP('Données projet'!$B$9,Paramètres!$A$1:$I$88,3,0)*VLOOKUP('Données projet'!$B$9,Paramètres!$A$1:$I$88,5,0)</f>
        <v>65.564665263157892</v>
      </c>
      <c r="P105" s="14">
        <f t="shared" si="87"/>
        <v>18.567846741735082</v>
      </c>
      <c r="Q105" s="22">
        <f t="shared" si="107"/>
        <v>146.53079174185527</v>
      </c>
      <c r="R105" s="62">
        <f t="shared" si="55"/>
        <v>424.48272781683818</v>
      </c>
      <c r="S105" s="62">
        <f ca="1">AVERAGE(OFFSET($R$3,0,0,'Données projet'!$E$9+1,1))-AVERAGE(OFFSET($H$3,0,0,'Données projet'!$E$9+1,1))</f>
        <v>158.2231941902271</v>
      </c>
      <c r="T105" s="62">
        <f t="shared" si="88"/>
        <v>109.82011879787936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projet'!$B$10,Paramètres!$A$1:$I$88,3,0)*VLOOKUP('Données projet'!$B$10,Paramètres!$A$1:$I$88,5,0)</f>
        <v>2.6602720026858149E-14</v>
      </c>
      <c r="AK105" s="14">
        <f t="shared" si="89"/>
        <v>4.6624771586320878E-13</v>
      </c>
      <c r="AL105" s="22">
        <f t="shared" si="58"/>
        <v>8.583811758418665E-13</v>
      </c>
      <c r="AM105" s="62">
        <f t="shared" si="59"/>
        <v>277.95193607498379</v>
      </c>
      <c r="AN105" s="62">
        <f ca="1">AVERAGE(OFFSET($AM$3,0,0,'Données projet'!$E$10+1,1))-AVERAGE(OFFSET($H$3,0,0,'Données projet'!$E$10+1,1))</f>
        <v>188.94867378904664</v>
      </c>
      <c r="AO105" s="62">
        <f t="shared" si="90"/>
        <v>242.84781402593833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3.6928361411180739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2.2575752419994731E-10</v>
      </c>
      <c r="AX105" s="23">
        <f t="shared" si="60"/>
        <v>3.6928361413438315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projet'!$B$11,Paramètres!$A$1:$I$88,3,0)*0.475*44/12</f>
        <v>#N/A</v>
      </c>
      <c r="BQ105" s="23" t="e">
        <f>EXP(-LN(2)/25)*BQ104+(1-EXP(-LN(2)/25))/(LN(2)/25)*Calculateur!BL105*Calculateur!BN105*VLOOKUP('Données projet'!$B$11,Paramètres!$A$1:$I$88,3,0)*0.475*44/12</f>
        <v>#N/A</v>
      </c>
      <c r="BR105" s="23" t="e">
        <f>EXP(-LN(2)/2)*BR104+(1-EXP(-LN(2)/2))/(LN(2)/2)*BL105*BO105*VLOOKUP('Données projet'!$B$11,Paramètres!$A$1:$I$88,3,0)*0.475*44/12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5.4421052631578952</v>
      </c>
      <c r="N106" s="14">
        <f>IF('Données projet'!$A$36&gt;35,N105+M106-V105,IF(A106&lt;'Données projet'!$A$36,$K$205^A106,IF(A106='Données projet'!$A$36,'Données projet'!$B$36,N105+M106-V105)))</f>
        <v>77.905263157894737</v>
      </c>
      <c r="O106" s="14">
        <f>N106*VLOOKUP('Données projet'!$B$9,Paramètres!$A$1:$I$88,3,0)*VLOOKUP('Données projet'!$B$9,Paramètres!$A$1:$I$88,5,0)</f>
        <v>70.488682105263152</v>
      </c>
      <c r="P106" s="14">
        <f t="shared" si="87"/>
        <v>19.794765381202435</v>
      </c>
      <c r="Q106" s="22">
        <f t="shared" si="107"/>
        <v>157.24367103892757</v>
      </c>
      <c r="R106" s="62">
        <f t="shared" si="55"/>
        <v>435.46243996869026</v>
      </c>
      <c r="S106" s="62">
        <f ca="1">AVERAGE(OFFSET($R$3,0,0,'Données projet'!$E$9+1,1))-AVERAGE(OFFSET($H$3,0,0,'Données projet'!$E$9+1,1))</f>
        <v>158.2231941902271</v>
      </c>
      <c r="T106" s="62">
        <f t="shared" si="88"/>
        <v>109.82011879787936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projet'!$B$10,Paramètres!$A$1:$I$88,3,0)*VLOOKUP('Données projet'!$B$10,Paramètres!$A$1:$I$88,5,0)</f>
        <v>2.6602720026858149E-14</v>
      </c>
      <c r="AK106" s="14">
        <f t="shared" si="89"/>
        <v>4.6624771586320878E-13</v>
      </c>
      <c r="AL106" s="22">
        <f t="shared" si="58"/>
        <v>8.583811758418665E-13</v>
      </c>
      <c r="AM106" s="62">
        <f t="shared" si="59"/>
        <v>278.21876892976354</v>
      </c>
      <c r="AN106" s="62">
        <f ca="1">AVERAGE(OFFSET($AM$3,0,0,'Données projet'!$E$10+1,1))-AVERAGE(OFFSET($H$3,0,0,'Données projet'!$E$10+1,1))</f>
        <v>188.94867378904664</v>
      </c>
      <c r="AO106" s="62">
        <f t="shared" si="90"/>
        <v>242.84781402593833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3.6204218767983876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1.5963467626566886E-10</v>
      </c>
      <c r="AX106" s="23">
        <f t="shared" si="60"/>
        <v>3.6204218769580221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projet'!$B$11,Paramètres!$A$1:$I$88,3,0)*0.475*44/12</f>
        <v>#N/A</v>
      </c>
      <c r="BQ106" s="23" t="e">
        <f>EXP(-LN(2)/25)*BQ105+(1-EXP(-LN(2)/25))/(LN(2)/25)*Calculateur!BL106*Calculateur!BN106*VLOOKUP('Données projet'!$B$11,Paramètres!$A$1:$I$88,3,0)*0.475*44/12</f>
        <v>#N/A</v>
      </c>
      <c r="BR106" s="23" t="e">
        <f>EXP(-LN(2)/2)*BR105+(1-EXP(-LN(2)/2))/(LN(2)/2)*BL106*BO106*VLOOKUP('Données projet'!$B$11,Paramètres!$A$1:$I$88,3,0)*0.475*44/12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5.4421052631578952</v>
      </c>
      <c r="N107" s="14">
        <f>IF('Données projet'!$A$36&gt;35,N106+M107-V106,IF(A107&lt;'Données projet'!$A$36,$K$205^A107,IF(A107='Données projet'!$A$36,'Données projet'!$B$36,N106+M107-V106)))</f>
        <v>83.347368421052636</v>
      </c>
      <c r="O107" s="14">
        <f>N107*VLOOKUP('Données projet'!$B$9,Paramètres!$A$1:$I$88,3,0)*VLOOKUP('Données projet'!$B$9,Paramètres!$A$1:$I$88,5,0)</f>
        <v>75.412698947368426</v>
      </c>
      <c r="P107" s="14">
        <f t="shared" si="87"/>
        <v>21.011739650791029</v>
      </c>
      <c r="Q107" s="22">
        <f t="shared" si="107"/>
        <v>167.93923055846105</v>
      </c>
      <c r="R107" s="62">
        <f t="shared" si="55"/>
        <v>446.42020338952193</v>
      </c>
      <c r="S107" s="62">
        <f ca="1">AVERAGE(OFFSET($R$3,0,0,'Données projet'!$E$9+1,1))-AVERAGE(OFFSET($H$3,0,0,'Données projet'!$E$9+1,1))</f>
        <v>158.2231941902271</v>
      </c>
      <c r="T107" s="62">
        <f t="shared" si="88"/>
        <v>109.82011879787936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projet'!$B$10,Paramètres!$A$1:$I$88,3,0)*VLOOKUP('Données projet'!$B$10,Paramètres!$A$1:$I$88,5,0)</f>
        <v>2.6602720026858149E-14</v>
      </c>
      <c r="AK107" s="14">
        <f t="shared" si="89"/>
        <v>4.6624771586320878E-13</v>
      </c>
      <c r="AL107" s="22">
        <f t="shared" si="58"/>
        <v>8.583811758418665E-13</v>
      </c>
      <c r="AM107" s="62">
        <f t="shared" si="59"/>
        <v>278.48097283106176</v>
      </c>
      <c r="AN107" s="62">
        <f ca="1">AVERAGE(OFFSET($AM$3,0,0,'Données projet'!$E$10+1,1))-AVERAGE(OFFSET($H$3,0,0,'Données projet'!$E$10+1,1))</f>
        <v>188.94867378904664</v>
      </c>
      <c r="AO107" s="62">
        <f t="shared" si="90"/>
        <v>242.84781402593833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3.5494276120336705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1.1287876209997367E-10</v>
      </c>
      <c r="AX107" s="23">
        <f t="shared" si="60"/>
        <v>3.5494276121465491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projet'!$B$11,Paramètres!$A$1:$I$88,3,0)*0.475*44/12</f>
        <v>#N/A</v>
      </c>
      <c r="BQ107" s="23" t="e">
        <f>EXP(-LN(2)/25)*BQ106+(1-EXP(-LN(2)/25))/(LN(2)/25)*Calculateur!BL107*Calculateur!BN107*VLOOKUP('Données projet'!$B$11,Paramètres!$A$1:$I$88,3,0)*0.475*44/12</f>
        <v>#N/A</v>
      </c>
      <c r="BR107" s="23" t="e">
        <f>EXP(-LN(2)/2)*BR106+(1-EXP(-LN(2)/2))/(LN(2)/2)*BL107*BO107*VLOOKUP('Données projet'!$B$11,Paramètres!$A$1:$I$88,3,0)*0.475*44/12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5.4421052631578952</v>
      </c>
      <c r="N108" s="14">
        <f>IF('Données projet'!$A$36&gt;35,N107+M108-V107,IF(A108&lt;'Données projet'!$A$36,$K$205^A108,IF(A108='Données projet'!$A$36,'Données projet'!$B$36,N107+M108-V107)))</f>
        <v>88.789473684210535</v>
      </c>
      <c r="O108" s="14">
        <f>N108*VLOOKUP('Données projet'!$B$9,Paramètres!$A$1:$I$88,3,0)*VLOOKUP('Données projet'!$B$9,Paramètres!$A$1:$I$88,5,0)</f>
        <v>80.336715789473686</v>
      </c>
      <c r="P108" s="14">
        <f t="shared" si="87"/>
        <v>22.219492753876128</v>
      </c>
      <c r="Q108" s="22">
        <f t="shared" si="107"/>
        <v>178.6187298796676</v>
      </c>
      <c r="R108" s="62">
        <f t="shared" si="55"/>
        <v>457.35735796053939</v>
      </c>
      <c r="S108" s="62">
        <f ca="1">AVERAGE(OFFSET($R$3,0,0,'Données projet'!$E$9+1,1))-AVERAGE(OFFSET($H$3,0,0,'Données projet'!$E$9+1,1))</f>
        <v>158.2231941902271</v>
      </c>
      <c r="T108" s="62">
        <f t="shared" si="88"/>
        <v>109.82011879787936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projet'!$B$10,Paramètres!$A$1:$I$88,3,0)*VLOOKUP('Données projet'!$B$10,Paramètres!$A$1:$I$88,5,0)</f>
        <v>2.6602720026858149E-14</v>
      </c>
      <c r="AK108" s="14">
        <f t="shared" si="89"/>
        <v>4.6624771586320878E-13</v>
      </c>
      <c r="AL108" s="22">
        <f t="shared" si="58"/>
        <v>8.583811758418665E-13</v>
      </c>
      <c r="AM108" s="62">
        <f t="shared" si="59"/>
        <v>278.73862808087262</v>
      </c>
      <c r="AN108" s="62">
        <f ca="1">AVERAGE(OFFSET($AM$3,0,0,'Données projet'!$E$10+1,1))-AVERAGE(OFFSET($H$3,0,0,'Données projet'!$E$10+1,1))</f>
        <v>188.94867378904664</v>
      </c>
      <c r="AO108" s="62">
        <f t="shared" si="90"/>
        <v>242.84781402593833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3.4798255014987638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7.9817338132834443E-11</v>
      </c>
      <c r="AX108" s="23">
        <f t="shared" si="60"/>
        <v>3.4798255015785813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projet'!$B$11,Paramètres!$A$1:$I$88,3,0)*0.475*44/12</f>
        <v>#N/A</v>
      </c>
      <c r="BQ108" s="23" t="e">
        <f>EXP(-LN(2)/25)*BQ107+(1-EXP(-LN(2)/25))/(LN(2)/25)*Calculateur!BL108*Calculateur!BN108*VLOOKUP('Données projet'!$B$11,Paramètres!$A$1:$I$88,3,0)*0.475*44/12</f>
        <v>#N/A</v>
      </c>
      <c r="BR108" s="23" t="e">
        <f>EXP(-LN(2)/2)*BR107+(1-EXP(-LN(2)/2))/(LN(2)/2)*BL108*BO108*VLOOKUP('Données projet'!$B$11,Paramètres!$A$1:$I$88,3,0)*0.475*44/12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5.4421052631578952</v>
      </c>
      <c r="N109" s="14">
        <f>IF('Données projet'!$A$36&gt;35,N108+M109-V108,IF(A109&lt;'Données projet'!$A$36,$K$205^A109,IF(A109='Données projet'!$A$36,'Données projet'!$B$36,N108+M109-V108)))</f>
        <v>94.231578947368433</v>
      </c>
      <c r="O109" s="14">
        <f>N109*VLOOKUP('Données projet'!$B$9,Paramètres!$A$1:$I$88,3,0)*VLOOKUP('Données projet'!$B$9,Paramètres!$A$1:$I$88,5,0)</f>
        <v>85.260732631578946</v>
      </c>
      <c r="P109" s="14">
        <f t="shared" si="87"/>
        <v>23.418654230645632</v>
      </c>
      <c r="Q109" s="22">
        <f t="shared" si="107"/>
        <v>189.28326545170782</v>
      </c>
      <c r="R109" s="62">
        <f t="shared" si="55"/>
        <v>468.2750790398369</v>
      </c>
      <c r="S109" s="62">
        <f ca="1">AVERAGE(OFFSET($R$3,0,0,'Données projet'!$E$9+1,1))-AVERAGE(OFFSET($H$3,0,0,'Données projet'!$E$9+1,1))</f>
        <v>158.2231941902271</v>
      </c>
      <c r="T109" s="62">
        <f t="shared" si="88"/>
        <v>109.82011879787936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projet'!$B$10,Paramètres!$A$1:$I$88,3,0)*VLOOKUP('Données projet'!$B$10,Paramètres!$A$1:$I$88,5,0)</f>
        <v>2.6602720026858149E-14</v>
      </c>
      <c r="AK109" s="14">
        <f t="shared" si="89"/>
        <v>4.6624771586320878E-13</v>
      </c>
      <c r="AL109" s="22">
        <f t="shared" si="58"/>
        <v>8.583811758418665E-13</v>
      </c>
      <c r="AM109" s="62">
        <f t="shared" si="59"/>
        <v>278.99181358812996</v>
      </c>
      <c r="AN109" s="62">
        <f ca="1">AVERAGE(OFFSET($AM$3,0,0,'Données projet'!$E$10+1,1))-AVERAGE(OFFSET($H$3,0,0,'Données projet'!$E$10+1,1))</f>
        <v>188.94867378904664</v>
      </c>
      <c r="AO109" s="62">
        <f t="shared" si="90"/>
        <v>242.84781402593833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3.4115882458983511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5.6439381049986847E-11</v>
      </c>
      <c r="AX109" s="23">
        <f t="shared" si="60"/>
        <v>3.4115882459547904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projet'!$B$11,Paramètres!$A$1:$I$88,3,0)*0.475*44/12</f>
        <v>#N/A</v>
      </c>
      <c r="BQ109" s="23" t="e">
        <f>EXP(-LN(2)/25)*BQ108+(1-EXP(-LN(2)/25))/(LN(2)/25)*Calculateur!BL109*Calculateur!BN109*VLOOKUP('Données projet'!$B$11,Paramètres!$A$1:$I$88,3,0)*0.475*44/12</f>
        <v>#N/A</v>
      </c>
      <c r="BR109" s="23" t="e">
        <f>EXP(-LN(2)/2)*BR108+(1-EXP(-LN(2)/2))/(LN(2)/2)*BL109*BO109*VLOOKUP('Données projet'!$B$11,Paramètres!$A$1:$I$88,3,0)*0.475*44/12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5.4421052631578952</v>
      </c>
      <c r="N110" s="14">
        <f>IF('Données projet'!$A$36&gt;35,N109+M110-V109,IF(A110&lt;'Données projet'!$A$36,$K$205^A110,IF(A110='Données projet'!$A$36,'Données projet'!$B$36,N109+M110-V109)))</f>
        <v>99.673684210526332</v>
      </c>
      <c r="O110" s="14">
        <f>N110*VLOOKUP('Données projet'!$B$9,Paramètres!$A$1:$I$88,3,0)*VLOOKUP('Données projet'!$B$9,Paramètres!$A$1:$I$88,5,0)</f>
        <v>90.184749473684221</v>
      </c>
      <c r="P110" s="14">
        <f t="shared" si="87"/>
        <v>24.609776798967577</v>
      </c>
      <c r="Q110" s="22">
        <f t="shared" si="107"/>
        <v>199.93379992486851</v>
      </c>
      <c r="R110" s="62">
        <f t="shared" si="55"/>
        <v>479.17440681774212</v>
      </c>
      <c r="S110" s="62">
        <f ca="1">AVERAGE(OFFSET($R$3,0,0,'Données projet'!$E$9+1,1))-AVERAGE(OFFSET($H$3,0,0,'Données projet'!$E$9+1,1))</f>
        <v>158.2231941902271</v>
      </c>
      <c r="T110" s="62">
        <f t="shared" si="88"/>
        <v>109.82011879787936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projet'!$B$10,Paramètres!$A$1:$I$88,3,0)*VLOOKUP('Données projet'!$B$10,Paramètres!$A$1:$I$88,5,0)</f>
        <v>2.6602720026858149E-14</v>
      </c>
      <c r="AK110" s="14">
        <f t="shared" si="89"/>
        <v>4.6624771586320878E-13</v>
      </c>
      <c r="AL110" s="22">
        <f t="shared" si="58"/>
        <v>8.583811758418665E-13</v>
      </c>
      <c r="AM110" s="62">
        <f t="shared" si="59"/>
        <v>279.2406068928745</v>
      </c>
      <c r="AN110" s="62">
        <f ca="1">AVERAGE(OFFSET($AM$3,0,0,'Données projet'!$E$10+1,1))-AVERAGE(OFFSET($H$3,0,0,'Données projet'!$E$10+1,1))</f>
        <v>188.94867378904664</v>
      </c>
      <c r="AO110" s="62">
        <f t="shared" si="90"/>
        <v>242.84781402593833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3.3446890812596464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3.9908669066417228E-11</v>
      </c>
      <c r="AX110" s="23">
        <f t="shared" si="60"/>
        <v>3.3446890812995549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projet'!$B$11,Paramètres!$A$1:$I$88,3,0)*0.475*44/12</f>
        <v>#N/A</v>
      </c>
      <c r="BQ110" s="23" t="e">
        <f>EXP(-LN(2)/25)*BQ109+(1-EXP(-LN(2)/25))/(LN(2)/25)*Calculateur!BL110*Calculateur!BN110*VLOOKUP('Données projet'!$B$11,Paramètres!$A$1:$I$88,3,0)*0.475*44/12</f>
        <v>#N/A</v>
      </c>
      <c r="BR110" s="23" t="e">
        <f>EXP(-LN(2)/2)*BR109+(1-EXP(-LN(2)/2))/(LN(2)/2)*BL110*BO110*VLOOKUP('Données projet'!$B$11,Paramètres!$A$1:$I$88,3,0)*0.475*44/12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5.4421052631578952</v>
      </c>
      <c r="N111" s="14">
        <f>IF('Données projet'!$A$36&gt;35,N110+M111-V110,IF(A111&lt;'Données projet'!$A$36,$K$205^A111,IF(A111='Données projet'!$A$36,'Données projet'!$B$36,N110+M111-V110)))</f>
        <v>105.11578947368423</v>
      </c>
      <c r="O111" s="14">
        <f>N111*VLOOKUP('Données projet'!$B$9,Paramètres!$A$1:$I$88,3,0)*VLOOKUP('Données projet'!$B$9,Paramètres!$A$1:$I$88,5,0)</f>
        <v>95.108766315789495</v>
      </c>
      <c r="P111" s="14">
        <f t="shared" si="87"/>
        <v>25.793349411998623</v>
      </c>
      <c r="Q111" s="22">
        <f t="shared" si="107"/>
        <v>210.57118489256428</v>
      </c>
      <c r="R111" s="62">
        <f t="shared" si="55"/>
        <v>490.05626908256363</v>
      </c>
      <c r="S111" s="62">
        <f ca="1">AVERAGE(OFFSET($R$3,0,0,'Données projet'!$E$9+1,1))-AVERAGE(OFFSET($H$3,0,0,'Données projet'!$E$9+1,1))</f>
        <v>158.2231941902271</v>
      </c>
      <c r="T111" s="62">
        <f t="shared" si="88"/>
        <v>109.82011879787936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projet'!$B$10,Paramètres!$A$1:$I$88,3,0)*VLOOKUP('Données projet'!$B$10,Paramètres!$A$1:$I$88,5,0)</f>
        <v>2.6602720026858149E-14</v>
      </c>
      <c r="AK111" s="14">
        <f t="shared" si="89"/>
        <v>4.6624771586320878E-13</v>
      </c>
      <c r="AL111" s="22">
        <f t="shared" si="58"/>
        <v>8.583811758418665E-13</v>
      </c>
      <c r="AM111" s="62">
        <f t="shared" si="59"/>
        <v>279.48508419000018</v>
      </c>
      <c r="AN111" s="62">
        <f ca="1">AVERAGE(OFFSET($AM$3,0,0,'Données projet'!$E$10+1,1))-AVERAGE(OFFSET($H$3,0,0,'Données projet'!$E$10+1,1))</f>
        <v>188.94867378904664</v>
      </c>
      <c r="AO111" s="62">
        <f t="shared" si="90"/>
        <v>242.84781402593833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3.2791017684350452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2.8219690524993427E-11</v>
      </c>
      <c r="AX111" s="23">
        <f t="shared" si="60"/>
        <v>3.2791017684632648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projet'!$B$11,Paramètres!$A$1:$I$88,3,0)*0.475*44/12</f>
        <v>#N/A</v>
      </c>
      <c r="BQ111" s="23" t="e">
        <f>EXP(-LN(2)/25)*BQ110+(1-EXP(-LN(2)/25))/(LN(2)/25)*Calculateur!BL111*Calculateur!BN111*VLOOKUP('Données projet'!$B$11,Paramètres!$A$1:$I$88,3,0)*0.475*44/12</f>
        <v>#N/A</v>
      </c>
      <c r="BR111" s="23" t="e">
        <f>EXP(-LN(2)/2)*BR110+(1-EXP(-LN(2)/2))/(LN(2)/2)*BL111*BO111*VLOOKUP('Données projet'!$B$11,Paramètres!$A$1:$I$88,3,0)*0.475*44/12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5.4421052631578952</v>
      </c>
      <c r="N112" s="14">
        <f>IF('Données projet'!$A$36&gt;35,N111+M112-V111,IF(A112&lt;'Données projet'!$A$36,$K$205^A112,IF(A112='Données projet'!$A$36,'Données projet'!$B$36,N111+M112-V111)))</f>
        <v>110.55789473684213</v>
      </c>
      <c r="O112" s="14">
        <f>N112*VLOOKUP('Données projet'!$B$9,Paramètres!$A$1:$I$88,3,0)*VLOOKUP('Données projet'!$B$9,Paramètres!$A$1:$I$88,5,0)</f>
        <v>100.03278315789476</v>
      </c>
      <c r="P112" s="14">
        <f t="shared" si="87"/>
        <v>26.969807534653103</v>
      </c>
      <c r="Q112" s="22">
        <f t="shared" si="107"/>
        <v>221.19617878952081</v>
      </c>
      <c r="R112" s="62">
        <f t="shared" si="55"/>
        <v>500.92149914211006</v>
      </c>
      <c r="S112" s="62">
        <f ca="1">AVERAGE(OFFSET($R$3,0,0,'Données projet'!$E$9+1,1))-AVERAGE(OFFSET($H$3,0,0,'Données projet'!$E$9+1,1))</f>
        <v>158.2231941902271</v>
      </c>
      <c r="T112" s="62">
        <f t="shared" si="88"/>
        <v>109.82011879787936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projet'!$B$10,Paramètres!$A$1:$I$88,3,0)*VLOOKUP('Données projet'!$B$10,Paramètres!$A$1:$I$88,5,0)</f>
        <v>2.6602720026858149E-14</v>
      </c>
      <c r="AK112" s="14">
        <f t="shared" si="89"/>
        <v>4.6624771586320878E-13</v>
      </c>
      <c r="AL112" s="22">
        <f t="shared" si="58"/>
        <v>8.583811758418665E-13</v>
      </c>
      <c r="AM112" s="62">
        <f t="shared" si="59"/>
        <v>279.72532035259013</v>
      </c>
      <c r="AN112" s="62">
        <f ca="1">AVERAGE(OFFSET($AM$3,0,0,'Données projet'!$E$10+1,1))-AVERAGE(OFFSET($H$3,0,0,'Données projet'!$E$10+1,1))</f>
        <v>188.94867378904664</v>
      </c>
      <c r="AO112" s="62">
        <f t="shared" si="90"/>
        <v>242.84781402593833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3.2148005828106236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1.9954334533208617E-11</v>
      </c>
      <c r="AX112" s="23">
        <f t="shared" si="60"/>
        <v>3.2148005828305779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projet'!$B$11,Paramètres!$A$1:$I$88,3,0)*0.475*44/12</f>
        <v>#N/A</v>
      </c>
      <c r="BQ112" s="23" t="e">
        <f>EXP(-LN(2)/25)*BQ111+(1-EXP(-LN(2)/25))/(LN(2)/25)*Calculateur!BL112*Calculateur!BN112*VLOOKUP('Données projet'!$B$11,Paramètres!$A$1:$I$88,3,0)*0.475*44/12</f>
        <v>#N/A</v>
      </c>
      <c r="BR112" s="23" t="e">
        <f>EXP(-LN(2)/2)*BR111+(1-EXP(-LN(2)/2))/(LN(2)/2)*BL112*BO112*VLOOKUP('Données projet'!$B$11,Paramètres!$A$1:$I$88,3,0)*0.475*44/12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116</v>
      </c>
      <c r="L113" s="13">
        <f>VLOOKUP(A113,'Données projet'!$A$35:$I$55,9,0)</f>
        <v>5.4421052631578952</v>
      </c>
      <c r="M113" s="13">
        <f t="array" ref="M113">INDEX(L:L,MIN(IF(ISNUMBER(L113:L309),ROW(L113:L309),"")))</f>
        <v>5.4421052631578952</v>
      </c>
      <c r="N113" s="14">
        <f>IF('Données projet'!$A$36&gt;35,N112+M113-V112,IF(A113&lt;'Données projet'!$A$36,$K$205^A113,IF(A113='Données projet'!$A$36,'Données projet'!$B$36,N112+M113-V112)))</f>
        <v>116.00000000000003</v>
      </c>
      <c r="O113" s="14">
        <f>N113*VLOOKUP('Données projet'!$B$9,Paramètres!$A$1:$I$88,3,0)*VLOOKUP('Données projet'!$B$9,Paramètres!$A$1:$I$88,5,0)</f>
        <v>104.95680000000003</v>
      </c>
      <c r="P113" s="14">
        <f t="shared" si="87"/>
        <v>28.139541339232398</v>
      </c>
      <c r="Q113" s="22">
        <f t="shared" si="107"/>
        <v>231.80946116582979</v>
      </c>
      <c r="R113" s="62">
        <f t="shared" si="55"/>
        <v>511.77085012067562</v>
      </c>
      <c r="S113" s="62">
        <f ca="1">AVERAGE(OFFSET($R$3,0,0,'Données projet'!$E$9+1,1))-AVERAGE(OFFSET($H$3,0,0,'Données projet'!$E$9+1,1))</f>
        <v>158.2231941902271</v>
      </c>
      <c r="T113" s="62">
        <f t="shared" si="88"/>
        <v>109.82011879787936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116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projet'!$B$10,Paramètres!$A$1:$I$88,3,0)*VLOOKUP('Données projet'!$B$10,Paramètres!$A$1:$I$88,5,0)</f>
        <v>2.6602720026858149E-14</v>
      </c>
      <c r="AK113" s="14">
        <f t="shared" si="89"/>
        <v>4.6624771586320878E-13</v>
      </c>
      <c r="AL113" s="22">
        <f t="shared" si="58"/>
        <v>8.583811758418665E-13</v>
      </c>
      <c r="AM113" s="62">
        <f t="shared" si="59"/>
        <v>279.96138895484671</v>
      </c>
      <c r="AN113" s="62">
        <f ca="1">AVERAGE(OFFSET($AM$3,0,0,'Données projet'!$E$10+1,1))-AVERAGE(OFFSET($H$3,0,0,'Données projet'!$E$10+1,1))</f>
        <v>188.94867378904664</v>
      </c>
      <c r="AO113" s="62">
        <f t="shared" si="90"/>
        <v>242.84781402593833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3.1517603042164466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1.4109845262496715E-11</v>
      </c>
      <c r="AX113" s="23">
        <f t="shared" si="60"/>
        <v>3.1517603042305566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projet'!$B$11,Paramètres!$A$1:$I$88,3,0)*0.475*44/12</f>
        <v>#N/A</v>
      </c>
      <c r="BQ113" s="23" t="e">
        <f>EXP(-LN(2)/25)*BQ112+(1-EXP(-LN(2)/25))/(LN(2)/25)*Calculateur!BL113*Calculateur!BN113*VLOOKUP('Données projet'!$B$11,Paramètres!$A$1:$I$88,3,0)*0.475*44/12</f>
        <v>#N/A</v>
      </c>
      <c r="BR113" s="23" t="e">
        <f>EXP(-LN(2)/2)*BR112+(1-EXP(-LN(2)/2))/(LN(2)/2)*BL113*BO113*VLOOKUP('Données projet'!$B$11,Paramètres!$A$1:$I$88,3,0)*0.475*44/12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2.8421709430404007E-14</v>
      </c>
      <c r="O114" s="14">
        <f>N114*VLOOKUP('Données projet'!$B$9,Paramètres!$A$1:$I$88,3,0)*VLOOKUP('Données projet'!$B$9,Paramètres!$A$1:$I$88,5,0)</f>
        <v>2.5715962692629544E-14</v>
      </c>
      <c r="P114" s="14">
        <f t="shared" si="87"/>
        <v>4.5248818890525812E-13</v>
      </c>
      <c r="Q114" s="22">
        <f t="shared" si="107"/>
        <v>8.3287223069965432E-13</v>
      </c>
      <c r="R114" s="62">
        <f t="shared" si="55"/>
        <v>280.19336229462442</v>
      </c>
      <c r="S114" s="62">
        <f ca="1">AVERAGE(OFFSET($R$3,0,0,'Données projet'!$E$9+1,1))-AVERAGE(OFFSET($H$3,0,0,'Données projet'!$E$9+1,1))</f>
        <v>158.2231941902271</v>
      </c>
      <c r="T114" s="62">
        <f t="shared" si="88"/>
        <v>109.82011879787936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projet'!$B$10,Paramètres!$A$1:$I$88,3,0)*VLOOKUP('Données projet'!$B$10,Paramètres!$A$1:$I$88,5,0)</f>
        <v>2.6602720026858149E-14</v>
      </c>
      <c r="AK114" s="14">
        <f t="shared" si="89"/>
        <v>4.6624771586320878E-13</v>
      </c>
      <c r="AL114" s="22">
        <f t="shared" si="58"/>
        <v>8.583811758418665E-13</v>
      </c>
      <c r="AM114" s="62">
        <f t="shared" si="59"/>
        <v>280.19336229462442</v>
      </c>
      <c r="AN114" s="62">
        <f ca="1">AVERAGE(OFFSET($AM$3,0,0,'Données projet'!$E$10+1,1))-AVERAGE(OFFSET($H$3,0,0,'Données projet'!$E$10+1,1))</f>
        <v>188.94867378904664</v>
      </c>
      <c r="AO114" s="62">
        <f t="shared" si="90"/>
        <v>242.84781402593833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3.089956207034728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9.9771672666043103E-12</v>
      </c>
      <c r="AX114" s="23">
        <f t="shared" si="60"/>
        <v>3.0899562070447053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projet'!$B$11,Paramètres!$A$1:$I$88,3,0)*0.475*44/12</f>
        <v>#N/A</v>
      </c>
      <c r="BQ114" s="23" t="e">
        <f>EXP(-LN(2)/25)*BQ113+(1-EXP(-LN(2)/25))/(LN(2)/25)*Calculateur!BL114*Calculateur!BN114*VLOOKUP('Données projet'!$B$11,Paramètres!$A$1:$I$88,3,0)*0.475*44/12</f>
        <v>#N/A</v>
      </c>
      <c r="BR114" s="23" t="e">
        <f>EXP(-LN(2)/2)*BR113+(1-EXP(-LN(2)/2))/(LN(2)/2)*BL114*BO114*VLOOKUP('Données projet'!$B$11,Paramètres!$A$1:$I$88,3,0)*0.475*44/12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2.8421709430404007E-14</v>
      </c>
      <c r="O115" s="14">
        <f>N115*VLOOKUP('Données projet'!$B$9,Paramètres!$A$1:$I$88,3,0)*VLOOKUP('Données projet'!$B$9,Paramètres!$A$1:$I$88,5,0)</f>
        <v>2.5715962692629544E-14</v>
      </c>
      <c r="P115" s="14">
        <f t="shared" si="87"/>
        <v>4.5248818890525812E-13</v>
      </c>
      <c r="Q115" s="22">
        <f t="shared" si="107"/>
        <v>8.3287223069965432E-13</v>
      </c>
      <c r="R115" s="62">
        <f t="shared" si="55"/>
        <v>280.42131141557172</v>
      </c>
      <c r="S115" s="62">
        <f ca="1">AVERAGE(OFFSET($R$3,0,0,'Données projet'!$E$9+1,1))-AVERAGE(OFFSET($H$3,0,0,'Données projet'!$E$9+1,1))</f>
        <v>158.2231941902271</v>
      </c>
      <c r="T115" s="62">
        <f t="shared" si="88"/>
        <v>109.82011879787936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projet'!$B$10,Paramètres!$A$1:$I$88,3,0)*VLOOKUP('Données projet'!$B$10,Paramètres!$A$1:$I$88,5,0)</f>
        <v>2.6602720026858149E-14</v>
      </c>
      <c r="AK115" s="14">
        <f t="shared" si="89"/>
        <v>4.6624771586320878E-13</v>
      </c>
      <c r="AL115" s="22">
        <f t="shared" si="58"/>
        <v>8.583811758418665E-13</v>
      </c>
      <c r="AM115" s="62">
        <f t="shared" si="59"/>
        <v>280.42131141557172</v>
      </c>
      <c r="AN115" s="62">
        <f ca="1">AVERAGE(OFFSET($AM$3,0,0,'Données projet'!$E$10+1,1))-AVERAGE(OFFSET($H$3,0,0,'Données projet'!$E$10+1,1))</f>
        <v>188.94867378904664</v>
      </c>
      <c r="AO115" s="62">
        <f t="shared" si="90"/>
        <v>242.84781402593833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3.0293640505019659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7.0549226312483591E-12</v>
      </c>
      <c r="AX115" s="23">
        <f t="shared" si="60"/>
        <v>3.0293640505090207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projet'!$B$11,Paramètres!$A$1:$I$88,3,0)*0.475*44/12</f>
        <v>#N/A</v>
      </c>
      <c r="BQ115" s="23" t="e">
        <f>EXP(-LN(2)/25)*BQ114+(1-EXP(-LN(2)/25))/(LN(2)/25)*Calculateur!BL115*Calculateur!BN115*VLOOKUP('Données projet'!$B$11,Paramètres!$A$1:$I$88,3,0)*0.475*44/12</f>
        <v>#N/A</v>
      </c>
      <c r="BR115" s="23" t="e">
        <f>EXP(-LN(2)/2)*BR114+(1-EXP(-LN(2)/2))/(LN(2)/2)*BL115*BO115*VLOOKUP('Données projet'!$B$11,Paramètres!$A$1:$I$88,3,0)*0.475*44/12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2.8421709430404007E-14</v>
      </c>
      <c r="O116" s="14">
        <f>N116*VLOOKUP('Données projet'!$B$9,Paramètres!$A$1:$I$88,3,0)*VLOOKUP('Données projet'!$B$9,Paramètres!$A$1:$I$88,5,0)</f>
        <v>2.5715962692629544E-14</v>
      </c>
      <c r="P116" s="14">
        <f t="shared" si="87"/>
        <v>4.5248818890525812E-13</v>
      </c>
      <c r="Q116" s="22">
        <f t="shared" si="107"/>
        <v>8.3287223069965432E-13</v>
      </c>
      <c r="R116" s="62">
        <f t="shared" si="55"/>
        <v>280.64530612888848</v>
      </c>
      <c r="S116" s="62">
        <f ca="1">AVERAGE(OFFSET($R$3,0,0,'Données projet'!$E$9+1,1))-AVERAGE(OFFSET($H$3,0,0,'Données projet'!$E$9+1,1))</f>
        <v>158.2231941902271</v>
      </c>
      <c r="T116" s="62">
        <f t="shared" si="88"/>
        <v>109.82011879787936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projet'!$B$10,Paramètres!$A$1:$I$88,3,0)*VLOOKUP('Données projet'!$B$10,Paramètres!$A$1:$I$88,5,0)</f>
        <v>2.6602720026858149E-14</v>
      </c>
      <c r="AK116" s="14">
        <f t="shared" si="89"/>
        <v>4.6624771586320878E-13</v>
      </c>
      <c r="AL116" s="22">
        <f t="shared" si="58"/>
        <v>8.583811758418665E-13</v>
      </c>
      <c r="AM116" s="62">
        <f t="shared" si="59"/>
        <v>280.64530612888848</v>
      </c>
      <c r="AN116" s="62">
        <f ca="1">AVERAGE(OFFSET($AM$3,0,0,'Données projet'!$E$10+1,1))-AVERAGE(OFFSET($H$3,0,0,'Données projet'!$E$10+1,1))</f>
        <v>188.94867378904664</v>
      </c>
      <c r="AO116" s="62">
        <f t="shared" si="90"/>
        <v>242.84781402593833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2.9699600692012451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4.9885836333021559E-12</v>
      </c>
      <c r="AX116" s="23">
        <f t="shared" si="60"/>
        <v>2.9699600692062336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projet'!$B$11,Paramètres!$A$1:$I$88,3,0)*0.475*44/12</f>
        <v>#N/A</v>
      </c>
      <c r="BQ116" s="23" t="e">
        <f>EXP(-LN(2)/25)*BQ115+(1-EXP(-LN(2)/25))/(LN(2)/25)*Calculateur!BL116*Calculateur!BN116*VLOOKUP('Données projet'!$B$11,Paramètres!$A$1:$I$88,3,0)*0.475*44/12</f>
        <v>#N/A</v>
      </c>
      <c r="BR116" s="23" t="e">
        <f>EXP(-LN(2)/2)*BR115+(1-EXP(-LN(2)/2))/(LN(2)/2)*BL116*BO116*VLOOKUP('Données projet'!$B$11,Paramètres!$A$1:$I$88,3,0)*0.475*44/12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2.8421709430404007E-14</v>
      </c>
      <c r="O117" s="14">
        <f>N117*VLOOKUP('Données projet'!$B$9,Paramètres!$A$1:$I$88,3,0)*VLOOKUP('Données projet'!$B$9,Paramètres!$A$1:$I$88,5,0)</f>
        <v>2.5715962692629544E-14</v>
      </c>
      <c r="P117" s="14">
        <f t="shared" si="87"/>
        <v>4.5248818890525812E-13</v>
      </c>
      <c r="Q117" s="22">
        <f t="shared" si="107"/>
        <v>8.3287223069965432E-13</v>
      </c>
      <c r="R117" s="62">
        <f t="shared" si="55"/>
        <v>280.8654150347063</v>
      </c>
      <c r="S117" s="62">
        <f ca="1">AVERAGE(OFFSET($R$3,0,0,'Données projet'!$E$9+1,1))-AVERAGE(OFFSET($H$3,0,0,'Données projet'!$E$9+1,1))</f>
        <v>158.2231941902271</v>
      </c>
      <c r="T117" s="62">
        <f t="shared" si="88"/>
        <v>109.82011879787936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projet'!$B$10,Paramètres!$A$1:$I$88,3,0)*VLOOKUP('Données projet'!$B$10,Paramètres!$A$1:$I$88,5,0)</f>
        <v>2.6602720026858149E-14</v>
      </c>
      <c r="AK117" s="14">
        <f t="shared" si="89"/>
        <v>4.6624771586320878E-13</v>
      </c>
      <c r="AL117" s="22">
        <f t="shared" si="58"/>
        <v>8.583811758418665E-13</v>
      </c>
      <c r="AM117" s="62">
        <f t="shared" si="59"/>
        <v>280.8654150347063</v>
      </c>
      <c r="AN117" s="62">
        <f ca="1">AVERAGE(OFFSET($AM$3,0,0,'Données projet'!$E$10+1,1))-AVERAGE(OFFSET($H$3,0,0,'Données projet'!$E$10+1,1))</f>
        <v>188.94867378904664</v>
      </c>
      <c r="AO117" s="62">
        <f t="shared" si="90"/>
        <v>242.84781402593833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2.9117209637409807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3.5274613156241799E-12</v>
      </c>
      <c r="AX117" s="23">
        <f t="shared" si="60"/>
        <v>2.9117209637445081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projet'!$B$11,Paramètres!$A$1:$I$88,3,0)*0.475*44/12</f>
        <v>#N/A</v>
      </c>
      <c r="BQ117" s="23" t="e">
        <f>EXP(-LN(2)/25)*BQ116+(1-EXP(-LN(2)/25))/(LN(2)/25)*Calculateur!BL117*Calculateur!BN117*VLOOKUP('Données projet'!$B$11,Paramètres!$A$1:$I$88,3,0)*0.475*44/12</f>
        <v>#N/A</v>
      </c>
      <c r="BR117" s="23" t="e">
        <f>EXP(-LN(2)/2)*BR116+(1-EXP(-LN(2)/2))/(LN(2)/2)*BL117*BO117*VLOOKUP('Données projet'!$B$11,Paramètres!$A$1:$I$88,3,0)*0.475*44/12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2.8421709430404007E-14</v>
      </c>
      <c r="O118" s="14">
        <f>N118*VLOOKUP('Données projet'!$B$9,Paramètres!$A$1:$I$88,3,0)*VLOOKUP('Données projet'!$B$9,Paramètres!$A$1:$I$88,5,0)</f>
        <v>2.5715962692629544E-14</v>
      </c>
      <c r="P118" s="14">
        <f t="shared" si="87"/>
        <v>4.5248818890525812E-13</v>
      </c>
      <c r="Q118" s="22">
        <f t="shared" si="107"/>
        <v>8.3287223069965432E-13</v>
      </c>
      <c r="R118" s="62">
        <f t="shared" si="55"/>
        <v>281.08170554309811</v>
      </c>
      <c r="S118" s="62">
        <f ca="1">AVERAGE(OFFSET($R$3,0,0,'Données projet'!$E$9+1,1))-AVERAGE(OFFSET($H$3,0,0,'Données projet'!$E$9+1,1))</f>
        <v>158.2231941902271</v>
      </c>
      <c r="T118" s="62">
        <f t="shared" si="88"/>
        <v>109.82011879787936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projet'!$B$10,Paramètres!$A$1:$I$88,3,0)*VLOOKUP('Données projet'!$B$10,Paramètres!$A$1:$I$88,5,0)</f>
        <v>2.6602720026858149E-14</v>
      </c>
      <c r="AK118" s="14">
        <f t="shared" si="89"/>
        <v>4.6624771586320878E-13</v>
      </c>
      <c r="AL118" s="22">
        <f t="shared" si="58"/>
        <v>8.583811758418665E-13</v>
      </c>
      <c r="AM118" s="62">
        <f t="shared" si="59"/>
        <v>281.08170554309811</v>
      </c>
      <c r="AN118" s="62">
        <f ca="1">AVERAGE(OFFSET($AM$3,0,0,'Données projet'!$E$10+1,1))-AVERAGE(OFFSET($H$3,0,0,'Données projet'!$E$10+1,1))</f>
        <v>188.94867378904664</v>
      </c>
      <c r="AO118" s="62">
        <f t="shared" si="90"/>
        <v>242.84781402593833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2.8546238916164448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2.4942918166510784E-12</v>
      </c>
      <c r="AX118" s="23">
        <f t="shared" si="60"/>
        <v>2.8546238916189393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projet'!$B$11,Paramètres!$A$1:$I$88,3,0)*0.475*44/12</f>
        <v>#N/A</v>
      </c>
      <c r="BQ118" s="23" t="e">
        <f>EXP(-LN(2)/25)*BQ117+(1-EXP(-LN(2)/25))/(LN(2)/25)*Calculateur!BL118*Calculateur!BN118*VLOOKUP('Données projet'!$B$11,Paramètres!$A$1:$I$88,3,0)*0.475*44/12</f>
        <v>#N/A</v>
      </c>
      <c r="BR118" s="23" t="e">
        <f>EXP(-LN(2)/2)*BR117+(1-EXP(-LN(2)/2))/(LN(2)/2)*BL118*BO118*VLOOKUP('Données projet'!$B$11,Paramètres!$A$1:$I$88,3,0)*0.475*44/12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2.8421709430404007E-14</v>
      </c>
      <c r="O119" s="14">
        <f>N119*VLOOKUP('Données projet'!$B$9,Paramètres!$A$1:$I$88,3,0)*VLOOKUP('Données projet'!$B$9,Paramètres!$A$1:$I$88,5,0)</f>
        <v>2.5715962692629544E-14</v>
      </c>
      <c r="P119" s="14">
        <f t="shared" si="87"/>
        <v>4.5248818890525812E-13</v>
      </c>
      <c r="Q119" s="22">
        <f t="shared" si="107"/>
        <v>8.3287223069965432E-13</v>
      </c>
      <c r="R119" s="62">
        <f t="shared" si="55"/>
        <v>281.29424389472234</v>
      </c>
      <c r="S119" s="62">
        <f ca="1">AVERAGE(OFFSET($R$3,0,0,'Données projet'!$E$9+1,1))-AVERAGE(OFFSET($H$3,0,0,'Données projet'!$E$9+1,1))</f>
        <v>158.2231941902271</v>
      </c>
      <c r="T119" s="62">
        <f t="shared" si="88"/>
        <v>109.82011879787936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projet'!$B$10,Paramètres!$A$1:$I$88,3,0)*VLOOKUP('Données projet'!$B$10,Paramètres!$A$1:$I$88,5,0)</f>
        <v>2.6602720026858149E-14</v>
      </c>
      <c r="AK119" s="14">
        <f t="shared" si="89"/>
        <v>4.6624771586320878E-13</v>
      </c>
      <c r="AL119" s="22">
        <f t="shared" si="58"/>
        <v>8.583811758418665E-13</v>
      </c>
      <c r="AM119" s="62">
        <f t="shared" si="59"/>
        <v>281.29424389472234</v>
      </c>
      <c r="AN119" s="62">
        <f ca="1">AVERAGE(OFFSET($AM$3,0,0,'Données projet'!$E$10+1,1))-AVERAGE(OFFSET($H$3,0,0,'Données projet'!$E$10+1,1))</f>
        <v>188.94867378904664</v>
      </c>
      <c r="AO119" s="62">
        <f t="shared" si="90"/>
        <v>242.84781402593833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2.798646458250496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1.7637306578120904E-12</v>
      </c>
      <c r="AX119" s="23">
        <f t="shared" si="60"/>
        <v>2.7986464582522599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projet'!$B$11,Paramètres!$A$1:$I$88,3,0)*0.475*44/12</f>
        <v>#N/A</v>
      </c>
      <c r="BQ119" s="23" t="e">
        <f>EXP(-LN(2)/25)*BQ118+(1-EXP(-LN(2)/25))/(LN(2)/25)*Calculateur!BL119*Calculateur!BN119*VLOOKUP('Données projet'!$B$11,Paramètres!$A$1:$I$88,3,0)*0.475*44/12</f>
        <v>#N/A</v>
      </c>
      <c r="BR119" s="23" t="e">
        <f>EXP(-LN(2)/2)*BR118+(1-EXP(-LN(2)/2))/(LN(2)/2)*BL119*BO119*VLOOKUP('Données projet'!$B$11,Paramètres!$A$1:$I$88,3,0)*0.475*44/12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2.8421709430404007E-14</v>
      </c>
      <c r="O120" s="14">
        <f>N120*VLOOKUP('Données projet'!$B$9,Paramètres!$A$1:$I$88,3,0)*VLOOKUP('Données projet'!$B$9,Paramètres!$A$1:$I$88,5,0)</f>
        <v>2.5715962692629544E-14</v>
      </c>
      <c r="P120" s="14">
        <f t="shared" si="87"/>
        <v>4.5248818890525812E-13</v>
      </c>
      <c r="Q120" s="22">
        <f t="shared" si="107"/>
        <v>8.3287223069965432E-13</v>
      </c>
      <c r="R120" s="62">
        <f t="shared" si="55"/>
        <v>281.5030951811105</v>
      </c>
      <c r="S120" s="62">
        <f ca="1">AVERAGE(OFFSET($R$3,0,0,'Données projet'!$E$9+1,1))-AVERAGE(OFFSET($H$3,0,0,'Données projet'!$E$9+1,1))</f>
        <v>158.2231941902271</v>
      </c>
      <c r="T120" s="62">
        <f t="shared" si="88"/>
        <v>109.82011879787936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projet'!$B$10,Paramètres!$A$1:$I$88,3,0)*VLOOKUP('Données projet'!$B$10,Paramètres!$A$1:$I$88,5,0)</f>
        <v>2.6602720026858149E-14</v>
      </c>
      <c r="AK120" s="14">
        <f t="shared" si="89"/>
        <v>4.6624771586320878E-13</v>
      </c>
      <c r="AL120" s="22">
        <f t="shared" si="58"/>
        <v>8.583811758418665E-13</v>
      </c>
      <c r="AM120" s="62">
        <f t="shared" si="59"/>
        <v>281.5030951811105</v>
      </c>
      <c r="AN120" s="62">
        <f ca="1">AVERAGE(OFFSET($AM$3,0,0,'Données projet'!$E$10+1,1))-AVERAGE(OFFSET($H$3,0,0,'Données projet'!$E$10+1,1))</f>
        <v>188.94867378904664</v>
      </c>
      <c r="AO120" s="62">
        <f t="shared" si="90"/>
        <v>242.84781402593833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2.7437667082099906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1.2471459083255394E-12</v>
      </c>
      <c r="AX120" s="23">
        <f t="shared" si="60"/>
        <v>2.7437667082112376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projet'!$B$11,Paramètres!$A$1:$I$88,3,0)*0.475*44/12</f>
        <v>#N/A</v>
      </c>
      <c r="BQ120" s="23" t="e">
        <f>EXP(-LN(2)/25)*BQ119+(1-EXP(-LN(2)/25))/(LN(2)/25)*Calculateur!BL120*Calculateur!BN120*VLOOKUP('Données projet'!$B$11,Paramètres!$A$1:$I$88,3,0)*0.475*44/12</f>
        <v>#N/A</v>
      </c>
      <c r="BR120" s="23" t="e">
        <f>EXP(-LN(2)/2)*BR119+(1-EXP(-LN(2)/2))/(LN(2)/2)*BL120*BO120*VLOOKUP('Données projet'!$B$11,Paramètres!$A$1:$I$88,3,0)*0.475*44/12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2.8421709430404007E-14</v>
      </c>
      <c r="O121" s="14">
        <f>N121*VLOOKUP('Données projet'!$B$9,Paramètres!$A$1:$I$88,3,0)*VLOOKUP('Données projet'!$B$9,Paramètres!$A$1:$I$88,5,0)</f>
        <v>2.5715962692629544E-14</v>
      </c>
      <c r="P121" s="14">
        <f t="shared" si="87"/>
        <v>4.5248818890525812E-13</v>
      </c>
      <c r="Q121" s="22">
        <f t="shared" si="107"/>
        <v>8.3287223069965432E-13</v>
      </c>
      <c r="R121" s="62">
        <f t="shared" si="55"/>
        <v>281.70832336460126</v>
      </c>
      <c r="S121" s="62">
        <f ca="1">AVERAGE(OFFSET($R$3,0,0,'Données projet'!$E$9+1,1))-AVERAGE(OFFSET($H$3,0,0,'Données projet'!$E$9+1,1))</f>
        <v>158.2231941902271</v>
      </c>
      <c r="T121" s="62">
        <f t="shared" si="88"/>
        <v>109.82011879787936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projet'!$B$10,Paramètres!$A$1:$I$88,3,0)*VLOOKUP('Données projet'!$B$10,Paramètres!$A$1:$I$88,5,0)</f>
        <v>2.6602720026858149E-14</v>
      </c>
      <c r="AK121" s="14">
        <f t="shared" si="89"/>
        <v>4.6624771586320878E-13</v>
      </c>
      <c r="AL121" s="22">
        <f t="shared" si="58"/>
        <v>8.583811758418665E-13</v>
      </c>
      <c r="AM121" s="62">
        <f t="shared" si="59"/>
        <v>281.70832336460126</v>
      </c>
      <c r="AN121" s="62">
        <f ca="1">AVERAGE(OFFSET($AM$3,0,0,'Données projet'!$E$10+1,1))-AVERAGE(OFFSET($H$3,0,0,'Données projet'!$E$10+1,1))</f>
        <v>188.94867378904664</v>
      </c>
      <c r="AO121" s="62">
        <f t="shared" si="90"/>
        <v>242.84781402593833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2.6899631165944369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8.8186532890604529E-13</v>
      </c>
      <c r="AX121" s="23">
        <f t="shared" si="60"/>
        <v>2.6899631165953188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projet'!$B$11,Paramètres!$A$1:$I$88,3,0)*0.475*44/12</f>
        <v>#N/A</v>
      </c>
      <c r="BQ121" s="23" t="e">
        <f>EXP(-LN(2)/25)*BQ120+(1-EXP(-LN(2)/25))/(LN(2)/25)*Calculateur!BL121*Calculateur!BN121*VLOOKUP('Données projet'!$B$11,Paramètres!$A$1:$I$88,3,0)*0.475*44/12</f>
        <v>#N/A</v>
      </c>
      <c r="BR121" s="23" t="e">
        <f>EXP(-LN(2)/2)*BR120+(1-EXP(-LN(2)/2))/(LN(2)/2)*BL121*BO121*VLOOKUP('Données projet'!$B$11,Paramètres!$A$1:$I$88,3,0)*0.475*44/12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2.8421709430404007E-14</v>
      </c>
      <c r="O122" s="14">
        <f>N122*VLOOKUP('Données projet'!$B$9,Paramètres!$A$1:$I$88,3,0)*VLOOKUP('Données projet'!$B$9,Paramètres!$A$1:$I$88,5,0)</f>
        <v>2.5715962692629544E-14</v>
      </c>
      <c r="P122" s="14">
        <f t="shared" si="87"/>
        <v>4.5248818890525812E-13</v>
      </c>
      <c r="Q122" s="22">
        <f t="shared" si="107"/>
        <v>8.3287223069965432E-13</v>
      </c>
      <c r="R122" s="62">
        <f t="shared" si="55"/>
        <v>281.90999129792999</v>
      </c>
      <c r="S122" s="62">
        <f ca="1">AVERAGE(OFFSET($R$3,0,0,'Données projet'!$E$9+1,1))-AVERAGE(OFFSET($H$3,0,0,'Données projet'!$E$9+1,1))</f>
        <v>158.2231941902271</v>
      </c>
      <c r="T122" s="62">
        <f t="shared" si="88"/>
        <v>109.82011879787936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projet'!$B$10,Paramètres!$A$1:$I$88,3,0)*VLOOKUP('Données projet'!$B$10,Paramètres!$A$1:$I$88,5,0)</f>
        <v>2.6602720026858149E-14</v>
      </c>
      <c r="AK122" s="14">
        <f t="shared" si="89"/>
        <v>4.6624771586320878E-13</v>
      </c>
      <c r="AL122" s="22">
        <f t="shared" si="58"/>
        <v>8.583811758418665E-13</v>
      </c>
      <c r="AM122" s="62">
        <f t="shared" si="59"/>
        <v>281.90999129792999</v>
      </c>
      <c r="AN122" s="62">
        <f ca="1">AVERAGE(OFFSET($AM$3,0,0,'Données projet'!$E$10+1,1))-AVERAGE(OFFSET($H$3,0,0,'Données projet'!$E$10+1,1))</f>
        <v>188.94867378904664</v>
      </c>
      <c r="AO122" s="62">
        <f t="shared" si="90"/>
        <v>242.84781402593833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2.6372145805935139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6.235729541627698E-13</v>
      </c>
      <c r="AX122" s="23">
        <f t="shared" si="60"/>
        <v>2.6372145805941374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projet'!$B$11,Paramètres!$A$1:$I$88,3,0)*0.475*44/12</f>
        <v>#N/A</v>
      </c>
      <c r="BQ122" s="23" t="e">
        <f>EXP(-LN(2)/25)*BQ121+(1-EXP(-LN(2)/25))/(LN(2)/25)*Calculateur!BL122*Calculateur!BN122*VLOOKUP('Données projet'!$B$11,Paramètres!$A$1:$I$88,3,0)*0.475*44/12</f>
        <v>#N/A</v>
      </c>
      <c r="BR122" s="23" t="e">
        <f>EXP(-LN(2)/2)*BR121+(1-EXP(-LN(2)/2))/(LN(2)/2)*BL122*BO122*VLOOKUP('Données projet'!$B$11,Paramètres!$A$1:$I$88,3,0)*0.475*44/12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2.8421709430404007E-14</v>
      </c>
      <c r="O123" s="14">
        <f>N123*VLOOKUP('Données projet'!$B$9,Paramètres!$A$1:$I$88,3,0)*VLOOKUP('Données projet'!$B$9,Paramètres!$A$1:$I$88,5,0)</f>
        <v>2.5715962692629544E-14</v>
      </c>
      <c r="P123" s="14">
        <f t="shared" si="87"/>
        <v>4.5248818890525812E-13</v>
      </c>
      <c r="Q123" s="22">
        <f t="shared" si="107"/>
        <v>8.3287223069965432E-13</v>
      </c>
      <c r="R123" s="62">
        <f t="shared" si="55"/>
        <v>282.10816074347747</v>
      </c>
      <c r="S123" s="62">
        <f ca="1">AVERAGE(OFFSET($R$3,0,0,'Données projet'!$E$9+1,1))-AVERAGE(OFFSET($H$3,0,0,'Données projet'!$E$9+1,1))</f>
        <v>158.2231941902271</v>
      </c>
      <c r="T123" s="62">
        <f t="shared" si="88"/>
        <v>109.82011879787936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projet'!$B$10,Paramètres!$A$1:$I$88,3,0)*VLOOKUP('Données projet'!$B$10,Paramètres!$A$1:$I$88,5,0)</f>
        <v>2.6602720026858149E-14</v>
      </c>
      <c r="AK123" s="14">
        <f t="shared" si="89"/>
        <v>4.6624771586320878E-13</v>
      </c>
      <c r="AL123" s="22">
        <f t="shared" si="58"/>
        <v>8.583811758418665E-13</v>
      </c>
      <c r="AM123" s="62">
        <f t="shared" si="59"/>
        <v>282.10816074347747</v>
      </c>
      <c r="AN123" s="62">
        <f ca="1">AVERAGE(OFFSET($AM$3,0,0,'Données projet'!$E$10+1,1))-AVERAGE(OFFSET($H$3,0,0,'Données projet'!$E$10+1,1))</f>
        <v>188.94867378904664</v>
      </c>
      <c r="AO123" s="62">
        <f t="shared" si="90"/>
        <v>242.84781402593833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2.585500411210139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4.4093266445302274E-13</v>
      </c>
      <c r="AX123" s="23">
        <f t="shared" si="60"/>
        <v>2.5855004112105799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projet'!$B$11,Paramètres!$A$1:$I$88,3,0)*0.475*44/12</f>
        <v>#N/A</v>
      </c>
      <c r="BQ123" s="23" t="e">
        <f>EXP(-LN(2)/25)*BQ122+(1-EXP(-LN(2)/25))/(LN(2)/25)*Calculateur!BL123*Calculateur!BN123*VLOOKUP('Données projet'!$B$11,Paramètres!$A$1:$I$88,3,0)*0.475*44/12</f>
        <v>#N/A</v>
      </c>
      <c r="BR123" s="23" t="e">
        <f>EXP(-LN(2)/2)*BR122+(1-EXP(-LN(2)/2))/(LN(2)/2)*BL123*BO123*VLOOKUP('Données projet'!$B$11,Paramètres!$A$1:$I$88,3,0)*0.475*44/12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2.8421709430404007E-14</v>
      </c>
      <c r="O124" s="14">
        <f>N124*VLOOKUP('Données projet'!$B$9,Paramètres!$A$1:$I$88,3,0)*VLOOKUP('Données projet'!$B$9,Paramètres!$A$1:$I$88,5,0)</f>
        <v>2.5715962692629544E-14</v>
      </c>
      <c r="P124" s="14">
        <f t="shared" si="87"/>
        <v>4.5248818890525812E-13</v>
      </c>
      <c r="Q124" s="22">
        <f t="shared" si="107"/>
        <v>8.3287223069965432E-13</v>
      </c>
      <c r="R124" s="62">
        <f t="shared" si="55"/>
        <v>282.30289239218524</v>
      </c>
      <c r="S124" s="62">
        <f ca="1">AVERAGE(OFFSET($R$3,0,0,'Données projet'!$E$9+1,1))-AVERAGE(OFFSET($H$3,0,0,'Données projet'!$E$9+1,1))</f>
        <v>158.2231941902271</v>
      </c>
      <c r="T124" s="62">
        <f t="shared" si="88"/>
        <v>109.82011879787936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projet'!$B$10,Paramètres!$A$1:$I$88,3,0)*VLOOKUP('Données projet'!$B$10,Paramètres!$A$1:$I$88,5,0)</f>
        <v>2.6602720026858149E-14</v>
      </c>
      <c r="AK124" s="14">
        <f t="shared" si="89"/>
        <v>4.6624771586320878E-13</v>
      </c>
      <c r="AL124" s="22">
        <f t="shared" si="58"/>
        <v>8.583811758418665E-13</v>
      </c>
      <c r="AM124" s="62">
        <f t="shared" si="59"/>
        <v>282.30289239218524</v>
      </c>
      <c r="AN124" s="62">
        <f ca="1">AVERAGE(OFFSET($AM$3,0,0,'Données projet'!$E$10+1,1))-AVERAGE(OFFSET($H$3,0,0,'Données projet'!$E$10+1,1))</f>
        <v>188.94867378904664</v>
      </c>
      <c r="AO124" s="62">
        <f t="shared" si="90"/>
        <v>242.84781402593833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2.5348003251458433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3.1178647708138495E-13</v>
      </c>
      <c r="AX124" s="23">
        <f t="shared" si="60"/>
        <v>2.5348003251461551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projet'!$B$11,Paramètres!$A$1:$I$88,3,0)*0.475*44/12</f>
        <v>#N/A</v>
      </c>
      <c r="BQ124" s="23" t="e">
        <f>EXP(-LN(2)/25)*BQ123+(1-EXP(-LN(2)/25))/(LN(2)/25)*Calculateur!BL124*Calculateur!BN124*VLOOKUP('Données projet'!$B$11,Paramètres!$A$1:$I$88,3,0)*0.475*44/12</f>
        <v>#N/A</v>
      </c>
      <c r="BR124" s="23" t="e">
        <f>EXP(-LN(2)/2)*BR123+(1-EXP(-LN(2)/2))/(LN(2)/2)*BL124*BO124*VLOOKUP('Données projet'!$B$11,Paramètres!$A$1:$I$88,3,0)*0.475*44/12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2.8421709430404007E-14</v>
      </c>
      <c r="O125" s="14">
        <f>N125*VLOOKUP('Données projet'!$B$9,Paramètres!$A$1:$I$88,3,0)*VLOOKUP('Données projet'!$B$9,Paramètres!$A$1:$I$88,5,0)</f>
        <v>2.5715962692629544E-14</v>
      </c>
      <c r="P125" s="14">
        <f t="shared" si="87"/>
        <v>4.5248818890525812E-13</v>
      </c>
      <c r="Q125" s="22">
        <f t="shared" si="107"/>
        <v>8.3287223069965432E-13</v>
      </c>
      <c r="R125" s="62">
        <f t="shared" si="55"/>
        <v>282.49424588214265</v>
      </c>
      <c r="S125" s="62">
        <f ca="1">AVERAGE(OFFSET($R$3,0,0,'Données projet'!$E$9+1,1))-AVERAGE(OFFSET($H$3,0,0,'Données projet'!$E$9+1,1))</f>
        <v>158.2231941902271</v>
      </c>
      <c r="T125" s="62">
        <f t="shared" si="88"/>
        <v>109.82011879787936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projet'!$B$10,Paramètres!$A$1:$I$88,3,0)*VLOOKUP('Données projet'!$B$10,Paramètres!$A$1:$I$88,5,0)</f>
        <v>2.6602720026858149E-14</v>
      </c>
      <c r="AK125" s="14">
        <f t="shared" si="89"/>
        <v>4.6624771586320878E-13</v>
      </c>
      <c r="AL125" s="22">
        <f t="shared" si="58"/>
        <v>8.583811758418665E-13</v>
      </c>
      <c r="AM125" s="62">
        <f t="shared" si="59"/>
        <v>282.49424588214265</v>
      </c>
      <c r="AN125" s="62">
        <f ca="1">AVERAGE(OFFSET($AM$3,0,0,'Données projet'!$E$10+1,1))-AVERAGE(OFFSET($H$3,0,0,'Données projet'!$E$10+1,1))</f>
        <v>188.94867378904664</v>
      </c>
      <c r="AO125" s="62">
        <f t="shared" si="90"/>
        <v>242.84781402593833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2.4850944368452694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2.204663322265114E-13</v>
      </c>
      <c r="AX125" s="23">
        <f t="shared" si="60"/>
        <v>2.4850944368454897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projet'!$B$11,Paramètres!$A$1:$I$88,3,0)*0.475*44/12</f>
        <v>#N/A</v>
      </c>
      <c r="BQ125" s="23" t="e">
        <f>EXP(-LN(2)/25)*BQ124+(1-EXP(-LN(2)/25))/(LN(2)/25)*Calculateur!BL125*Calculateur!BN125*VLOOKUP('Données projet'!$B$11,Paramètres!$A$1:$I$88,3,0)*0.475*44/12</f>
        <v>#N/A</v>
      </c>
      <c r="BR125" s="23" t="e">
        <f>EXP(-LN(2)/2)*BR124+(1-EXP(-LN(2)/2))/(LN(2)/2)*BL125*BO125*VLOOKUP('Données projet'!$B$11,Paramètres!$A$1:$I$88,3,0)*0.475*44/12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2.8421709430404007E-14</v>
      </c>
      <c r="O126" s="14">
        <f>N126*VLOOKUP('Données projet'!$B$9,Paramètres!$A$1:$I$88,3,0)*VLOOKUP('Données projet'!$B$9,Paramètres!$A$1:$I$88,5,0)</f>
        <v>2.5715962692629544E-14</v>
      </c>
      <c r="P126" s="14">
        <f t="shared" si="87"/>
        <v>4.5248818890525812E-13</v>
      </c>
      <c r="Q126" s="22">
        <f t="shared" si="107"/>
        <v>8.3287223069965432E-13</v>
      </c>
      <c r="R126" s="62">
        <f t="shared" si="55"/>
        <v>282.68227981685152</v>
      </c>
      <c r="S126" s="62">
        <f ca="1">AVERAGE(OFFSET($R$3,0,0,'Données projet'!$E$9+1,1))-AVERAGE(OFFSET($H$3,0,0,'Données projet'!$E$9+1,1))</f>
        <v>158.2231941902271</v>
      </c>
      <c r="T126" s="62">
        <f t="shared" si="88"/>
        <v>109.82011879787936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projet'!$B$10,Paramètres!$A$1:$I$88,3,0)*VLOOKUP('Données projet'!$B$10,Paramètres!$A$1:$I$88,5,0)</f>
        <v>2.6602720026858149E-14</v>
      </c>
      <c r="AK126" s="14">
        <f t="shared" si="89"/>
        <v>4.6624771586320878E-13</v>
      </c>
      <c r="AL126" s="22">
        <f t="shared" si="58"/>
        <v>8.583811758418665E-13</v>
      </c>
      <c r="AM126" s="62">
        <f t="shared" si="59"/>
        <v>282.68227981685152</v>
      </c>
      <c r="AN126" s="62">
        <f ca="1">AVERAGE(OFFSET($AM$3,0,0,'Données projet'!$E$10+1,1))-AVERAGE(OFFSET($H$3,0,0,'Données projet'!$E$10+1,1))</f>
        <v>188.94867378904664</v>
      </c>
      <c r="AO126" s="62">
        <f t="shared" si="90"/>
        <v>242.84781402593833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2.4363632506966715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1.558932385406925E-13</v>
      </c>
      <c r="AX126" s="23">
        <f t="shared" si="60"/>
        <v>2.4363632506968274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projet'!$B$11,Paramètres!$A$1:$I$88,3,0)*0.475*44/12</f>
        <v>#N/A</v>
      </c>
      <c r="BQ126" s="23" t="e">
        <f>EXP(-LN(2)/25)*BQ125+(1-EXP(-LN(2)/25))/(LN(2)/25)*Calculateur!BL126*Calculateur!BN126*VLOOKUP('Données projet'!$B$11,Paramètres!$A$1:$I$88,3,0)*0.475*44/12</f>
        <v>#N/A</v>
      </c>
      <c r="BR126" s="23" t="e">
        <f>EXP(-LN(2)/2)*BR125+(1-EXP(-LN(2)/2))/(LN(2)/2)*BL126*BO126*VLOOKUP('Données projet'!$B$11,Paramètres!$A$1:$I$88,3,0)*0.475*44/12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2.8421709430404007E-14</v>
      </c>
      <c r="O127" s="14">
        <f>N127*VLOOKUP('Données projet'!$B$9,Paramètres!$A$1:$I$88,3,0)*VLOOKUP('Données projet'!$B$9,Paramètres!$A$1:$I$88,5,0)</f>
        <v>2.5715962692629544E-14</v>
      </c>
      <c r="P127" s="14">
        <f t="shared" si="87"/>
        <v>4.5248818890525812E-13</v>
      </c>
      <c r="Q127" s="22">
        <f t="shared" si="107"/>
        <v>8.3287223069965432E-13</v>
      </c>
      <c r="R127" s="62">
        <f t="shared" si="55"/>
        <v>282.86705178317419</v>
      </c>
      <c r="S127" s="62">
        <f ca="1">AVERAGE(OFFSET($R$3,0,0,'Données projet'!$E$9+1,1))-AVERAGE(OFFSET($H$3,0,0,'Données projet'!$E$9+1,1))</f>
        <v>158.2231941902271</v>
      </c>
      <c r="T127" s="62">
        <f t="shared" si="88"/>
        <v>109.82011879787936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projet'!$B$10,Paramètres!$A$1:$I$88,3,0)*VLOOKUP('Données projet'!$B$10,Paramètres!$A$1:$I$88,5,0)</f>
        <v>2.6602720026858149E-14</v>
      </c>
      <c r="AK127" s="14">
        <f t="shared" si="89"/>
        <v>4.6624771586320878E-13</v>
      </c>
      <c r="AL127" s="22">
        <f t="shared" si="58"/>
        <v>8.583811758418665E-13</v>
      </c>
      <c r="AM127" s="62">
        <f t="shared" si="59"/>
        <v>282.86705178317419</v>
      </c>
      <c r="AN127" s="62">
        <f ca="1">AVERAGE(OFFSET($AM$3,0,0,'Données projet'!$E$10+1,1))-AVERAGE(OFFSET($H$3,0,0,'Données projet'!$E$10+1,1))</f>
        <v>188.94867378904664</v>
      </c>
      <c r="AO127" s="62">
        <f t="shared" si="90"/>
        <v>242.84781402593833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2.3885876533853589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1.1023316611325571E-13</v>
      </c>
      <c r="AX127" s="23">
        <f t="shared" si="60"/>
        <v>2.3885876533854691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projet'!$B$11,Paramètres!$A$1:$I$88,3,0)*0.475*44/12</f>
        <v>#N/A</v>
      </c>
      <c r="BQ127" s="23" t="e">
        <f>EXP(-LN(2)/25)*BQ126+(1-EXP(-LN(2)/25))/(LN(2)/25)*Calculateur!BL127*Calculateur!BN127*VLOOKUP('Données projet'!$B$11,Paramètres!$A$1:$I$88,3,0)*0.475*44/12</f>
        <v>#N/A</v>
      </c>
      <c r="BR127" s="23" t="e">
        <f>EXP(-LN(2)/2)*BR126+(1-EXP(-LN(2)/2))/(LN(2)/2)*BL127*BO127*VLOOKUP('Données projet'!$B$11,Paramètres!$A$1:$I$88,3,0)*0.475*44/12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2.8421709430404007E-14</v>
      </c>
      <c r="O128" s="14">
        <f>N128*VLOOKUP('Données projet'!$B$9,Paramètres!$A$1:$I$88,3,0)*VLOOKUP('Données projet'!$B$9,Paramètres!$A$1:$I$88,5,0)</f>
        <v>2.5715962692629544E-14</v>
      </c>
      <c r="P128" s="14">
        <f t="shared" si="87"/>
        <v>4.5248818890525812E-13</v>
      </c>
      <c r="Q128" s="22">
        <f t="shared" si="107"/>
        <v>8.3287223069965432E-13</v>
      </c>
      <c r="R128" s="62">
        <f t="shared" si="55"/>
        <v>283.04861836896936</v>
      </c>
      <c r="S128" s="62">
        <f ca="1">AVERAGE(OFFSET($R$3,0,0,'Données projet'!$E$9+1,1))-AVERAGE(OFFSET($H$3,0,0,'Données projet'!$E$9+1,1))</f>
        <v>158.2231941902271</v>
      </c>
      <c r="T128" s="62">
        <f t="shared" si="88"/>
        <v>109.82011879787936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projet'!$B$10,Paramètres!$A$1:$I$88,3,0)*VLOOKUP('Données projet'!$B$10,Paramètres!$A$1:$I$88,5,0)</f>
        <v>2.6602720026858149E-14</v>
      </c>
      <c r="AK128" s="14">
        <f t="shared" si="89"/>
        <v>4.6624771586320878E-13</v>
      </c>
      <c r="AL128" s="22">
        <f t="shared" si="58"/>
        <v>8.583811758418665E-13</v>
      </c>
      <c r="AM128" s="62">
        <f t="shared" si="59"/>
        <v>283.04861836896936</v>
      </c>
      <c r="AN128" s="62">
        <f ca="1">AVERAGE(OFFSET($AM$3,0,0,'Données projet'!$E$10+1,1))-AVERAGE(OFFSET($H$3,0,0,'Données projet'!$E$10+1,1))</f>
        <v>188.94867378904664</v>
      </c>
      <c r="AO128" s="62">
        <f t="shared" si="90"/>
        <v>242.84781402593833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2.3417489063970844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7.7946619270346262E-14</v>
      </c>
      <c r="AX128" s="23">
        <f t="shared" si="60"/>
        <v>2.3417489063971626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projet'!$B$11,Paramètres!$A$1:$I$88,3,0)*0.475*44/12</f>
        <v>#N/A</v>
      </c>
      <c r="BQ128" s="23" t="e">
        <f>EXP(-LN(2)/25)*BQ127+(1-EXP(-LN(2)/25))/(LN(2)/25)*Calculateur!BL128*Calculateur!BN128*VLOOKUP('Données projet'!$B$11,Paramètres!$A$1:$I$88,3,0)*0.475*44/12</f>
        <v>#N/A</v>
      </c>
      <c r="BR128" s="23" t="e">
        <f>EXP(-LN(2)/2)*BR127+(1-EXP(-LN(2)/2))/(LN(2)/2)*BL128*BO128*VLOOKUP('Données projet'!$B$11,Paramètres!$A$1:$I$88,3,0)*0.475*44/12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2.8421709430404007E-14</v>
      </c>
      <c r="O129" s="14">
        <f>N129*VLOOKUP('Données projet'!$B$9,Paramètres!$A$1:$I$88,3,0)*VLOOKUP('Données projet'!$B$9,Paramètres!$A$1:$I$88,5,0)</f>
        <v>2.5715962692629544E-14</v>
      </c>
      <c r="P129" s="14">
        <f t="shared" si="87"/>
        <v>4.5248818890525812E-13</v>
      </c>
      <c r="Q129" s="22">
        <f t="shared" si="107"/>
        <v>8.3287223069965432E-13</v>
      </c>
      <c r="R129" s="62">
        <f t="shared" si="55"/>
        <v>283.22703518042306</v>
      </c>
      <c r="S129" s="62">
        <f ca="1">AVERAGE(OFFSET($R$3,0,0,'Données projet'!$E$9+1,1))-AVERAGE(OFFSET($H$3,0,0,'Données projet'!$E$9+1,1))</f>
        <v>158.2231941902271</v>
      </c>
      <c r="T129" s="62">
        <f t="shared" si="88"/>
        <v>109.82011879787936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projet'!$B$10,Paramètres!$A$1:$I$88,3,0)*VLOOKUP('Données projet'!$B$10,Paramètres!$A$1:$I$88,5,0)</f>
        <v>2.6602720026858149E-14</v>
      </c>
      <c r="AK129" s="14">
        <f t="shared" si="89"/>
        <v>4.6624771586320878E-13</v>
      </c>
      <c r="AL129" s="22">
        <f t="shared" si="58"/>
        <v>8.583811758418665E-13</v>
      </c>
      <c r="AM129" s="62">
        <f t="shared" si="59"/>
        <v>283.22703518042306</v>
      </c>
      <c r="AN129" s="62">
        <f ca="1">AVERAGE(OFFSET($AM$3,0,0,'Données projet'!$E$10+1,1))-AVERAGE(OFFSET($H$3,0,0,'Données projet'!$E$10+1,1))</f>
        <v>188.94867378904664</v>
      </c>
      <c r="AO129" s="62">
        <f t="shared" si="90"/>
        <v>242.84781402593833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2.2958286386684352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5.5116583056627868E-14</v>
      </c>
      <c r="AX129" s="23">
        <f t="shared" si="60"/>
        <v>2.2958286386684903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projet'!$B$11,Paramètres!$A$1:$I$88,3,0)*0.475*44/12</f>
        <v>#N/A</v>
      </c>
      <c r="BQ129" s="23" t="e">
        <f>EXP(-LN(2)/25)*BQ128+(1-EXP(-LN(2)/25))/(LN(2)/25)*Calculateur!BL129*Calculateur!BN129*VLOOKUP('Données projet'!$B$11,Paramètres!$A$1:$I$88,3,0)*0.475*44/12</f>
        <v>#N/A</v>
      </c>
      <c r="BR129" s="23" t="e">
        <f>EXP(-LN(2)/2)*BR128+(1-EXP(-LN(2)/2))/(LN(2)/2)*BL129*BO129*VLOOKUP('Données projet'!$B$11,Paramètres!$A$1:$I$88,3,0)*0.475*44/12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2.8421709430404007E-14</v>
      </c>
      <c r="O130" s="14">
        <f>N130*VLOOKUP('Données projet'!$B$9,Paramètres!$A$1:$I$88,3,0)*VLOOKUP('Données projet'!$B$9,Paramètres!$A$1:$I$88,5,0)</f>
        <v>2.5715962692629544E-14</v>
      </c>
      <c r="P130" s="14">
        <f t="shared" si="87"/>
        <v>4.5248818890525812E-13</v>
      </c>
      <c r="Q130" s="22">
        <f t="shared" si="107"/>
        <v>8.3287223069965432E-13</v>
      </c>
      <c r="R130" s="62">
        <f t="shared" si="55"/>
        <v>283.40235685907828</v>
      </c>
      <c r="S130" s="62">
        <f ca="1">AVERAGE(OFFSET($R$3,0,0,'Données projet'!$E$9+1,1))-AVERAGE(OFFSET($H$3,0,0,'Données projet'!$E$9+1,1))</f>
        <v>158.2231941902271</v>
      </c>
      <c r="T130" s="62">
        <f t="shared" si="88"/>
        <v>109.82011879787936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projet'!$B$10,Paramètres!$A$1:$I$88,3,0)*VLOOKUP('Données projet'!$B$10,Paramètres!$A$1:$I$88,5,0)</f>
        <v>2.6602720026858149E-14</v>
      </c>
      <c r="AK130" s="14">
        <f t="shared" si="89"/>
        <v>4.6624771586320878E-13</v>
      </c>
      <c r="AL130" s="22">
        <f t="shared" si="58"/>
        <v>8.583811758418665E-13</v>
      </c>
      <c r="AM130" s="62">
        <f t="shared" si="59"/>
        <v>283.40235685907828</v>
      </c>
      <c r="AN130" s="62">
        <f ca="1">AVERAGE(OFFSET($AM$3,0,0,'Données projet'!$E$10+1,1))-AVERAGE(OFFSET($H$3,0,0,'Données projet'!$E$10+1,1))</f>
        <v>188.94867378904664</v>
      </c>
      <c r="AO130" s="62">
        <f t="shared" si="90"/>
        <v>242.84781402593833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2.2508088393813468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3.8973309635173138E-14</v>
      </c>
      <c r="AX130" s="23">
        <f t="shared" si="60"/>
        <v>2.2508088393813859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projet'!$B$11,Paramètres!$A$1:$I$88,3,0)*0.475*44/12</f>
        <v>#N/A</v>
      </c>
      <c r="BQ130" s="23" t="e">
        <f>EXP(-LN(2)/25)*BQ129+(1-EXP(-LN(2)/25))/(LN(2)/25)*Calculateur!BL130*Calculateur!BN130*VLOOKUP('Données projet'!$B$11,Paramètres!$A$1:$I$88,3,0)*0.475*44/12</f>
        <v>#N/A</v>
      </c>
      <c r="BR130" s="23" t="e">
        <f>EXP(-LN(2)/2)*BR129+(1-EXP(-LN(2)/2))/(LN(2)/2)*BL130*BO130*VLOOKUP('Données projet'!$B$11,Paramètres!$A$1:$I$88,3,0)*0.475*44/12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2.8421709430404007E-14</v>
      </c>
      <c r="O131" s="14">
        <f>N131*VLOOKUP('Données projet'!$B$9,Paramètres!$A$1:$I$88,3,0)*VLOOKUP('Données projet'!$B$9,Paramètres!$A$1:$I$88,5,0)</f>
        <v>2.5715962692629544E-14</v>
      </c>
      <c r="P131" s="14">
        <f t="shared" si="87"/>
        <v>4.5248818890525812E-13</v>
      </c>
      <c r="Q131" s="22">
        <f t="shared" ref="Q131:Q153" si="108">(O131+P131)*0.475*44/12</f>
        <v>8.3287223069965432E-13</v>
      </c>
      <c r="R131" s="62">
        <f t="shared" ref="R131:R194" si="109">Q131+(I131+J131)*44/12</f>
        <v>283.57463709856938</v>
      </c>
      <c r="S131" s="62">
        <f ca="1">AVERAGE(OFFSET($R$3,0,0,'Données projet'!$E$9+1,1))-AVERAGE(OFFSET($H$3,0,0,'Données projet'!$E$9+1,1))</f>
        <v>158.2231941902271</v>
      </c>
      <c r="T131" s="62">
        <f t="shared" si="88"/>
        <v>109.82011879787936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projet'!$B$10,Paramètres!$A$1:$I$88,3,0)*VLOOKUP('Données projet'!$B$10,Paramètres!$A$1:$I$88,5,0)</f>
        <v>2.6602720026858149E-14</v>
      </c>
      <c r="AK131" s="14">
        <f t="shared" si="89"/>
        <v>4.6624771586320878E-13</v>
      </c>
      <c r="AL131" s="22">
        <f t="shared" si="58"/>
        <v>8.583811758418665E-13</v>
      </c>
      <c r="AM131" s="62">
        <f t="shared" si="59"/>
        <v>283.57463709856938</v>
      </c>
      <c r="AN131" s="62">
        <f ca="1">AVERAGE(OFFSET($AM$3,0,0,'Données projet'!$E$10+1,1))-AVERAGE(OFFSET($H$3,0,0,'Données projet'!$E$10+1,1))</f>
        <v>188.94867378904664</v>
      </c>
      <c r="AO131" s="62">
        <f t="shared" si="90"/>
        <v>242.84781402593833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2.2066718508989123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2.7558291528313937E-14</v>
      </c>
      <c r="AX131" s="23">
        <f t="shared" si="60"/>
        <v>2.2066718508989398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projet'!$B$11,Paramètres!$A$1:$I$88,3,0)*0.475*44/12</f>
        <v>#N/A</v>
      </c>
      <c r="BQ131" s="23" t="e">
        <f>EXP(-LN(2)/25)*BQ130+(1-EXP(-LN(2)/25))/(LN(2)/25)*Calculateur!BL131*Calculateur!BN131*VLOOKUP('Données projet'!$B$11,Paramètres!$A$1:$I$88,3,0)*0.475*44/12</f>
        <v>#N/A</v>
      </c>
      <c r="BR131" s="23" t="e">
        <f>EXP(-LN(2)/2)*BR130+(1-EXP(-LN(2)/2))/(LN(2)/2)*BL131*BO131*VLOOKUP('Données projet'!$B$11,Paramètres!$A$1:$I$88,3,0)*0.475*44/12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2.8421709430404007E-14</v>
      </c>
      <c r="O132" s="14">
        <f>N132*VLOOKUP('Données projet'!$B$9,Paramètres!$A$1:$I$88,3,0)*VLOOKUP('Données projet'!$B$9,Paramètres!$A$1:$I$88,5,0)</f>
        <v>2.5715962692629544E-14</v>
      </c>
      <c r="P132" s="14">
        <f t="shared" si="87"/>
        <v>4.5248818890525812E-13</v>
      </c>
      <c r="Q132" s="22">
        <f t="shared" si="108"/>
        <v>8.3287223069965432E-13</v>
      </c>
      <c r="R132" s="62">
        <f t="shared" si="109"/>
        <v>283.74392866106621</v>
      </c>
      <c r="S132" s="62">
        <f ca="1">AVERAGE(OFFSET($R$3,0,0,'Données projet'!$E$9+1,1))-AVERAGE(OFFSET($H$3,0,0,'Données projet'!$E$9+1,1))</f>
        <v>158.2231941902271</v>
      </c>
      <c r="T132" s="62">
        <f t="shared" si="88"/>
        <v>109.82011879787936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projet'!$B$10,Paramètres!$A$1:$I$88,3,0)*VLOOKUP('Données projet'!$B$10,Paramètres!$A$1:$I$88,5,0)</f>
        <v>2.6602720026858149E-14</v>
      </c>
      <c r="AK132" s="14">
        <f t="shared" si="89"/>
        <v>4.6624771586320878E-13</v>
      </c>
      <c r="AL132" s="22">
        <f t="shared" ref="AL132:AL153" si="112">(AJ132+AK132)*0.475*44/12</f>
        <v>8.583811758418665E-13</v>
      </c>
      <c r="AM132" s="62">
        <f t="shared" ref="AM132:AM195" si="113">AL132+(AD132+AE132)*44/12</f>
        <v>283.74392866106621</v>
      </c>
      <c r="AN132" s="62">
        <f ca="1">AVERAGE(OFFSET($AM$3,0,0,'Données projet'!$E$10+1,1))-AVERAGE(OFFSET($H$3,0,0,'Données projet'!$E$10+1,1))</f>
        <v>188.94867378904664</v>
      </c>
      <c r="AO132" s="62">
        <f t="shared" si="90"/>
        <v>242.84781402593833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2.1634003618397135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1.9486654817586572E-14</v>
      </c>
      <c r="AX132" s="23">
        <f t="shared" ref="AX132:AX153" si="114">SUM(AU132:AW132)</f>
        <v>2.1634003618397331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projet'!$B$11,Paramètres!$A$1:$I$88,3,0)*0.475*44/12</f>
        <v>#N/A</v>
      </c>
      <c r="BQ132" s="23" t="e">
        <f>EXP(-LN(2)/25)*BQ131+(1-EXP(-LN(2)/25))/(LN(2)/25)*Calculateur!BL132*Calculateur!BN132*VLOOKUP('Données projet'!$B$11,Paramètres!$A$1:$I$88,3,0)*0.475*44/12</f>
        <v>#N/A</v>
      </c>
      <c r="BR132" s="23" t="e">
        <f>EXP(-LN(2)/2)*BR131+(1-EXP(-LN(2)/2))/(LN(2)/2)*BL132*BO132*VLOOKUP('Données projet'!$B$11,Paramètres!$A$1:$I$88,3,0)*0.475*44/12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2.8421709430404007E-14</v>
      </c>
      <c r="O133" s="14">
        <f>N133*VLOOKUP('Données projet'!$B$9,Paramètres!$A$1:$I$88,3,0)*VLOOKUP('Données projet'!$B$9,Paramètres!$A$1:$I$88,5,0)</f>
        <v>2.5715962692629544E-14</v>
      </c>
      <c r="P133" s="14">
        <f t="shared" ref="P133:P196" si="141">EXP(-1.0587+0.8836*LN(O133)+0.284)</f>
        <v>4.5248818890525812E-13</v>
      </c>
      <c r="Q133" s="22">
        <f t="shared" si="108"/>
        <v>8.3287223069965432E-13</v>
      </c>
      <c r="R133" s="62">
        <f t="shared" si="109"/>
        <v>283.91028339343296</v>
      </c>
      <c r="S133" s="62">
        <f ca="1">AVERAGE(OFFSET($R$3,0,0,'Données projet'!$E$9+1,1))-AVERAGE(OFFSET($H$3,0,0,'Données projet'!$E$9+1,1))</f>
        <v>158.2231941902271</v>
      </c>
      <c r="T133" s="62">
        <f t="shared" ref="T133:T196" si="142">$T$3</f>
        <v>109.82011879787936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projet'!$B$10,Paramètres!$A$1:$I$88,3,0)*VLOOKUP('Données projet'!$B$10,Paramètres!$A$1:$I$88,5,0)</f>
        <v>2.6602720026858149E-14</v>
      </c>
      <c r="AK133" s="14">
        <f t="shared" ref="AK133:AK153" si="143">EXP(-1.0587+0.8836*LN(AJ133)+0.284)</f>
        <v>4.6624771586320878E-13</v>
      </c>
      <c r="AL133" s="22">
        <f t="shared" si="112"/>
        <v>8.583811758418665E-13</v>
      </c>
      <c r="AM133" s="62">
        <f t="shared" si="113"/>
        <v>283.91028339343296</v>
      </c>
      <c r="AN133" s="62">
        <f ca="1">AVERAGE(OFFSET($AM$3,0,0,'Données projet'!$E$10+1,1))-AVERAGE(OFFSET($H$3,0,0,'Données projet'!$E$10+1,1))</f>
        <v>188.94867378904664</v>
      </c>
      <c r="AO133" s="62">
        <f t="shared" ref="AO133:AO196" si="144">$AO$3</f>
        <v>242.84781402593833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2.1209774002879631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1.3779145764156972E-14</v>
      </c>
      <c r="AX133" s="23">
        <f t="shared" si="114"/>
        <v>2.1209774002879769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projet'!$B$11,Paramètres!$A$1:$I$88,3,0)*0.475*44/12</f>
        <v>#N/A</v>
      </c>
      <c r="BQ133" s="23" t="e">
        <f>EXP(-LN(2)/25)*BQ132+(1-EXP(-LN(2)/25))/(LN(2)/25)*Calculateur!BL133*Calculateur!BN133*VLOOKUP('Données projet'!$B$11,Paramètres!$A$1:$I$88,3,0)*0.475*44/12</f>
        <v>#N/A</v>
      </c>
      <c r="BR133" s="23" t="e">
        <f>EXP(-LN(2)/2)*BR132+(1-EXP(-LN(2)/2))/(LN(2)/2)*BL133*BO133*VLOOKUP('Données projet'!$B$11,Paramètres!$A$1:$I$88,3,0)*0.475*44/12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2.8421709430404007E-14</v>
      </c>
      <c r="O134" s="14">
        <f>N134*VLOOKUP('Données projet'!$B$9,Paramètres!$A$1:$I$88,3,0)*VLOOKUP('Données projet'!$B$9,Paramètres!$A$1:$I$88,5,0)</f>
        <v>2.5715962692629544E-14</v>
      </c>
      <c r="P134" s="14">
        <f t="shared" si="141"/>
        <v>4.5248818890525812E-13</v>
      </c>
      <c r="Q134" s="22">
        <f t="shared" si="108"/>
        <v>8.3287223069965432E-13</v>
      </c>
      <c r="R134" s="62">
        <f t="shared" si="109"/>
        <v>284.07375224310658</v>
      </c>
      <c r="S134" s="62">
        <f ca="1">AVERAGE(OFFSET($R$3,0,0,'Données projet'!$E$9+1,1))-AVERAGE(OFFSET($H$3,0,0,'Données projet'!$E$9+1,1))</f>
        <v>158.2231941902271</v>
      </c>
      <c r="T134" s="62">
        <f t="shared" si="142"/>
        <v>109.82011879787936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projet'!$B$10,Paramètres!$A$1:$I$88,3,0)*VLOOKUP('Données projet'!$B$10,Paramètres!$A$1:$I$88,5,0)</f>
        <v>2.6602720026858149E-14</v>
      </c>
      <c r="AK134" s="14">
        <f t="shared" si="143"/>
        <v>4.6624771586320878E-13</v>
      </c>
      <c r="AL134" s="22">
        <f t="shared" si="112"/>
        <v>8.583811758418665E-13</v>
      </c>
      <c r="AM134" s="62">
        <f t="shared" si="113"/>
        <v>284.07375224310658</v>
      </c>
      <c r="AN134" s="62">
        <f ca="1">AVERAGE(OFFSET($AM$3,0,0,'Données projet'!$E$10+1,1))-AVERAGE(OFFSET($H$3,0,0,'Données projet'!$E$10+1,1))</f>
        <v>188.94867378904664</v>
      </c>
      <c r="AO134" s="62">
        <f t="shared" si="144"/>
        <v>242.84781402593833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2.0793863271367914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9.7433274087932875E-15</v>
      </c>
      <c r="AX134" s="23">
        <f t="shared" si="114"/>
        <v>2.0793863271368012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projet'!$B$11,Paramètres!$A$1:$I$88,3,0)*0.475*44/12</f>
        <v>#N/A</v>
      </c>
      <c r="BQ134" s="23" t="e">
        <f>EXP(-LN(2)/25)*BQ133+(1-EXP(-LN(2)/25))/(LN(2)/25)*Calculateur!BL134*Calculateur!BN134*VLOOKUP('Données projet'!$B$11,Paramètres!$A$1:$I$88,3,0)*0.475*44/12</f>
        <v>#N/A</v>
      </c>
      <c r="BR134" s="23" t="e">
        <f>EXP(-LN(2)/2)*BR133+(1-EXP(-LN(2)/2))/(LN(2)/2)*BL134*BO134*VLOOKUP('Données projet'!$B$11,Paramètres!$A$1:$I$88,3,0)*0.475*44/12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2.8421709430404007E-14</v>
      </c>
      <c r="O135" s="14">
        <f>N135*VLOOKUP('Données projet'!$B$9,Paramètres!$A$1:$I$88,3,0)*VLOOKUP('Données projet'!$B$9,Paramètres!$A$1:$I$88,5,0)</f>
        <v>2.5715962692629544E-14</v>
      </c>
      <c r="P135" s="14">
        <f t="shared" si="141"/>
        <v>4.5248818890525812E-13</v>
      </c>
      <c r="Q135" s="22">
        <f t="shared" si="108"/>
        <v>8.3287223069965432E-13</v>
      </c>
      <c r="R135" s="62">
        <f t="shared" si="109"/>
        <v>284.23438527370001</v>
      </c>
      <c r="S135" s="62">
        <f ca="1">AVERAGE(OFFSET($R$3,0,0,'Données projet'!$E$9+1,1))-AVERAGE(OFFSET($H$3,0,0,'Données projet'!$E$9+1,1))</f>
        <v>158.2231941902271</v>
      </c>
      <c r="T135" s="62">
        <f t="shared" si="142"/>
        <v>109.82011879787936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projet'!$B$10,Paramètres!$A$1:$I$88,3,0)*VLOOKUP('Données projet'!$B$10,Paramètres!$A$1:$I$88,5,0)</f>
        <v>2.6602720026858149E-14</v>
      </c>
      <c r="AK135" s="14">
        <f t="shared" si="143"/>
        <v>4.6624771586320878E-13</v>
      </c>
      <c r="AL135" s="22">
        <f t="shared" si="112"/>
        <v>8.583811758418665E-13</v>
      </c>
      <c r="AM135" s="62">
        <f t="shared" si="113"/>
        <v>284.23438527370001</v>
      </c>
      <c r="AN135" s="62">
        <f ca="1">AVERAGE(OFFSET($AM$3,0,0,'Données projet'!$E$10+1,1))-AVERAGE(OFFSET($H$3,0,0,'Données projet'!$E$10+1,1))</f>
        <v>188.94867378904664</v>
      </c>
      <c r="AO135" s="62">
        <f t="shared" si="144"/>
        <v>242.84781402593833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2.0386108295620642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6.8895728820784867E-15</v>
      </c>
      <c r="AX135" s="23">
        <f t="shared" si="114"/>
        <v>2.0386108295620713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projet'!$B$11,Paramètres!$A$1:$I$88,3,0)*0.475*44/12</f>
        <v>#N/A</v>
      </c>
      <c r="BQ135" s="23" t="e">
        <f>EXP(-LN(2)/25)*BQ134+(1-EXP(-LN(2)/25))/(LN(2)/25)*Calculateur!BL135*Calculateur!BN135*VLOOKUP('Données projet'!$B$11,Paramètres!$A$1:$I$88,3,0)*0.475*44/12</f>
        <v>#N/A</v>
      </c>
      <c r="BR135" s="23" t="e">
        <f>EXP(-LN(2)/2)*BR134+(1-EXP(-LN(2)/2))/(LN(2)/2)*BL135*BO135*VLOOKUP('Données projet'!$B$11,Paramètres!$A$1:$I$88,3,0)*0.475*44/12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2.8421709430404007E-14</v>
      </c>
      <c r="O136" s="14">
        <f>N136*VLOOKUP('Données projet'!$B$9,Paramètres!$A$1:$I$88,3,0)*VLOOKUP('Données projet'!$B$9,Paramètres!$A$1:$I$88,5,0)</f>
        <v>2.5715962692629544E-14</v>
      </c>
      <c r="P136" s="14">
        <f t="shared" si="141"/>
        <v>4.5248818890525812E-13</v>
      </c>
      <c r="Q136" s="22">
        <f t="shared" si="108"/>
        <v>8.3287223069965432E-13</v>
      </c>
      <c r="R136" s="62">
        <f t="shared" si="109"/>
        <v>284.39223168033425</v>
      </c>
      <c r="S136" s="62">
        <f ca="1">AVERAGE(OFFSET($R$3,0,0,'Données projet'!$E$9+1,1))-AVERAGE(OFFSET($H$3,0,0,'Données projet'!$E$9+1,1))</f>
        <v>158.2231941902271</v>
      </c>
      <c r="T136" s="62">
        <f t="shared" si="142"/>
        <v>109.82011879787936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projet'!$B$10,Paramètres!$A$1:$I$88,3,0)*VLOOKUP('Données projet'!$B$10,Paramètres!$A$1:$I$88,5,0)</f>
        <v>2.6602720026858149E-14</v>
      </c>
      <c r="AK136" s="14">
        <f t="shared" si="143"/>
        <v>4.6624771586320878E-13</v>
      </c>
      <c r="AL136" s="22">
        <f t="shared" si="112"/>
        <v>8.583811758418665E-13</v>
      </c>
      <c r="AM136" s="62">
        <f t="shared" si="113"/>
        <v>284.39223168033425</v>
      </c>
      <c r="AN136" s="62">
        <f ca="1">AVERAGE(OFFSET($AM$3,0,0,'Données projet'!$E$10+1,1))-AVERAGE(OFFSET($H$3,0,0,'Données projet'!$E$10+1,1))</f>
        <v>188.94867378904664</v>
      </c>
      <c r="AO136" s="62">
        <f t="shared" si="144"/>
        <v>242.84781402593833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1.9986349146241797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4.8716637043966446E-15</v>
      </c>
      <c r="AX136" s="23">
        <f t="shared" si="114"/>
        <v>1.9986349146241846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projet'!$B$11,Paramètres!$A$1:$I$88,3,0)*0.475*44/12</f>
        <v>#N/A</v>
      </c>
      <c r="BQ136" s="23" t="e">
        <f>EXP(-LN(2)/25)*BQ135+(1-EXP(-LN(2)/25))/(LN(2)/25)*Calculateur!BL136*Calculateur!BN136*VLOOKUP('Données projet'!$B$11,Paramètres!$A$1:$I$88,3,0)*0.475*44/12</f>
        <v>#N/A</v>
      </c>
      <c r="BR136" s="23" t="e">
        <f>EXP(-LN(2)/2)*BR135+(1-EXP(-LN(2)/2))/(LN(2)/2)*BL136*BO136*VLOOKUP('Données projet'!$B$11,Paramètres!$A$1:$I$88,3,0)*0.475*44/12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2.8421709430404007E-14</v>
      </c>
      <c r="O137" s="14">
        <f>N137*VLOOKUP('Données projet'!$B$9,Paramètres!$A$1:$I$88,3,0)*VLOOKUP('Données projet'!$B$9,Paramètres!$A$1:$I$88,5,0)</f>
        <v>2.5715962692629544E-14</v>
      </c>
      <c r="P137" s="14">
        <f t="shared" si="141"/>
        <v>4.5248818890525812E-13</v>
      </c>
      <c r="Q137" s="22">
        <f t="shared" si="108"/>
        <v>8.3287223069965432E-13</v>
      </c>
      <c r="R137" s="62">
        <f t="shared" si="109"/>
        <v>284.54733980470513</v>
      </c>
      <c r="S137" s="62">
        <f ca="1">AVERAGE(OFFSET($R$3,0,0,'Données projet'!$E$9+1,1))-AVERAGE(OFFSET($H$3,0,0,'Données projet'!$E$9+1,1))</f>
        <v>158.2231941902271</v>
      </c>
      <c r="T137" s="62">
        <f t="shared" si="142"/>
        <v>109.82011879787936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projet'!$B$10,Paramètres!$A$1:$I$88,3,0)*VLOOKUP('Données projet'!$B$10,Paramètres!$A$1:$I$88,5,0)</f>
        <v>2.6602720026858149E-14</v>
      </c>
      <c r="AK137" s="14">
        <f t="shared" si="143"/>
        <v>4.6624771586320878E-13</v>
      </c>
      <c r="AL137" s="22">
        <f t="shared" si="112"/>
        <v>8.583811758418665E-13</v>
      </c>
      <c r="AM137" s="62">
        <f t="shared" si="113"/>
        <v>284.54733980470513</v>
      </c>
      <c r="AN137" s="62">
        <f ca="1">AVERAGE(OFFSET($AM$3,0,0,'Données projet'!$E$10+1,1))-AVERAGE(OFFSET($H$3,0,0,'Données projet'!$E$10+1,1))</f>
        <v>188.94867378904664</v>
      </c>
      <c r="AO137" s="62">
        <f t="shared" si="144"/>
        <v>242.84781402593833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1.9594429029953266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3.4447864410392437E-15</v>
      </c>
      <c r="AX137" s="23">
        <f t="shared" si="114"/>
        <v>1.9594429029953302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projet'!$B$11,Paramètres!$A$1:$I$88,3,0)*0.475*44/12</f>
        <v>#N/A</v>
      </c>
      <c r="BQ137" s="23" t="e">
        <f>EXP(-LN(2)/25)*BQ136+(1-EXP(-LN(2)/25))/(LN(2)/25)*Calculateur!BL137*Calculateur!BN137*VLOOKUP('Données projet'!$B$11,Paramètres!$A$1:$I$88,3,0)*0.475*44/12</f>
        <v>#N/A</v>
      </c>
      <c r="BR137" s="23" t="e">
        <f>EXP(-LN(2)/2)*BR136+(1-EXP(-LN(2)/2))/(LN(2)/2)*BL137*BO137*VLOOKUP('Données projet'!$B$11,Paramètres!$A$1:$I$88,3,0)*0.475*44/12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2.8421709430404007E-14</v>
      </c>
      <c r="O138" s="14">
        <f>N138*VLOOKUP('Données projet'!$B$9,Paramètres!$A$1:$I$88,3,0)*VLOOKUP('Données projet'!$B$9,Paramètres!$A$1:$I$88,5,0)</f>
        <v>2.5715962692629544E-14</v>
      </c>
      <c r="P138" s="14">
        <f t="shared" si="141"/>
        <v>4.5248818890525812E-13</v>
      </c>
      <c r="Q138" s="22">
        <f t="shared" si="108"/>
        <v>8.3287223069965432E-13</v>
      </c>
      <c r="R138" s="62">
        <f t="shared" si="109"/>
        <v>284.699757149888</v>
      </c>
      <c r="S138" s="62">
        <f ca="1">AVERAGE(OFFSET($R$3,0,0,'Données projet'!$E$9+1,1))-AVERAGE(OFFSET($H$3,0,0,'Données projet'!$E$9+1,1))</f>
        <v>158.2231941902271</v>
      </c>
      <c r="T138" s="62">
        <f t="shared" si="142"/>
        <v>109.82011879787936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projet'!$B$10,Paramètres!$A$1:$I$88,3,0)*VLOOKUP('Données projet'!$B$10,Paramètres!$A$1:$I$88,5,0)</f>
        <v>2.6602720026858149E-14</v>
      </c>
      <c r="AK138" s="14">
        <f t="shared" si="143"/>
        <v>4.6624771586320878E-13</v>
      </c>
      <c r="AL138" s="22">
        <f t="shared" si="112"/>
        <v>8.583811758418665E-13</v>
      </c>
      <c r="AM138" s="62">
        <f t="shared" si="113"/>
        <v>284.699757149888</v>
      </c>
      <c r="AN138" s="62">
        <f ca="1">AVERAGE(OFFSET($AM$3,0,0,'Données projet'!$E$10+1,1))-AVERAGE(OFFSET($H$3,0,0,'Données projet'!$E$10+1,1))</f>
        <v>188.94867378904664</v>
      </c>
      <c r="AO138" s="62">
        <f t="shared" si="144"/>
        <v>242.84781402593833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1.9210194228097486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2.4358318521983227E-15</v>
      </c>
      <c r="AX138" s="23">
        <f t="shared" si="114"/>
        <v>1.921019422809751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projet'!$B$11,Paramètres!$A$1:$I$88,3,0)*0.475*44/12</f>
        <v>#N/A</v>
      </c>
      <c r="BQ138" s="23" t="e">
        <f>EXP(-LN(2)/25)*BQ137+(1-EXP(-LN(2)/25))/(LN(2)/25)*Calculateur!BL138*Calculateur!BN138*VLOOKUP('Données projet'!$B$11,Paramètres!$A$1:$I$88,3,0)*0.475*44/12</f>
        <v>#N/A</v>
      </c>
      <c r="BR138" s="23" t="e">
        <f>EXP(-LN(2)/2)*BR137+(1-EXP(-LN(2)/2))/(LN(2)/2)*BL138*BO138*VLOOKUP('Données projet'!$B$11,Paramètres!$A$1:$I$88,3,0)*0.475*44/12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2.8421709430404007E-14</v>
      </c>
      <c r="O139" s="14">
        <f>N139*VLOOKUP('Données projet'!$B$9,Paramètres!$A$1:$I$88,3,0)*VLOOKUP('Données projet'!$B$9,Paramètres!$A$1:$I$88,5,0)</f>
        <v>2.5715962692629544E-14</v>
      </c>
      <c r="P139" s="14">
        <f t="shared" si="141"/>
        <v>4.5248818890525812E-13</v>
      </c>
      <c r="Q139" s="22">
        <f t="shared" si="108"/>
        <v>8.3287223069965432E-13</v>
      </c>
      <c r="R139" s="62">
        <f t="shared" si="109"/>
        <v>284.84953039488607</v>
      </c>
      <c r="S139" s="62">
        <f ca="1">AVERAGE(OFFSET($R$3,0,0,'Données projet'!$E$9+1,1))-AVERAGE(OFFSET($H$3,0,0,'Données projet'!$E$9+1,1))</f>
        <v>158.2231941902271</v>
      </c>
      <c r="T139" s="62">
        <f t="shared" si="142"/>
        <v>109.82011879787936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projet'!$B$10,Paramètres!$A$1:$I$88,3,0)*VLOOKUP('Données projet'!$B$10,Paramètres!$A$1:$I$88,5,0)</f>
        <v>2.6602720026858149E-14</v>
      </c>
      <c r="AK139" s="14">
        <f t="shared" si="143"/>
        <v>4.6624771586320878E-13</v>
      </c>
      <c r="AL139" s="22">
        <f t="shared" si="112"/>
        <v>8.583811758418665E-13</v>
      </c>
      <c r="AM139" s="62">
        <f t="shared" si="113"/>
        <v>284.84953039488607</v>
      </c>
      <c r="AN139" s="62">
        <f ca="1">AVERAGE(OFFSET($AM$3,0,0,'Données projet'!$E$10+1,1))-AVERAGE(OFFSET($H$3,0,0,'Données projet'!$E$10+1,1))</f>
        <v>188.94867378904664</v>
      </c>
      <c r="AO139" s="62">
        <f t="shared" si="144"/>
        <v>242.84781402593833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1.883349403634601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1.7223932205196223E-15</v>
      </c>
      <c r="AX139" s="23">
        <f t="shared" si="114"/>
        <v>1.8833494036346028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projet'!$B$11,Paramètres!$A$1:$I$88,3,0)*0.475*44/12</f>
        <v>#N/A</v>
      </c>
      <c r="BQ139" s="23" t="e">
        <f>EXP(-LN(2)/25)*BQ138+(1-EXP(-LN(2)/25))/(LN(2)/25)*Calculateur!BL139*Calculateur!BN139*VLOOKUP('Données projet'!$B$11,Paramètres!$A$1:$I$88,3,0)*0.475*44/12</f>
        <v>#N/A</v>
      </c>
      <c r="BR139" s="23" t="e">
        <f>EXP(-LN(2)/2)*BR138+(1-EXP(-LN(2)/2))/(LN(2)/2)*BL139*BO139*VLOOKUP('Données projet'!$B$11,Paramètres!$A$1:$I$88,3,0)*0.475*44/12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2.8421709430404007E-14</v>
      </c>
      <c r="O140" s="14">
        <f>N140*VLOOKUP('Données projet'!$B$9,Paramètres!$A$1:$I$88,3,0)*VLOOKUP('Données projet'!$B$9,Paramètres!$A$1:$I$88,5,0)</f>
        <v>2.5715962692629544E-14</v>
      </c>
      <c r="P140" s="14">
        <f t="shared" si="141"/>
        <v>4.5248818890525812E-13</v>
      </c>
      <c r="Q140" s="22">
        <f t="shared" si="108"/>
        <v>8.3287223069965432E-13</v>
      </c>
      <c r="R140" s="62">
        <f t="shared" si="109"/>
        <v>284.99670540892623</v>
      </c>
      <c r="S140" s="62">
        <f ca="1">AVERAGE(OFFSET($R$3,0,0,'Données projet'!$E$9+1,1))-AVERAGE(OFFSET($H$3,0,0,'Données projet'!$E$9+1,1))</f>
        <v>158.2231941902271</v>
      </c>
      <c r="T140" s="62">
        <f t="shared" si="142"/>
        <v>109.82011879787936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projet'!$B$10,Paramètres!$A$1:$I$88,3,0)*VLOOKUP('Données projet'!$B$10,Paramètres!$A$1:$I$88,5,0)</f>
        <v>2.6602720026858149E-14</v>
      </c>
      <c r="AK140" s="14">
        <f t="shared" si="143"/>
        <v>4.6624771586320878E-13</v>
      </c>
      <c r="AL140" s="22">
        <f t="shared" si="112"/>
        <v>8.583811758418665E-13</v>
      </c>
      <c r="AM140" s="62">
        <f t="shared" si="113"/>
        <v>284.99670540892623</v>
      </c>
      <c r="AN140" s="62">
        <f ca="1">AVERAGE(OFFSET($AM$3,0,0,'Données projet'!$E$10+1,1))-AVERAGE(OFFSET($H$3,0,0,'Données projet'!$E$10+1,1))</f>
        <v>188.94867378904664</v>
      </c>
      <c r="AO140" s="62">
        <f t="shared" si="144"/>
        <v>242.84781402593833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1.8464180705590352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1.2179159260991615E-15</v>
      </c>
      <c r="AX140" s="23">
        <f t="shared" si="114"/>
        <v>1.8464180705590363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projet'!$B$11,Paramètres!$A$1:$I$88,3,0)*0.475*44/12</f>
        <v>#N/A</v>
      </c>
      <c r="BQ140" s="23" t="e">
        <f>EXP(-LN(2)/25)*BQ139+(1-EXP(-LN(2)/25))/(LN(2)/25)*Calculateur!BL140*Calculateur!BN140*VLOOKUP('Données projet'!$B$11,Paramètres!$A$1:$I$88,3,0)*0.475*44/12</f>
        <v>#N/A</v>
      </c>
      <c r="BR140" s="23" t="e">
        <f>EXP(-LN(2)/2)*BR139+(1-EXP(-LN(2)/2))/(LN(2)/2)*BL140*BO140*VLOOKUP('Données projet'!$B$11,Paramètres!$A$1:$I$88,3,0)*0.475*44/12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2.8421709430404007E-14</v>
      </c>
      <c r="O141" s="14">
        <f>N141*VLOOKUP('Données projet'!$B$9,Paramètres!$A$1:$I$88,3,0)*VLOOKUP('Données projet'!$B$9,Paramètres!$A$1:$I$88,5,0)</f>
        <v>2.5715962692629544E-14</v>
      </c>
      <c r="P141" s="14">
        <f t="shared" si="141"/>
        <v>4.5248818890525812E-13</v>
      </c>
      <c r="Q141" s="22">
        <f t="shared" si="108"/>
        <v>8.3287223069965432E-13</v>
      </c>
      <c r="R141" s="62">
        <f t="shared" si="109"/>
        <v>285.14132726550679</v>
      </c>
      <c r="S141" s="62">
        <f ca="1">AVERAGE(OFFSET($R$3,0,0,'Données projet'!$E$9+1,1))-AVERAGE(OFFSET($H$3,0,0,'Données projet'!$E$9+1,1))</f>
        <v>158.2231941902271</v>
      </c>
      <c r="T141" s="62">
        <f t="shared" si="142"/>
        <v>109.82011879787936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projet'!$B$10,Paramètres!$A$1:$I$88,3,0)*VLOOKUP('Données projet'!$B$10,Paramètres!$A$1:$I$88,5,0)</f>
        <v>2.6602720026858149E-14</v>
      </c>
      <c r="AK141" s="14">
        <f t="shared" si="143"/>
        <v>4.6624771586320878E-13</v>
      </c>
      <c r="AL141" s="22">
        <f t="shared" si="112"/>
        <v>8.583811758418665E-13</v>
      </c>
      <c r="AM141" s="62">
        <f t="shared" si="113"/>
        <v>285.14132726550679</v>
      </c>
      <c r="AN141" s="62">
        <f ca="1">AVERAGE(OFFSET($AM$3,0,0,'Données projet'!$E$10+1,1))-AVERAGE(OFFSET($H$3,0,0,'Données projet'!$E$10+1,1))</f>
        <v>188.94867378904664</v>
      </c>
      <c r="AO141" s="62">
        <f t="shared" si="144"/>
        <v>242.84781402593833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1.8102109383991922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8.6119661025981123E-16</v>
      </c>
      <c r="AX141" s="23">
        <f t="shared" si="114"/>
        <v>1.8102109383991931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projet'!$B$11,Paramètres!$A$1:$I$88,3,0)*0.475*44/12</f>
        <v>#N/A</v>
      </c>
      <c r="BQ141" s="23" t="e">
        <f>EXP(-LN(2)/25)*BQ140+(1-EXP(-LN(2)/25))/(LN(2)/25)*Calculateur!BL141*Calculateur!BN141*VLOOKUP('Données projet'!$B$11,Paramètres!$A$1:$I$88,3,0)*0.475*44/12</f>
        <v>#N/A</v>
      </c>
      <c r="BR141" s="23" t="e">
        <f>EXP(-LN(2)/2)*BR140+(1-EXP(-LN(2)/2))/(LN(2)/2)*BL141*BO141*VLOOKUP('Données projet'!$B$11,Paramètres!$A$1:$I$88,3,0)*0.475*44/12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2.8421709430404007E-14</v>
      </c>
      <c r="O142" s="14">
        <f>N142*VLOOKUP('Données projet'!$B$9,Paramètres!$A$1:$I$88,3,0)*VLOOKUP('Données projet'!$B$9,Paramètres!$A$1:$I$88,5,0)</f>
        <v>2.5715962692629544E-14</v>
      </c>
      <c r="P142" s="14">
        <f t="shared" si="141"/>
        <v>4.5248818890525812E-13</v>
      </c>
      <c r="Q142" s="22">
        <f t="shared" si="108"/>
        <v>8.3287223069965432E-13</v>
      </c>
      <c r="R142" s="62">
        <f t="shared" si="109"/>
        <v>285.28344025620174</v>
      </c>
      <c r="S142" s="62">
        <f ca="1">AVERAGE(OFFSET($R$3,0,0,'Données projet'!$E$9+1,1))-AVERAGE(OFFSET($H$3,0,0,'Données projet'!$E$9+1,1))</f>
        <v>158.2231941902271</v>
      </c>
      <c r="T142" s="62">
        <f t="shared" si="142"/>
        <v>109.82011879787936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projet'!$B$10,Paramètres!$A$1:$I$88,3,0)*VLOOKUP('Données projet'!$B$10,Paramètres!$A$1:$I$88,5,0)</f>
        <v>2.6602720026858149E-14</v>
      </c>
      <c r="AK142" s="14">
        <f t="shared" si="143"/>
        <v>4.6624771586320878E-13</v>
      </c>
      <c r="AL142" s="22">
        <f t="shared" si="112"/>
        <v>8.583811758418665E-13</v>
      </c>
      <c r="AM142" s="62">
        <f t="shared" si="113"/>
        <v>285.28344025620174</v>
      </c>
      <c r="AN142" s="62">
        <f ca="1">AVERAGE(OFFSET($AM$3,0,0,'Données projet'!$E$10+1,1))-AVERAGE(OFFSET($H$3,0,0,'Données projet'!$E$10+1,1))</f>
        <v>188.94867378904664</v>
      </c>
      <c r="AO142" s="62">
        <f t="shared" si="144"/>
        <v>242.84781402593833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1.7747138060168337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6.0895796304958087E-16</v>
      </c>
      <c r="AX142" s="23">
        <f t="shared" si="114"/>
        <v>1.7747138060168344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projet'!$B$11,Paramètres!$A$1:$I$88,3,0)*0.475*44/12</f>
        <v>#N/A</v>
      </c>
      <c r="BQ142" s="23" t="e">
        <f>EXP(-LN(2)/25)*BQ141+(1-EXP(-LN(2)/25))/(LN(2)/25)*Calculateur!BL142*Calculateur!BN142*VLOOKUP('Données projet'!$B$11,Paramètres!$A$1:$I$88,3,0)*0.475*44/12</f>
        <v>#N/A</v>
      </c>
      <c r="BR142" s="23" t="e">
        <f>EXP(-LN(2)/2)*BR141+(1-EXP(-LN(2)/2))/(LN(2)/2)*BL142*BO142*VLOOKUP('Données projet'!$B$11,Paramètres!$A$1:$I$88,3,0)*0.475*44/12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2.8421709430404007E-14</v>
      </c>
      <c r="O143" s="14">
        <f>N143*VLOOKUP('Données projet'!$B$9,Paramètres!$A$1:$I$88,3,0)*VLOOKUP('Données projet'!$B$9,Paramètres!$A$1:$I$88,5,0)</f>
        <v>2.5715962692629544E-14</v>
      </c>
      <c r="P143" s="14">
        <f t="shared" si="141"/>
        <v>4.5248818890525812E-13</v>
      </c>
      <c r="Q143" s="22">
        <f t="shared" si="108"/>
        <v>8.3287223069965432E-13</v>
      </c>
      <c r="R143" s="62">
        <f t="shared" si="109"/>
        <v>285.42308790422521</v>
      </c>
      <c r="S143" s="62">
        <f ca="1">AVERAGE(OFFSET($R$3,0,0,'Données projet'!$E$9+1,1))-AVERAGE(OFFSET($H$3,0,0,'Données projet'!$E$9+1,1))</f>
        <v>158.2231941902271</v>
      </c>
      <c r="T143" s="62">
        <f t="shared" si="142"/>
        <v>109.82011879787936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projet'!$B$10,Paramètres!$A$1:$I$88,3,0)*VLOOKUP('Données projet'!$B$10,Paramètres!$A$1:$I$88,5,0)</f>
        <v>2.6602720026858149E-14</v>
      </c>
      <c r="AK143" s="14">
        <f t="shared" si="143"/>
        <v>4.6624771586320878E-13</v>
      </c>
      <c r="AL143" s="22">
        <f t="shared" si="112"/>
        <v>8.583811758418665E-13</v>
      </c>
      <c r="AM143" s="62">
        <f t="shared" si="113"/>
        <v>285.42308790422521</v>
      </c>
      <c r="AN143" s="62">
        <f ca="1">AVERAGE(OFFSET($AM$3,0,0,'Données projet'!$E$10+1,1))-AVERAGE(OFFSET($H$3,0,0,'Données projet'!$E$10+1,1))</f>
        <v>188.94867378904664</v>
      </c>
      <c r="AO143" s="62">
        <f t="shared" si="144"/>
        <v>242.84781402593833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1.7399127507493803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4.3059830512990571E-16</v>
      </c>
      <c r="AX143" s="23">
        <f t="shared" si="114"/>
        <v>1.7399127507493808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projet'!$B$11,Paramètres!$A$1:$I$88,3,0)*0.475*44/12</f>
        <v>#N/A</v>
      </c>
      <c r="BQ143" s="23" t="e">
        <f>EXP(-LN(2)/25)*BQ142+(1-EXP(-LN(2)/25))/(LN(2)/25)*Calculateur!BL143*Calculateur!BN143*VLOOKUP('Données projet'!$B$11,Paramètres!$A$1:$I$88,3,0)*0.475*44/12</f>
        <v>#N/A</v>
      </c>
      <c r="BR143" s="23" t="e">
        <f>EXP(-LN(2)/2)*BR142+(1-EXP(-LN(2)/2))/(LN(2)/2)*BL143*BO143*VLOOKUP('Données projet'!$B$11,Paramètres!$A$1:$I$88,3,0)*0.475*44/12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2.8421709430404007E-14</v>
      </c>
      <c r="O144" s="14">
        <f>N144*VLOOKUP('Données projet'!$B$9,Paramètres!$A$1:$I$88,3,0)*VLOOKUP('Données projet'!$B$9,Paramètres!$A$1:$I$88,5,0)</f>
        <v>2.5715962692629544E-14</v>
      </c>
      <c r="P144" s="14">
        <f t="shared" si="141"/>
        <v>4.5248818890525812E-13</v>
      </c>
      <c r="Q144" s="22">
        <f t="shared" si="108"/>
        <v>8.3287223069965432E-13</v>
      </c>
      <c r="R144" s="62">
        <f t="shared" si="109"/>
        <v>285.56031297776087</v>
      </c>
      <c r="S144" s="62">
        <f ca="1">AVERAGE(OFFSET($R$3,0,0,'Données projet'!$E$9+1,1))-AVERAGE(OFFSET($H$3,0,0,'Données projet'!$E$9+1,1))</f>
        <v>158.2231941902271</v>
      </c>
      <c r="T144" s="62">
        <f t="shared" si="142"/>
        <v>109.82011879787936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projet'!$B$10,Paramètres!$A$1:$I$88,3,0)*VLOOKUP('Données projet'!$B$10,Paramètres!$A$1:$I$88,5,0)</f>
        <v>2.6602720026858149E-14</v>
      </c>
      <c r="AK144" s="14">
        <f t="shared" si="143"/>
        <v>4.6624771586320878E-13</v>
      </c>
      <c r="AL144" s="22">
        <f t="shared" si="112"/>
        <v>8.583811758418665E-13</v>
      </c>
      <c r="AM144" s="62">
        <f t="shared" si="113"/>
        <v>285.56031297776087</v>
      </c>
      <c r="AN144" s="62">
        <f ca="1">AVERAGE(OFFSET($AM$3,0,0,'Données projet'!$E$10+1,1))-AVERAGE(OFFSET($H$3,0,0,'Données projet'!$E$10+1,1))</f>
        <v>188.94867378904664</v>
      </c>
      <c r="AO144" s="62">
        <f t="shared" si="144"/>
        <v>242.84781402593833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1.705794122949174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3.0447898152479048E-16</v>
      </c>
      <c r="AX144" s="23">
        <f t="shared" si="114"/>
        <v>1.7057941229491742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projet'!$B$11,Paramètres!$A$1:$I$88,3,0)*0.475*44/12</f>
        <v>#N/A</v>
      </c>
      <c r="BQ144" s="23" t="e">
        <f>EXP(-LN(2)/25)*BQ143+(1-EXP(-LN(2)/25))/(LN(2)/25)*Calculateur!BL144*Calculateur!BN144*VLOOKUP('Données projet'!$B$11,Paramètres!$A$1:$I$88,3,0)*0.475*44/12</f>
        <v>#N/A</v>
      </c>
      <c r="BR144" s="23" t="e">
        <f>EXP(-LN(2)/2)*BR143+(1-EXP(-LN(2)/2))/(LN(2)/2)*BL144*BO144*VLOOKUP('Données projet'!$B$11,Paramètres!$A$1:$I$88,3,0)*0.475*44/12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2.8421709430404007E-14</v>
      </c>
      <c r="O145" s="14">
        <f>N145*VLOOKUP('Données projet'!$B$9,Paramètres!$A$1:$I$88,3,0)*VLOOKUP('Données projet'!$B$9,Paramètres!$A$1:$I$88,5,0)</f>
        <v>2.5715962692629544E-14</v>
      </c>
      <c r="P145" s="14">
        <f t="shared" si="141"/>
        <v>4.5248818890525812E-13</v>
      </c>
      <c r="Q145" s="22">
        <f t="shared" si="108"/>
        <v>8.3287223069965432E-13</v>
      </c>
      <c r="R145" s="62">
        <f t="shared" si="109"/>
        <v>285.69515750305993</v>
      </c>
      <c r="S145" s="62">
        <f ca="1">AVERAGE(OFFSET($R$3,0,0,'Données projet'!$E$9+1,1))-AVERAGE(OFFSET($H$3,0,0,'Données projet'!$E$9+1,1))</f>
        <v>158.2231941902271</v>
      </c>
      <c r="T145" s="62">
        <f t="shared" si="142"/>
        <v>109.82011879787936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projet'!$B$10,Paramètres!$A$1:$I$88,3,0)*VLOOKUP('Données projet'!$B$10,Paramètres!$A$1:$I$88,5,0)</f>
        <v>2.6602720026858149E-14</v>
      </c>
      <c r="AK145" s="14">
        <f t="shared" si="143"/>
        <v>4.6624771586320878E-13</v>
      </c>
      <c r="AL145" s="22">
        <f t="shared" si="112"/>
        <v>8.583811758418665E-13</v>
      </c>
      <c r="AM145" s="62">
        <f t="shared" si="113"/>
        <v>285.69515750305993</v>
      </c>
      <c r="AN145" s="62">
        <f ca="1">AVERAGE(OFFSET($AM$3,0,0,'Données projet'!$E$10+1,1))-AVERAGE(OFFSET($H$3,0,0,'Données projet'!$E$10+1,1))</f>
        <v>188.94867378904664</v>
      </c>
      <c r="AO145" s="62">
        <f t="shared" si="144"/>
        <v>242.84781402593833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1.6723445406298216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2.1529915256495288E-16</v>
      </c>
      <c r="AX145" s="23">
        <f t="shared" si="114"/>
        <v>1.6723445406298219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projet'!$B$11,Paramètres!$A$1:$I$88,3,0)*0.475*44/12</f>
        <v>#N/A</v>
      </c>
      <c r="BQ145" s="23" t="e">
        <f>EXP(-LN(2)/25)*BQ144+(1-EXP(-LN(2)/25))/(LN(2)/25)*Calculateur!BL145*Calculateur!BN145*VLOOKUP('Données projet'!$B$11,Paramètres!$A$1:$I$88,3,0)*0.475*44/12</f>
        <v>#N/A</v>
      </c>
      <c r="BR145" s="23" t="e">
        <f>EXP(-LN(2)/2)*BR144+(1-EXP(-LN(2)/2))/(LN(2)/2)*BL145*BO145*VLOOKUP('Données projet'!$B$11,Paramètres!$A$1:$I$88,3,0)*0.475*44/12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2.8421709430404007E-14</v>
      </c>
      <c r="O146" s="14">
        <f>N146*VLOOKUP('Données projet'!$B$9,Paramètres!$A$1:$I$88,3,0)*VLOOKUP('Données projet'!$B$9,Paramètres!$A$1:$I$88,5,0)</f>
        <v>2.5715962692629544E-14</v>
      </c>
      <c r="P146" s="14">
        <f t="shared" si="141"/>
        <v>4.5248818890525812E-13</v>
      </c>
      <c r="Q146" s="22">
        <f t="shared" si="108"/>
        <v>8.3287223069965432E-13</v>
      </c>
      <c r="R146" s="62">
        <f t="shared" si="109"/>
        <v>285.8276627773123</v>
      </c>
      <c r="S146" s="62">
        <f ca="1">AVERAGE(OFFSET($R$3,0,0,'Données projet'!$E$9+1,1))-AVERAGE(OFFSET($H$3,0,0,'Données projet'!$E$9+1,1))</f>
        <v>158.2231941902271</v>
      </c>
      <c r="T146" s="62">
        <f t="shared" si="142"/>
        <v>109.82011879787936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projet'!$B$10,Paramètres!$A$1:$I$88,3,0)*VLOOKUP('Données projet'!$B$10,Paramètres!$A$1:$I$88,5,0)</f>
        <v>2.6602720026858149E-14</v>
      </c>
      <c r="AK146" s="14">
        <f t="shared" si="143"/>
        <v>4.6624771586320878E-13</v>
      </c>
      <c r="AL146" s="22">
        <f t="shared" si="112"/>
        <v>8.583811758418665E-13</v>
      </c>
      <c r="AM146" s="62">
        <f t="shared" si="113"/>
        <v>285.8276627773123</v>
      </c>
      <c r="AN146" s="62">
        <f ca="1">AVERAGE(OFFSET($AM$3,0,0,'Données projet'!$E$10+1,1))-AVERAGE(OFFSET($H$3,0,0,'Données projet'!$E$10+1,1))</f>
        <v>188.94867378904664</v>
      </c>
      <c r="AO146" s="62">
        <f t="shared" si="144"/>
        <v>242.84781402593833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1.639550884217521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1.5223949076239527E-16</v>
      </c>
      <c r="AX146" s="23">
        <f t="shared" si="114"/>
        <v>1.6395508842175213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projet'!$B$11,Paramètres!$A$1:$I$88,3,0)*0.475*44/12</f>
        <v>#N/A</v>
      </c>
      <c r="BQ146" s="23" t="e">
        <f>EXP(-LN(2)/25)*BQ145+(1-EXP(-LN(2)/25))/(LN(2)/25)*Calculateur!BL146*Calculateur!BN146*VLOOKUP('Données projet'!$B$11,Paramètres!$A$1:$I$88,3,0)*0.475*44/12</f>
        <v>#N/A</v>
      </c>
      <c r="BR146" s="23" t="e">
        <f>EXP(-LN(2)/2)*BR145+(1-EXP(-LN(2)/2))/(LN(2)/2)*BL146*BO146*VLOOKUP('Données projet'!$B$11,Paramètres!$A$1:$I$88,3,0)*0.475*44/12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2.8421709430404007E-14</v>
      </c>
      <c r="O147" s="14">
        <f>N147*VLOOKUP('Données projet'!$B$9,Paramètres!$A$1:$I$88,3,0)*VLOOKUP('Données projet'!$B$9,Paramètres!$A$1:$I$88,5,0)</f>
        <v>2.5715962692629544E-14</v>
      </c>
      <c r="P147" s="14">
        <f t="shared" si="141"/>
        <v>4.5248818890525812E-13</v>
      </c>
      <c r="Q147" s="22">
        <f t="shared" si="108"/>
        <v>8.3287223069965432E-13</v>
      </c>
      <c r="R147" s="62">
        <f t="shared" si="109"/>
        <v>285.95786938129373</v>
      </c>
      <c r="S147" s="62">
        <f ca="1">AVERAGE(OFFSET($R$3,0,0,'Données projet'!$E$9+1,1))-AVERAGE(OFFSET($H$3,0,0,'Données projet'!$E$9+1,1))</f>
        <v>158.2231941902271</v>
      </c>
      <c r="T147" s="62">
        <f t="shared" si="142"/>
        <v>109.82011879787936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projet'!$B$10,Paramètres!$A$1:$I$88,3,0)*VLOOKUP('Données projet'!$B$10,Paramètres!$A$1:$I$88,5,0)</f>
        <v>2.6602720026858149E-14</v>
      </c>
      <c r="AK147" s="14">
        <f t="shared" si="143"/>
        <v>4.6624771586320878E-13</v>
      </c>
      <c r="AL147" s="22">
        <f t="shared" si="112"/>
        <v>8.583811758418665E-13</v>
      </c>
      <c r="AM147" s="62">
        <f t="shared" si="113"/>
        <v>285.95786938129373</v>
      </c>
      <c r="AN147" s="62">
        <f ca="1">AVERAGE(OFFSET($AM$3,0,0,'Données projet'!$E$10+1,1))-AVERAGE(OFFSET($H$3,0,0,'Données projet'!$E$10+1,1))</f>
        <v>188.94867378904664</v>
      </c>
      <c r="AO147" s="62">
        <f t="shared" si="144"/>
        <v>242.84781402593833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1.6074002914053103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1.0764957628247647E-16</v>
      </c>
      <c r="AX147" s="23">
        <f t="shared" si="114"/>
        <v>1.6074002914053103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projet'!$B$11,Paramètres!$A$1:$I$88,3,0)*0.475*44/12</f>
        <v>#N/A</v>
      </c>
      <c r="BQ147" s="23" t="e">
        <f>EXP(-LN(2)/25)*BQ146+(1-EXP(-LN(2)/25))/(LN(2)/25)*Calculateur!BL147*Calculateur!BN147*VLOOKUP('Données projet'!$B$11,Paramètres!$A$1:$I$88,3,0)*0.475*44/12</f>
        <v>#N/A</v>
      </c>
      <c r="BR147" s="23" t="e">
        <f>EXP(-LN(2)/2)*BR146+(1-EXP(-LN(2)/2))/(LN(2)/2)*BL147*BO147*VLOOKUP('Données projet'!$B$11,Paramètres!$A$1:$I$88,3,0)*0.475*44/12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2.8421709430404007E-14</v>
      </c>
      <c r="O148" s="14">
        <f>N148*VLOOKUP('Données projet'!$B$9,Paramètres!$A$1:$I$88,3,0)*VLOOKUP('Données projet'!$B$9,Paramètres!$A$1:$I$88,5,0)</f>
        <v>2.5715962692629544E-14</v>
      </c>
      <c r="P148" s="14">
        <f t="shared" si="141"/>
        <v>4.5248818890525812E-13</v>
      </c>
      <c r="Q148" s="22">
        <f t="shared" si="108"/>
        <v>8.3287223069965432E-13</v>
      </c>
      <c r="R148" s="62">
        <f t="shared" si="109"/>
        <v>286.08581719179443</v>
      </c>
      <c r="S148" s="62">
        <f ca="1">AVERAGE(OFFSET($R$3,0,0,'Données projet'!$E$9+1,1))-AVERAGE(OFFSET($H$3,0,0,'Données projet'!$E$9+1,1))</f>
        <v>158.2231941902271</v>
      </c>
      <c r="T148" s="62">
        <f t="shared" si="142"/>
        <v>109.82011879787936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projet'!$B$10,Paramètres!$A$1:$I$88,3,0)*VLOOKUP('Données projet'!$B$10,Paramètres!$A$1:$I$88,5,0)</f>
        <v>2.6602720026858149E-14</v>
      </c>
      <c r="AK148" s="14">
        <f t="shared" si="143"/>
        <v>4.6624771586320878E-13</v>
      </c>
      <c r="AL148" s="22">
        <f t="shared" si="112"/>
        <v>8.583811758418665E-13</v>
      </c>
      <c r="AM148" s="62">
        <f t="shared" si="113"/>
        <v>286.08581719179443</v>
      </c>
      <c r="AN148" s="62">
        <f ca="1">AVERAGE(OFFSET($AM$3,0,0,'Données projet'!$E$10+1,1))-AVERAGE(OFFSET($H$3,0,0,'Données projet'!$E$10+1,1))</f>
        <v>188.94867378904664</v>
      </c>
      <c r="AO148" s="62">
        <f t="shared" si="144"/>
        <v>242.84781402593833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1.5758801521082217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7.6119745381197645E-17</v>
      </c>
      <c r="AX148" s="23">
        <f t="shared" si="114"/>
        <v>1.5758801521082217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projet'!$B$11,Paramètres!$A$1:$I$88,3,0)*0.475*44/12</f>
        <v>#N/A</v>
      </c>
      <c r="BQ148" s="23" t="e">
        <f>EXP(-LN(2)/25)*BQ147+(1-EXP(-LN(2)/25))/(LN(2)/25)*Calculateur!BL148*Calculateur!BN148*VLOOKUP('Données projet'!$B$11,Paramètres!$A$1:$I$88,3,0)*0.475*44/12</f>
        <v>#N/A</v>
      </c>
      <c r="BR148" s="23" t="e">
        <f>EXP(-LN(2)/2)*BR147+(1-EXP(-LN(2)/2))/(LN(2)/2)*BL148*BO148*VLOOKUP('Données projet'!$B$11,Paramètres!$A$1:$I$88,3,0)*0.475*44/12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2.8421709430404007E-14</v>
      </c>
      <c r="O149" s="14">
        <f>N149*VLOOKUP('Données projet'!$B$9,Paramètres!$A$1:$I$88,3,0)*VLOOKUP('Données projet'!$B$9,Paramètres!$A$1:$I$88,5,0)</f>
        <v>2.5715962692629544E-14</v>
      </c>
      <c r="P149" s="14">
        <f t="shared" si="141"/>
        <v>4.5248818890525812E-13</v>
      </c>
      <c r="Q149" s="22">
        <f t="shared" si="108"/>
        <v>8.3287223069965432E-13</v>
      </c>
      <c r="R149" s="62">
        <f t="shared" si="109"/>
        <v>286.2115453938315</v>
      </c>
      <c r="S149" s="62">
        <f ca="1">AVERAGE(OFFSET($R$3,0,0,'Données projet'!$E$9+1,1))-AVERAGE(OFFSET($H$3,0,0,'Données projet'!$E$9+1,1))</f>
        <v>158.2231941902271</v>
      </c>
      <c r="T149" s="62">
        <f t="shared" si="142"/>
        <v>109.82011879787936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projet'!$B$10,Paramètres!$A$1:$I$88,3,0)*VLOOKUP('Données projet'!$B$10,Paramètres!$A$1:$I$88,5,0)</f>
        <v>2.6602720026858149E-14</v>
      </c>
      <c r="AK149" s="14">
        <f t="shared" si="143"/>
        <v>4.6624771586320878E-13</v>
      </c>
      <c r="AL149" s="22">
        <f t="shared" si="112"/>
        <v>8.583811758418665E-13</v>
      </c>
      <c r="AM149" s="62">
        <f t="shared" si="113"/>
        <v>286.2115453938315</v>
      </c>
      <c r="AN149" s="62">
        <f ca="1">AVERAGE(OFFSET($AM$3,0,0,'Données projet'!$E$10+1,1))-AVERAGE(OFFSET($H$3,0,0,'Données projet'!$E$10+1,1))</f>
        <v>188.94867378904664</v>
      </c>
      <c r="AO149" s="62">
        <f t="shared" si="144"/>
        <v>242.84781402593833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1.5449781035173624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5.3824788141238239E-17</v>
      </c>
      <c r="AX149" s="23">
        <f t="shared" si="114"/>
        <v>1.5449781035173624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projet'!$B$11,Paramètres!$A$1:$I$88,3,0)*0.475*44/12</f>
        <v>#N/A</v>
      </c>
      <c r="BQ149" s="23" t="e">
        <f>EXP(-LN(2)/25)*BQ148+(1-EXP(-LN(2)/25))/(LN(2)/25)*Calculateur!BL149*Calculateur!BN149*VLOOKUP('Données projet'!$B$11,Paramètres!$A$1:$I$88,3,0)*0.475*44/12</f>
        <v>#N/A</v>
      </c>
      <c r="BR149" s="23" t="e">
        <f>EXP(-LN(2)/2)*BR148+(1-EXP(-LN(2)/2))/(LN(2)/2)*BL149*BO149*VLOOKUP('Données projet'!$B$11,Paramètres!$A$1:$I$88,3,0)*0.475*44/12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2.8421709430404007E-14</v>
      </c>
      <c r="O150" s="14">
        <f>N150*VLOOKUP('Données projet'!$B$9,Paramètres!$A$1:$I$88,3,0)*VLOOKUP('Données projet'!$B$9,Paramètres!$A$1:$I$88,5,0)</f>
        <v>2.5715962692629544E-14</v>
      </c>
      <c r="P150" s="14">
        <f t="shared" si="141"/>
        <v>4.5248818890525812E-13</v>
      </c>
      <c r="Q150" s="22">
        <f t="shared" si="108"/>
        <v>8.3287223069965432E-13</v>
      </c>
      <c r="R150" s="62">
        <f t="shared" si="109"/>
        <v>286.33509249264927</v>
      </c>
      <c r="S150" s="62">
        <f ca="1">AVERAGE(OFFSET($R$3,0,0,'Données projet'!$E$9+1,1))-AVERAGE(OFFSET($H$3,0,0,'Données projet'!$E$9+1,1))</f>
        <v>158.2231941902271</v>
      </c>
      <c r="T150" s="62">
        <f t="shared" si="142"/>
        <v>109.82011879787936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projet'!$B$10,Paramètres!$A$1:$I$88,3,0)*VLOOKUP('Données projet'!$B$10,Paramètres!$A$1:$I$88,5,0)</f>
        <v>2.6602720026858149E-14</v>
      </c>
      <c r="AK150" s="14">
        <f t="shared" si="143"/>
        <v>4.6624771586320878E-13</v>
      </c>
      <c r="AL150" s="22">
        <f t="shared" si="112"/>
        <v>8.583811758418665E-13</v>
      </c>
      <c r="AM150" s="62">
        <f t="shared" si="113"/>
        <v>286.33509249264927</v>
      </c>
      <c r="AN150" s="62">
        <f ca="1">AVERAGE(OFFSET($AM$3,0,0,'Données projet'!$E$10+1,1))-AVERAGE(OFFSET($H$3,0,0,'Données projet'!$E$10+1,1))</f>
        <v>188.94867378904664</v>
      </c>
      <c r="AO150" s="62">
        <f t="shared" si="144"/>
        <v>242.84781402593833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1.5146820252509814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3.8059872690598829E-17</v>
      </c>
      <c r="AX150" s="23">
        <f t="shared" si="114"/>
        <v>1.5146820252509814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projet'!$B$11,Paramètres!$A$1:$I$88,3,0)*0.475*44/12</f>
        <v>#N/A</v>
      </c>
      <c r="BQ150" s="23" t="e">
        <f>EXP(-LN(2)/25)*BQ149+(1-EXP(-LN(2)/25))/(LN(2)/25)*Calculateur!BL150*Calculateur!BN150*VLOOKUP('Données projet'!$B$11,Paramètres!$A$1:$I$88,3,0)*0.475*44/12</f>
        <v>#N/A</v>
      </c>
      <c r="BR150" s="23" t="e">
        <f>EXP(-LN(2)/2)*BR149+(1-EXP(-LN(2)/2))/(LN(2)/2)*BL150*BO150*VLOOKUP('Données projet'!$B$11,Paramètres!$A$1:$I$88,3,0)*0.475*44/12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2.8421709430404007E-14</v>
      </c>
      <c r="O151" s="14">
        <f>N151*VLOOKUP('Données projet'!$B$9,Paramètres!$A$1:$I$88,3,0)*VLOOKUP('Données projet'!$B$9,Paramètres!$A$1:$I$88,5,0)</f>
        <v>2.5715962692629544E-14</v>
      </c>
      <c r="P151" s="14">
        <f t="shared" si="141"/>
        <v>4.5248818890525812E-13</v>
      </c>
      <c r="Q151" s="22">
        <f t="shared" si="108"/>
        <v>8.3287223069965432E-13</v>
      </c>
      <c r="R151" s="62">
        <f t="shared" si="109"/>
        <v>286.45649632551255</v>
      </c>
      <c r="S151" s="62">
        <f ca="1">AVERAGE(OFFSET($R$3,0,0,'Données projet'!$E$9+1,1))-AVERAGE(OFFSET($H$3,0,0,'Données projet'!$E$9+1,1))</f>
        <v>158.2231941902271</v>
      </c>
      <c r="T151" s="62">
        <f t="shared" si="142"/>
        <v>109.82011879787936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projet'!$B$10,Paramètres!$A$1:$I$88,3,0)*VLOOKUP('Données projet'!$B$10,Paramètres!$A$1:$I$88,5,0)</f>
        <v>2.6602720026858149E-14</v>
      </c>
      <c r="AK151" s="14">
        <f t="shared" si="143"/>
        <v>4.6624771586320878E-13</v>
      </c>
      <c r="AL151" s="22">
        <f t="shared" si="112"/>
        <v>8.583811758418665E-13</v>
      </c>
      <c r="AM151" s="62">
        <f t="shared" si="113"/>
        <v>286.45649632551255</v>
      </c>
      <c r="AN151" s="62">
        <f ca="1">AVERAGE(OFFSET($AM$3,0,0,'Données projet'!$E$10+1,1))-AVERAGE(OFFSET($H$3,0,0,'Données projet'!$E$10+1,1))</f>
        <v>188.94867378904664</v>
      </c>
      <c r="AO151" s="62">
        <f t="shared" si="144"/>
        <v>242.84781402593833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1.484980034600621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2.6912394070619123E-17</v>
      </c>
      <c r="AX151" s="23">
        <f t="shared" si="114"/>
        <v>1.484980034600621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projet'!$B$11,Paramètres!$A$1:$I$88,3,0)*0.475*44/12</f>
        <v>#N/A</v>
      </c>
      <c r="BQ151" s="23" t="e">
        <f>EXP(-LN(2)/25)*BQ150+(1-EXP(-LN(2)/25))/(LN(2)/25)*Calculateur!BL151*Calculateur!BN151*VLOOKUP('Données projet'!$B$11,Paramètres!$A$1:$I$88,3,0)*0.475*44/12</f>
        <v>#N/A</v>
      </c>
      <c r="BR151" s="23" t="e">
        <f>EXP(-LN(2)/2)*BR150+(1-EXP(-LN(2)/2))/(LN(2)/2)*BL151*BO151*VLOOKUP('Données projet'!$B$11,Paramètres!$A$1:$I$88,3,0)*0.475*44/12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2.8421709430404007E-14</v>
      </c>
      <c r="O152" s="14">
        <f>N152*VLOOKUP('Données projet'!$B$9,Paramètres!$A$1:$I$88,3,0)*VLOOKUP('Données projet'!$B$9,Paramètres!$A$1:$I$88,5,0)</f>
        <v>2.5715962692629544E-14</v>
      </c>
      <c r="P152" s="14">
        <f t="shared" si="141"/>
        <v>4.5248818890525812E-13</v>
      </c>
      <c r="Q152" s="22">
        <f t="shared" si="108"/>
        <v>8.3287223069965432E-13</v>
      </c>
      <c r="R152" s="62">
        <f t="shared" si="109"/>
        <v>286.57579407329393</v>
      </c>
      <c r="S152" s="62">
        <f ca="1">AVERAGE(OFFSET($R$3,0,0,'Données projet'!$E$9+1,1))-AVERAGE(OFFSET($H$3,0,0,'Données projet'!$E$9+1,1))</f>
        <v>158.2231941902271</v>
      </c>
      <c r="T152" s="62">
        <f t="shared" si="142"/>
        <v>109.82011879787936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projet'!$B$10,Paramètres!$A$1:$I$88,3,0)*VLOOKUP('Données projet'!$B$10,Paramètres!$A$1:$I$88,5,0)</f>
        <v>2.6602720026858149E-14</v>
      </c>
      <c r="AK152" s="14">
        <f t="shared" si="143"/>
        <v>4.6624771586320878E-13</v>
      </c>
      <c r="AL152" s="22">
        <f t="shared" si="112"/>
        <v>8.583811758418665E-13</v>
      </c>
      <c r="AM152" s="62">
        <f t="shared" si="113"/>
        <v>286.57579407329393</v>
      </c>
      <c r="AN152" s="62">
        <f ca="1">AVERAGE(OFFSET($AM$3,0,0,'Données projet'!$E$10+1,1))-AVERAGE(OFFSET($H$3,0,0,'Données projet'!$E$10+1,1))</f>
        <v>188.94867378904664</v>
      </c>
      <c r="AO152" s="62">
        <f t="shared" si="144"/>
        <v>242.84781402593833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1.4558604818704888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1.9029936345299417E-17</v>
      </c>
      <c r="AX152" s="23">
        <f t="shared" si="114"/>
        <v>1.4558604818704888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projet'!$B$11,Paramètres!$A$1:$I$88,3,0)*0.475*44/12</f>
        <v>#N/A</v>
      </c>
      <c r="BQ152" s="23" t="e">
        <f>EXP(-LN(2)/25)*BQ151+(1-EXP(-LN(2)/25))/(LN(2)/25)*Calculateur!BL152*Calculateur!BN152*VLOOKUP('Données projet'!$B$11,Paramètres!$A$1:$I$88,3,0)*0.475*44/12</f>
        <v>#N/A</v>
      </c>
      <c r="BR152" s="23" t="e">
        <f>EXP(-LN(2)/2)*BR151+(1-EXP(-LN(2)/2))/(LN(2)/2)*BL152*BO152*VLOOKUP('Données projet'!$B$11,Paramètres!$A$1:$I$88,3,0)*0.475*44/12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2.8421709430404007E-14</v>
      </c>
      <c r="O153" s="14">
        <f>N153*VLOOKUP('Données projet'!$B$9,Paramètres!$A$1:$I$88,3,0)*VLOOKUP('Données projet'!$B$9,Paramètres!$A$1:$I$88,5,0)</f>
        <v>2.5715962692629544E-14</v>
      </c>
      <c r="P153" s="14">
        <f t="shared" si="141"/>
        <v>4.5248818890525812E-13</v>
      </c>
      <c r="Q153" s="22">
        <f t="shared" si="108"/>
        <v>8.3287223069965432E-13</v>
      </c>
      <c r="R153" s="62">
        <f t="shared" si="109"/>
        <v>286.6930222718612</v>
      </c>
      <c r="S153" s="62">
        <f ca="1">AVERAGE(OFFSET($R$3,0,0,'Données projet'!$E$9+1,1))-AVERAGE(OFFSET($H$3,0,0,'Données projet'!$E$9+1,1))</f>
        <v>158.2231941902271</v>
      </c>
      <c r="T153" s="62">
        <f t="shared" si="142"/>
        <v>109.82011879787936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projet'!$B$10,Paramètres!$A$1:$I$88,3,0)*VLOOKUP('Données projet'!$B$10,Paramètres!$A$1:$I$88,5,0)</f>
        <v>2.6602720026858149E-14</v>
      </c>
      <c r="AK153" s="14">
        <f t="shared" si="143"/>
        <v>4.6624771586320878E-13</v>
      </c>
      <c r="AL153" s="22">
        <f t="shared" si="112"/>
        <v>8.583811758418665E-13</v>
      </c>
      <c r="AM153" s="62">
        <f t="shared" si="113"/>
        <v>286.6930222718612</v>
      </c>
      <c r="AN153" s="62">
        <f ca="1">AVERAGE(OFFSET($AM$3,0,0,'Données projet'!$E$10+1,1))-AVERAGE(OFFSET($H$3,0,0,'Données projet'!$E$10+1,1))</f>
        <v>188.94867378904664</v>
      </c>
      <c r="AO153" s="62">
        <f t="shared" si="144"/>
        <v>242.84781402593833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1.4273119458082211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1.3456197035309564E-17</v>
      </c>
      <c r="AX153" s="23">
        <f t="shared" si="114"/>
        <v>1.4273119458082211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projet'!$B$11,Paramètres!$A$1:$I$88,3,0)*0.475*44/12</f>
        <v>#N/A</v>
      </c>
      <c r="BQ153" s="23" t="e">
        <f>EXP(-LN(2)/25)*BQ152+(1-EXP(-LN(2)/25))/(LN(2)/25)*Calculateur!BL153*Calculateur!BN153*VLOOKUP('Données projet'!$B$11,Paramètres!$A$1:$I$88,3,0)*0.475*44/12</f>
        <v>#N/A</v>
      </c>
      <c r="BR153" s="23" t="e">
        <f>EXP(-LN(2)/2)*BR152+(1-EXP(-LN(2)/2))/(LN(2)/2)*BL153*BO153*VLOOKUP('Données projet'!$B$11,Paramètres!$A$1:$I$88,3,0)*0.475*44/12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2.8421709430404007E-14</v>
      </c>
      <c r="O154" s="14">
        <f>N154*VLOOKUP('Données projet'!$B$9,Paramètres!$A$1:$I$88,3,0)*VLOOKUP('Données projet'!$B$9,Paramètres!$A$1:$I$88,5,0)</f>
        <v>2.5715962692629544E-14</v>
      </c>
      <c r="P154" s="14">
        <f t="shared" si="141"/>
        <v>4.5248818890525812E-13</v>
      </c>
      <c r="Q154" s="22">
        <f t="shared" ref="Q154:Q203" si="162">(O154+P154)*0.475*44/12</f>
        <v>8.3287223069965432E-13</v>
      </c>
      <c r="R154" s="62">
        <f t="shared" si="109"/>
        <v>286.80821682326621</v>
      </c>
      <c r="S154" s="62">
        <f ca="1">AVERAGE(OFFSET($R$3,0,0,'Données projet'!$E$9+1,1))-AVERAGE(OFFSET($H$3,0,0,'Données projet'!$E$9+1,1))</f>
        <v>158.2231941902271</v>
      </c>
      <c r="T154" s="62">
        <f t="shared" si="142"/>
        <v>109.82011879787936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projet'!$B$10,Paramètres!$A$1:$I$88,3,0)*VLOOKUP('Données projet'!$B$10,Paramètres!$A$1:$I$88,5,0)</f>
        <v>2.6602720026858149E-14</v>
      </c>
      <c r="AK154" s="14">
        <f t="shared" ref="AK154:AK203" si="164">EXP(-1.0587+0.8836*LN(AJ154)+0.284)</f>
        <v>4.6624771586320878E-13</v>
      </c>
      <c r="AL154" s="22">
        <f t="shared" ref="AL154:AL203" si="165">(AJ154+AK154)*0.475*44/12</f>
        <v>8.583811758418665E-13</v>
      </c>
      <c r="AM154" s="62">
        <f t="shared" si="113"/>
        <v>286.80821682326621</v>
      </c>
      <c r="AN154" s="62">
        <f ca="1">AVERAGE(OFFSET($AM$3,0,0,'Données projet'!$E$10+1,1))-AVERAGE(OFFSET($H$3,0,0,'Données projet'!$E$10+1,1))</f>
        <v>188.94867378904664</v>
      </c>
      <c r="AO154" s="62">
        <f t="shared" si="144"/>
        <v>242.84781402593833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1.3993232291252466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9.5149681726497103E-18</v>
      </c>
      <c r="AX154" s="23">
        <f t="shared" ref="AX154:AX203" si="166">SUM(AU154:AW154)</f>
        <v>1.3993232291252466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projet'!$B$11,Paramètres!$A$1:$I$88,3,0)*0.475*44/12</f>
        <v>#N/A</v>
      </c>
      <c r="BQ154" s="23" t="e">
        <f>EXP(-LN(2)/25)*BQ153+(1-EXP(-LN(2)/25))/(LN(2)/25)*Calculateur!BL154*Calculateur!BN154*VLOOKUP('Données projet'!$B$11,Paramètres!$A$1:$I$88,3,0)*0.475*44/12</f>
        <v>#N/A</v>
      </c>
      <c r="BR154" s="23" t="e">
        <f>EXP(-LN(2)/2)*BR153+(1-EXP(-LN(2)/2))/(LN(2)/2)*BL154*BO154*VLOOKUP('Données projet'!$B$11,Paramètres!$A$1:$I$88,3,0)*0.475*44/12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2.8421709430404007E-14</v>
      </c>
      <c r="O155" s="14">
        <f>N155*VLOOKUP('Données projet'!$B$9,Paramètres!$A$1:$I$88,3,0)*VLOOKUP('Données projet'!$B$9,Paramètres!$A$1:$I$88,5,0)</f>
        <v>2.5715962692629544E-14</v>
      </c>
      <c r="P155" s="14">
        <f t="shared" si="141"/>
        <v>4.5248818890525812E-13</v>
      </c>
      <c r="Q155" s="22">
        <f t="shared" si="162"/>
        <v>8.3287223069965432E-13</v>
      </c>
      <c r="R155" s="62">
        <f t="shared" si="109"/>
        <v>286.92141300674075</v>
      </c>
      <c r="S155" s="62">
        <f ca="1">AVERAGE(OFFSET($R$3,0,0,'Données projet'!$E$9+1,1))-AVERAGE(OFFSET($H$3,0,0,'Données projet'!$E$9+1,1))</f>
        <v>158.2231941902271</v>
      </c>
      <c r="T155" s="62">
        <f t="shared" si="142"/>
        <v>109.82011879787936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projet'!$B$10,Paramètres!$A$1:$I$88,3,0)*VLOOKUP('Données projet'!$B$10,Paramètres!$A$1:$I$88,5,0)</f>
        <v>2.6602720026858149E-14</v>
      </c>
      <c r="AK155" s="14">
        <f t="shared" si="164"/>
        <v>4.6624771586320878E-13</v>
      </c>
      <c r="AL155" s="22">
        <f t="shared" si="165"/>
        <v>8.583811758418665E-13</v>
      </c>
      <c r="AM155" s="62">
        <f t="shared" si="113"/>
        <v>286.92141300674075</v>
      </c>
      <c r="AN155" s="62">
        <f ca="1">AVERAGE(OFFSET($AM$3,0,0,'Données projet'!$E$10+1,1))-AVERAGE(OFFSET($H$3,0,0,'Données projet'!$E$10+1,1))</f>
        <v>188.94867378904664</v>
      </c>
      <c r="AO155" s="62">
        <f t="shared" si="144"/>
        <v>242.84781402593833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1.371883354104994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6.7280985176547829E-18</v>
      </c>
      <c r="AX155" s="23">
        <f t="shared" si="166"/>
        <v>1.371883354104994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projet'!$B$11,Paramètres!$A$1:$I$88,3,0)*0.475*44/12</f>
        <v>#N/A</v>
      </c>
      <c r="BQ155" s="23" t="e">
        <f>EXP(-LN(2)/25)*BQ154+(1-EXP(-LN(2)/25))/(LN(2)/25)*Calculateur!BL155*Calculateur!BN155*VLOOKUP('Données projet'!$B$11,Paramètres!$A$1:$I$88,3,0)*0.475*44/12</f>
        <v>#N/A</v>
      </c>
      <c r="BR155" s="23" t="e">
        <f>EXP(-LN(2)/2)*BR154+(1-EXP(-LN(2)/2))/(LN(2)/2)*BL155*BO155*VLOOKUP('Données projet'!$B$11,Paramètres!$A$1:$I$88,3,0)*0.475*44/12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2.8421709430404007E-14</v>
      </c>
      <c r="O156" s="14">
        <f>N156*VLOOKUP('Données projet'!$B$9,Paramètres!$A$1:$I$88,3,0)*VLOOKUP('Données projet'!$B$9,Paramètres!$A$1:$I$88,5,0)</f>
        <v>2.5715962692629544E-14</v>
      </c>
      <c r="P156" s="14">
        <f t="shared" si="141"/>
        <v>4.5248818890525812E-13</v>
      </c>
      <c r="Q156" s="22">
        <f t="shared" si="162"/>
        <v>8.3287223069965432E-13</v>
      </c>
      <c r="R156" s="62">
        <f t="shared" si="109"/>
        <v>287.03264548950085</v>
      </c>
      <c r="S156" s="62">
        <f ca="1">AVERAGE(OFFSET($R$3,0,0,'Données projet'!$E$9+1,1))-AVERAGE(OFFSET($H$3,0,0,'Données projet'!$E$9+1,1))</f>
        <v>158.2231941902271</v>
      </c>
      <c r="T156" s="62">
        <f t="shared" si="142"/>
        <v>109.82011879787936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projet'!$B$10,Paramètres!$A$1:$I$88,3,0)*VLOOKUP('Données projet'!$B$10,Paramètres!$A$1:$I$88,5,0)</f>
        <v>2.6602720026858149E-14</v>
      </c>
      <c r="AK156" s="14">
        <f t="shared" si="164"/>
        <v>4.6624771586320878E-13</v>
      </c>
      <c r="AL156" s="22">
        <f t="shared" si="165"/>
        <v>8.583811758418665E-13</v>
      </c>
      <c r="AM156" s="62">
        <f t="shared" si="113"/>
        <v>287.03264548950085</v>
      </c>
      <c r="AN156" s="62">
        <f ca="1">AVERAGE(OFFSET($AM$3,0,0,'Données projet'!$E$10+1,1))-AVERAGE(OFFSET($H$3,0,0,'Données projet'!$E$10+1,1))</f>
        <v>188.94867378904664</v>
      </c>
      <c r="AO156" s="62">
        <f t="shared" si="144"/>
        <v>242.84781402593833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1.3449815582972173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4.7574840863248559E-18</v>
      </c>
      <c r="AX156" s="23">
        <f t="shared" si="166"/>
        <v>1.3449815582972173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projet'!$B$11,Paramètres!$A$1:$I$88,3,0)*0.475*44/12</f>
        <v>#N/A</v>
      </c>
      <c r="BQ156" s="23" t="e">
        <f>EXP(-LN(2)/25)*BQ155+(1-EXP(-LN(2)/25))/(LN(2)/25)*Calculateur!BL156*Calculateur!BN156*VLOOKUP('Données projet'!$B$11,Paramètres!$A$1:$I$88,3,0)*0.475*44/12</f>
        <v>#N/A</v>
      </c>
      <c r="BR156" s="23" t="e">
        <f>EXP(-LN(2)/2)*BR155+(1-EXP(-LN(2)/2))/(LN(2)/2)*BL156*BO156*VLOOKUP('Données projet'!$B$11,Paramètres!$A$1:$I$88,3,0)*0.475*44/12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2.8421709430404007E-14</v>
      </c>
      <c r="O157" s="14">
        <f>N157*VLOOKUP('Données projet'!$B$9,Paramètres!$A$1:$I$88,3,0)*VLOOKUP('Données projet'!$B$9,Paramètres!$A$1:$I$88,5,0)</f>
        <v>2.5715962692629544E-14</v>
      </c>
      <c r="P157" s="14">
        <f t="shared" si="141"/>
        <v>4.5248818890525812E-13</v>
      </c>
      <c r="Q157" s="22">
        <f t="shared" si="162"/>
        <v>8.3287223069965432E-13</v>
      </c>
      <c r="R157" s="62">
        <f t="shared" si="109"/>
        <v>287.1419483373636</v>
      </c>
      <c r="S157" s="62">
        <f ca="1">AVERAGE(OFFSET($R$3,0,0,'Données projet'!$E$9+1,1))-AVERAGE(OFFSET($H$3,0,0,'Données projet'!$E$9+1,1))</f>
        <v>158.2231941902271</v>
      </c>
      <c r="T157" s="62">
        <f t="shared" si="142"/>
        <v>109.82011879787936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projet'!$B$10,Paramètres!$A$1:$I$88,3,0)*VLOOKUP('Données projet'!$B$10,Paramètres!$A$1:$I$88,5,0)</f>
        <v>2.6602720026858149E-14</v>
      </c>
      <c r="AK157" s="14">
        <f t="shared" si="164"/>
        <v>4.6624771586320878E-13</v>
      </c>
      <c r="AL157" s="22">
        <f t="shared" si="165"/>
        <v>8.583811758418665E-13</v>
      </c>
      <c r="AM157" s="62">
        <f t="shared" si="113"/>
        <v>287.1419483373636</v>
      </c>
      <c r="AN157" s="62">
        <f ca="1">AVERAGE(OFFSET($AM$3,0,0,'Données projet'!$E$10+1,1))-AVERAGE(OFFSET($H$3,0,0,'Données projet'!$E$10+1,1))</f>
        <v>188.94867378904664</v>
      </c>
      <c r="AO157" s="62">
        <f t="shared" si="144"/>
        <v>242.84781402593833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1.3186072902967558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3.3640492588273922E-18</v>
      </c>
      <c r="AX157" s="23">
        <f t="shared" si="166"/>
        <v>1.3186072902967558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projet'!$B$11,Paramètres!$A$1:$I$88,3,0)*0.475*44/12</f>
        <v>#N/A</v>
      </c>
      <c r="BQ157" s="23" t="e">
        <f>EXP(-LN(2)/25)*BQ156+(1-EXP(-LN(2)/25))/(LN(2)/25)*Calculateur!BL157*Calculateur!BN157*VLOOKUP('Données projet'!$B$11,Paramètres!$A$1:$I$88,3,0)*0.475*44/12</f>
        <v>#N/A</v>
      </c>
      <c r="BR157" s="23" t="e">
        <f>EXP(-LN(2)/2)*BR156+(1-EXP(-LN(2)/2))/(LN(2)/2)*BL157*BO157*VLOOKUP('Données projet'!$B$11,Paramètres!$A$1:$I$88,3,0)*0.475*44/12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2.8421709430404007E-14</v>
      </c>
      <c r="O158" s="14">
        <f>N158*VLOOKUP('Données projet'!$B$9,Paramètres!$A$1:$I$88,3,0)*VLOOKUP('Données projet'!$B$9,Paramètres!$A$1:$I$88,5,0)</f>
        <v>2.5715962692629544E-14</v>
      </c>
      <c r="P158" s="14">
        <f t="shared" si="141"/>
        <v>4.5248818890525812E-13</v>
      </c>
      <c r="Q158" s="22">
        <f t="shared" si="162"/>
        <v>8.3287223069965432E-13</v>
      </c>
      <c r="R158" s="62">
        <f t="shared" si="109"/>
        <v>287.24935502518053</v>
      </c>
      <c r="S158" s="62">
        <f ca="1">AVERAGE(OFFSET($R$3,0,0,'Données projet'!$E$9+1,1))-AVERAGE(OFFSET($H$3,0,0,'Données projet'!$E$9+1,1))</f>
        <v>158.2231941902271</v>
      </c>
      <c r="T158" s="62">
        <f t="shared" si="142"/>
        <v>109.82011879787936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projet'!$B$10,Paramètres!$A$1:$I$88,3,0)*VLOOKUP('Données projet'!$B$10,Paramètres!$A$1:$I$88,5,0)</f>
        <v>2.6602720026858149E-14</v>
      </c>
      <c r="AK158" s="14">
        <f t="shared" si="164"/>
        <v>4.6624771586320878E-13</v>
      </c>
      <c r="AL158" s="22">
        <f t="shared" si="165"/>
        <v>8.583811758418665E-13</v>
      </c>
      <c r="AM158" s="62">
        <f t="shared" si="113"/>
        <v>287.24935502518053</v>
      </c>
      <c r="AN158" s="62">
        <f ca="1">AVERAGE(OFFSET($AM$3,0,0,'Données projet'!$E$10+1,1))-AVERAGE(OFFSET($H$3,0,0,'Données projet'!$E$10+1,1))</f>
        <v>188.94867378904664</v>
      </c>
      <c r="AO158" s="62">
        <f t="shared" si="144"/>
        <v>242.84781402593833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1.2927502056050684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2.3787420431624283E-18</v>
      </c>
      <c r="AX158" s="23">
        <f t="shared" si="166"/>
        <v>1.2927502056050684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projet'!$B$11,Paramètres!$A$1:$I$88,3,0)*0.475*44/12</f>
        <v>#N/A</v>
      </c>
      <c r="BQ158" s="23" t="e">
        <f>EXP(-LN(2)/25)*BQ157+(1-EXP(-LN(2)/25))/(LN(2)/25)*Calculateur!BL158*Calculateur!BN158*VLOOKUP('Données projet'!$B$11,Paramètres!$A$1:$I$88,3,0)*0.475*44/12</f>
        <v>#N/A</v>
      </c>
      <c r="BR158" s="23" t="e">
        <f>EXP(-LN(2)/2)*BR157+(1-EXP(-LN(2)/2))/(LN(2)/2)*BL158*BO158*VLOOKUP('Données projet'!$B$11,Paramètres!$A$1:$I$88,3,0)*0.475*44/12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2.8421709430404007E-14</v>
      </c>
      <c r="O159" s="14">
        <f>N159*VLOOKUP('Données projet'!$B$9,Paramètres!$A$1:$I$88,3,0)*VLOOKUP('Données projet'!$B$9,Paramètres!$A$1:$I$88,5,0)</f>
        <v>2.5715962692629544E-14</v>
      </c>
      <c r="P159" s="14">
        <f t="shared" si="141"/>
        <v>4.5248818890525812E-13</v>
      </c>
      <c r="Q159" s="22">
        <f t="shared" si="162"/>
        <v>8.3287223069965432E-13</v>
      </c>
      <c r="R159" s="62">
        <f t="shared" si="109"/>
        <v>287.35489844708917</v>
      </c>
      <c r="S159" s="62">
        <f ca="1">AVERAGE(OFFSET($R$3,0,0,'Données projet'!$E$9+1,1))-AVERAGE(OFFSET($H$3,0,0,'Données projet'!$E$9+1,1))</f>
        <v>158.2231941902271</v>
      </c>
      <c r="T159" s="62">
        <f t="shared" si="142"/>
        <v>109.82011879787936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projet'!$B$10,Paramètres!$A$1:$I$88,3,0)*VLOOKUP('Données projet'!$B$10,Paramètres!$A$1:$I$88,5,0)</f>
        <v>2.6602720026858149E-14</v>
      </c>
      <c r="AK159" s="14">
        <f t="shared" si="164"/>
        <v>4.6624771586320878E-13</v>
      </c>
      <c r="AL159" s="22">
        <f t="shared" si="165"/>
        <v>8.583811758418665E-13</v>
      </c>
      <c r="AM159" s="62">
        <f t="shared" si="113"/>
        <v>287.35489844708917</v>
      </c>
      <c r="AN159" s="62">
        <f ca="1">AVERAGE(OFFSET($AM$3,0,0,'Données projet'!$E$10+1,1))-AVERAGE(OFFSET($H$3,0,0,'Données projet'!$E$10+1,1))</f>
        <v>188.94867378904664</v>
      </c>
      <c r="AO159" s="62">
        <f t="shared" si="144"/>
        <v>242.84781402593833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1.2674001625729205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1.6820246294136963E-18</v>
      </c>
      <c r="AX159" s="23">
        <f t="shared" si="166"/>
        <v>1.2674001625729205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projet'!$B$11,Paramètres!$A$1:$I$88,3,0)*0.475*44/12</f>
        <v>#N/A</v>
      </c>
      <c r="BQ159" s="23" t="e">
        <f>EXP(-LN(2)/25)*BQ158+(1-EXP(-LN(2)/25))/(LN(2)/25)*Calculateur!BL159*Calculateur!BN159*VLOOKUP('Données projet'!$B$11,Paramètres!$A$1:$I$88,3,0)*0.475*44/12</f>
        <v>#N/A</v>
      </c>
      <c r="BR159" s="23" t="e">
        <f>EXP(-LN(2)/2)*BR158+(1-EXP(-LN(2)/2))/(LN(2)/2)*BL159*BO159*VLOOKUP('Données projet'!$B$11,Paramètres!$A$1:$I$88,3,0)*0.475*44/12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2.8421709430404007E-14</v>
      </c>
      <c r="O160" s="14">
        <f>N160*VLOOKUP('Données projet'!$B$9,Paramètres!$A$1:$I$88,3,0)*VLOOKUP('Données projet'!$B$9,Paramètres!$A$1:$I$88,5,0)</f>
        <v>2.5715962692629544E-14</v>
      </c>
      <c r="P160" s="14">
        <f t="shared" si="141"/>
        <v>4.5248818890525812E-13</v>
      </c>
      <c r="Q160" s="22">
        <f t="shared" si="162"/>
        <v>8.3287223069965432E-13</v>
      </c>
      <c r="R160" s="62">
        <f t="shared" si="109"/>
        <v>287.45861092658743</v>
      </c>
      <c r="S160" s="62">
        <f ca="1">AVERAGE(OFFSET($R$3,0,0,'Données projet'!$E$9+1,1))-AVERAGE(OFFSET($H$3,0,0,'Données projet'!$E$9+1,1))</f>
        <v>158.2231941902271</v>
      </c>
      <c r="T160" s="62">
        <f t="shared" si="142"/>
        <v>109.82011879787936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projet'!$B$10,Paramètres!$A$1:$I$88,3,0)*VLOOKUP('Données projet'!$B$10,Paramètres!$A$1:$I$88,5,0)</f>
        <v>2.6602720026858149E-14</v>
      </c>
      <c r="AK160" s="14">
        <f t="shared" si="164"/>
        <v>4.6624771586320878E-13</v>
      </c>
      <c r="AL160" s="22">
        <f t="shared" si="165"/>
        <v>8.583811758418665E-13</v>
      </c>
      <c r="AM160" s="62">
        <f t="shared" si="113"/>
        <v>287.45861092658743</v>
      </c>
      <c r="AN160" s="62">
        <f ca="1">AVERAGE(OFFSET($AM$3,0,0,'Données projet'!$E$10+1,1))-AVERAGE(OFFSET($H$3,0,0,'Données projet'!$E$10+1,1))</f>
        <v>188.94867378904664</v>
      </c>
      <c r="AO160" s="62">
        <f t="shared" si="144"/>
        <v>242.84781402593833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1.2425472184226336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1.1893710215812144E-18</v>
      </c>
      <c r="AX160" s="23">
        <f t="shared" si="166"/>
        <v>1.2425472184226336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projet'!$B$11,Paramètres!$A$1:$I$88,3,0)*0.475*44/12</f>
        <v>#N/A</v>
      </c>
      <c r="BQ160" s="23" t="e">
        <f>EXP(-LN(2)/25)*BQ159+(1-EXP(-LN(2)/25))/(LN(2)/25)*Calculateur!BL160*Calculateur!BN160*VLOOKUP('Données projet'!$B$11,Paramètres!$A$1:$I$88,3,0)*0.475*44/12</f>
        <v>#N/A</v>
      </c>
      <c r="BR160" s="23" t="e">
        <f>EXP(-LN(2)/2)*BR159+(1-EXP(-LN(2)/2))/(LN(2)/2)*BL160*BO160*VLOOKUP('Données projet'!$B$11,Paramètres!$A$1:$I$88,3,0)*0.475*44/12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2.8421709430404007E-14</v>
      </c>
      <c r="O161" s="14">
        <f>N161*VLOOKUP('Données projet'!$B$9,Paramètres!$A$1:$I$88,3,0)*VLOOKUP('Données projet'!$B$9,Paramètres!$A$1:$I$88,5,0)</f>
        <v>2.5715962692629544E-14</v>
      </c>
      <c r="P161" s="14">
        <f t="shared" si="141"/>
        <v>4.5248818890525812E-13</v>
      </c>
      <c r="Q161" s="22">
        <f t="shared" si="162"/>
        <v>8.3287223069965432E-13</v>
      </c>
      <c r="R161" s="62">
        <f t="shared" si="109"/>
        <v>287.56052422643285</v>
      </c>
      <c r="S161" s="62">
        <f ca="1">AVERAGE(OFFSET($R$3,0,0,'Données projet'!$E$9+1,1))-AVERAGE(OFFSET($H$3,0,0,'Données projet'!$E$9+1,1))</f>
        <v>158.2231941902271</v>
      </c>
      <c r="T161" s="62">
        <f t="shared" si="142"/>
        <v>109.82011879787936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projet'!$B$10,Paramètres!$A$1:$I$88,3,0)*VLOOKUP('Données projet'!$B$10,Paramètres!$A$1:$I$88,5,0)</f>
        <v>2.6602720026858149E-14</v>
      </c>
      <c r="AK161" s="14">
        <f t="shared" si="164"/>
        <v>4.6624771586320878E-13</v>
      </c>
      <c r="AL161" s="22">
        <f t="shared" si="165"/>
        <v>8.583811758418665E-13</v>
      </c>
      <c r="AM161" s="62">
        <f t="shared" si="113"/>
        <v>287.56052422643285</v>
      </c>
      <c r="AN161" s="62">
        <f ca="1">AVERAGE(OFFSET($AM$3,0,0,'Données projet'!$E$10+1,1))-AVERAGE(OFFSET($H$3,0,0,'Données projet'!$E$10+1,1))</f>
        <v>188.94867378904664</v>
      </c>
      <c r="AO161" s="62">
        <f t="shared" si="144"/>
        <v>242.84781402593833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1.2181816253483346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8.4101231470684825E-19</v>
      </c>
      <c r="AX161" s="23">
        <f t="shared" si="166"/>
        <v>1.2181816253483346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projet'!$B$11,Paramètres!$A$1:$I$88,3,0)*0.475*44/12</f>
        <v>#N/A</v>
      </c>
      <c r="BQ161" s="23" t="e">
        <f>EXP(-LN(2)/25)*BQ160+(1-EXP(-LN(2)/25))/(LN(2)/25)*Calculateur!BL161*Calculateur!BN161*VLOOKUP('Données projet'!$B$11,Paramètres!$A$1:$I$88,3,0)*0.475*44/12</f>
        <v>#N/A</v>
      </c>
      <c r="BR161" s="23" t="e">
        <f>EXP(-LN(2)/2)*BR160+(1-EXP(-LN(2)/2))/(LN(2)/2)*BL161*BO161*VLOOKUP('Données projet'!$B$11,Paramètres!$A$1:$I$88,3,0)*0.475*44/12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2.8421709430404007E-14</v>
      </c>
      <c r="O162" s="14">
        <f>N162*VLOOKUP('Données projet'!$B$9,Paramètres!$A$1:$I$88,3,0)*VLOOKUP('Données projet'!$B$9,Paramètres!$A$1:$I$88,5,0)</f>
        <v>2.5715962692629544E-14</v>
      </c>
      <c r="P162" s="14">
        <f t="shared" si="141"/>
        <v>4.5248818890525812E-13</v>
      </c>
      <c r="Q162" s="22">
        <f t="shared" si="162"/>
        <v>8.3287223069965432E-13</v>
      </c>
      <c r="R162" s="62">
        <f t="shared" si="109"/>
        <v>287.66066955836982</v>
      </c>
      <c r="S162" s="62">
        <f ca="1">AVERAGE(OFFSET($R$3,0,0,'Données projet'!$E$9+1,1))-AVERAGE(OFFSET($H$3,0,0,'Données projet'!$E$9+1,1))</f>
        <v>158.2231941902271</v>
      </c>
      <c r="T162" s="62">
        <f t="shared" si="142"/>
        <v>109.82011879787936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projet'!$B$10,Paramètres!$A$1:$I$88,3,0)*VLOOKUP('Données projet'!$B$10,Paramètres!$A$1:$I$88,5,0)</f>
        <v>2.6602720026858149E-14</v>
      </c>
      <c r="AK162" s="14">
        <f t="shared" si="164"/>
        <v>4.6624771586320878E-13</v>
      </c>
      <c r="AL162" s="22">
        <f t="shared" si="165"/>
        <v>8.583811758418665E-13</v>
      </c>
      <c r="AM162" s="62">
        <f t="shared" si="113"/>
        <v>287.66066955836982</v>
      </c>
      <c r="AN162" s="62">
        <f ca="1">AVERAGE(OFFSET($AM$3,0,0,'Données projet'!$E$10+1,1))-AVERAGE(OFFSET($H$3,0,0,'Données projet'!$E$10+1,1))</f>
        <v>188.94867378904664</v>
      </c>
      <c r="AO162" s="62">
        <f t="shared" si="144"/>
        <v>242.84781402593833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1.1942938266926784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5.9468551079060728E-19</v>
      </c>
      <c r="AX162" s="23">
        <f t="shared" si="166"/>
        <v>1.1942938266926784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projet'!$B$11,Paramètres!$A$1:$I$88,3,0)*0.475*44/12</f>
        <v>#N/A</v>
      </c>
      <c r="BQ162" s="23" t="e">
        <f>EXP(-LN(2)/25)*BQ161+(1-EXP(-LN(2)/25))/(LN(2)/25)*Calculateur!BL162*Calculateur!BN162*VLOOKUP('Données projet'!$B$11,Paramètres!$A$1:$I$88,3,0)*0.475*44/12</f>
        <v>#N/A</v>
      </c>
      <c r="BR162" s="23" t="e">
        <f>EXP(-LN(2)/2)*BR161+(1-EXP(-LN(2)/2))/(LN(2)/2)*BL162*BO162*VLOOKUP('Données projet'!$B$11,Paramètres!$A$1:$I$88,3,0)*0.475*44/12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2.8421709430404007E-14</v>
      </c>
      <c r="O163" s="14">
        <f>N163*VLOOKUP('Données projet'!$B$9,Paramètres!$A$1:$I$88,3,0)*VLOOKUP('Données projet'!$B$9,Paramètres!$A$1:$I$88,5,0)</f>
        <v>2.5715962692629544E-14</v>
      </c>
      <c r="P163" s="14">
        <f t="shared" si="141"/>
        <v>4.5248818890525812E-13</v>
      </c>
      <c r="Q163" s="22">
        <f t="shared" si="162"/>
        <v>8.3287223069965432E-13</v>
      </c>
      <c r="R163" s="62">
        <f t="shared" si="109"/>
        <v>287.75907759268921</v>
      </c>
      <c r="S163" s="62">
        <f ca="1">AVERAGE(OFFSET($R$3,0,0,'Données projet'!$E$9+1,1))-AVERAGE(OFFSET($H$3,0,0,'Données projet'!$E$9+1,1))</f>
        <v>158.2231941902271</v>
      </c>
      <c r="T163" s="62">
        <f t="shared" si="142"/>
        <v>109.82011879787936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projet'!$B$10,Paramètres!$A$1:$I$88,3,0)*VLOOKUP('Données projet'!$B$10,Paramètres!$A$1:$I$88,5,0)</f>
        <v>2.6602720026858149E-14</v>
      </c>
      <c r="AK163" s="14">
        <f t="shared" si="164"/>
        <v>4.6624771586320878E-13</v>
      </c>
      <c r="AL163" s="22">
        <f t="shared" si="165"/>
        <v>8.583811758418665E-13</v>
      </c>
      <c r="AM163" s="62">
        <f t="shared" si="113"/>
        <v>287.75907759268921</v>
      </c>
      <c r="AN163" s="62">
        <f ca="1">AVERAGE(OFFSET($AM$3,0,0,'Données projet'!$E$10+1,1))-AVERAGE(OFFSET($H$3,0,0,'Données projet'!$E$10+1,1))</f>
        <v>188.94867378904664</v>
      </c>
      <c r="AO163" s="62">
        <f t="shared" si="144"/>
        <v>242.84781402593833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1.1708744531985411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4.2050615735342422E-19</v>
      </c>
      <c r="AX163" s="23">
        <f t="shared" si="166"/>
        <v>1.1708744531985411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projet'!$B$11,Paramètres!$A$1:$I$88,3,0)*0.475*44/12</f>
        <v>#N/A</v>
      </c>
      <c r="BQ163" s="23" t="e">
        <f>EXP(-LN(2)/25)*BQ162+(1-EXP(-LN(2)/25))/(LN(2)/25)*Calculateur!BL163*Calculateur!BN163*VLOOKUP('Données projet'!$B$11,Paramètres!$A$1:$I$88,3,0)*0.475*44/12</f>
        <v>#N/A</v>
      </c>
      <c r="BR163" s="23" t="e">
        <f>EXP(-LN(2)/2)*BR162+(1-EXP(-LN(2)/2))/(LN(2)/2)*BL163*BO163*VLOOKUP('Données projet'!$B$11,Paramètres!$A$1:$I$88,3,0)*0.475*44/12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2.8421709430404007E-14</v>
      </c>
      <c r="O164" s="14">
        <f>N164*VLOOKUP('Données projet'!$B$9,Paramètres!$A$1:$I$88,3,0)*VLOOKUP('Données projet'!$B$9,Paramètres!$A$1:$I$88,5,0)</f>
        <v>2.5715962692629544E-14</v>
      </c>
      <c r="P164" s="14">
        <f t="shared" si="141"/>
        <v>4.5248818890525812E-13</v>
      </c>
      <c r="Q164" s="22">
        <f t="shared" si="162"/>
        <v>8.3287223069965432E-13</v>
      </c>
      <c r="R164" s="62">
        <f t="shared" si="109"/>
        <v>287.85577846762055</v>
      </c>
      <c r="S164" s="62">
        <f ca="1">AVERAGE(OFFSET($R$3,0,0,'Données projet'!$E$9+1,1))-AVERAGE(OFFSET($H$3,0,0,'Données projet'!$E$9+1,1))</f>
        <v>158.2231941902271</v>
      </c>
      <c r="T164" s="62">
        <f t="shared" si="142"/>
        <v>109.82011879787936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projet'!$B$10,Paramètres!$A$1:$I$88,3,0)*VLOOKUP('Données projet'!$B$10,Paramètres!$A$1:$I$88,5,0)</f>
        <v>2.6602720026858149E-14</v>
      </c>
      <c r="AK164" s="14">
        <f t="shared" si="164"/>
        <v>4.6624771586320878E-13</v>
      </c>
      <c r="AL164" s="22">
        <f t="shared" si="165"/>
        <v>8.583811758418665E-13</v>
      </c>
      <c r="AM164" s="62">
        <f t="shared" si="113"/>
        <v>287.85577846762055</v>
      </c>
      <c r="AN164" s="62">
        <f ca="1">AVERAGE(OFFSET($AM$3,0,0,'Données projet'!$E$10+1,1))-AVERAGE(OFFSET($H$3,0,0,'Données projet'!$E$10+1,1))</f>
        <v>188.94867378904664</v>
      </c>
      <c r="AO164" s="62">
        <f t="shared" si="144"/>
        <v>242.84781402593833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1.1479143193342165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2.9734275539530369E-19</v>
      </c>
      <c r="AX164" s="23">
        <f t="shared" si="166"/>
        <v>1.1479143193342165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projet'!$B$11,Paramètres!$A$1:$I$88,3,0)*0.475*44/12</f>
        <v>#N/A</v>
      </c>
      <c r="BQ164" s="23" t="e">
        <f>EXP(-LN(2)/25)*BQ163+(1-EXP(-LN(2)/25))/(LN(2)/25)*Calculateur!BL164*Calculateur!BN164*VLOOKUP('Données projet'!$B$11,Paramètres!$A$1:$I$88,3,0)*0.475*44/12</f>
        <v>#N/A</v>
      </c>
      <c r="BR164" s="23" t="e">
        <f>EXP(-LN(2)/2)*BR163+(1-EXP(-LN(2)/2))/(LN(2)/2)*BL164*BO164*VLOOKUP('Données projet'!$B$11,Paramètres!$A$1:$I$88,3,0)*0.475*44/12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2.8421709430404007E-14</v>
      </c>
      <c r="O165" s="14">
        <f>N165*VLOOKUP('Données projet'!$B$9,Paramètres!$A$1:$I$88,3,0)*VLOOKUP('Données projet'!$B$9,Paramètres!$A$1:$I$88,5,0)</f>
        <v>2.5715962692629544E-14</v>
      </c>
      <c r="P165" s="14">
        <f t="shared" si="141"/>
        <v>4.5248818890525812E-13</v>
      </c>
      <c r="Q165" s="22">
        <f t="shared" si="162"/>
        <v>8.3287223069965432E-13</v>
      </c>
      <c r="R165" s="62">
        <f t="shared" si="109"/>
        <v>287.95080179856257</v>
      </c>
      <c r="S165" s="62">
        <f ca="1">AVERAGE(OFFSET($R$3,0,0,'Données projet'!$E$9+1,1))-AVERAGE(OFFSET($H$3,0,0,'Données projet'!$E$9+1,1))</f>
        <v>158.2231941902271</v>
      </c>
      <c r="T165" s="62">
        <f t="shared" si="142"/>
        <v>109.82011879787936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projet'!$B$10,Paramètres!$A$1:$I$88,3,0)*VLOOKUP('Données projet'!$B$10,Paramètres!$A$1:$I$88,5,0)</f>
        <v>2.6602720026858149E-14</v>
      </c>
      <c r="AK165" s="14">
        <f t="shared" si="164"/>
        <v>4.6624771586320878E-13</v>
      </c>
      <c r="AL165" s="22">
        <f t="shared" si="165"/>
        <v>8.583811758418665E-13</v>
      </c>
      <c r="AM165" s="62">
        <f t="shared" si="113"/>
        <v>287.95080179856257</v>
      </c>
      <c r="AN165" s="62">
        <f ca="1">AVERAGE(OFFSET($AM$3,0,0,'Données projet'!$E$10+1,1))-AVERAGE(OFFSET($H$3,0,0,'Données projet'!$E$10+1,1))</f>
        <v>188.94867378904664</v>
      </c>
      <c r="AO165" s="62">
        <f t="shared" si="144"/>
        <v>242.84781402593833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1.1254044196906723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2.1025307867671214E-19</v>
      </c>
      <c r="AX165" s="23">
        <f t="shared" si="166"/>
        <v>1.1254044196906723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projet'!$B$11,Paramètres!$A$1:$I$88,3,0)*0.475*44/12</f>
        <v>#N/A</v>
      </c>
      <c r="BQ165" s="23" t="e">
        <f>EXP(-LN(2)/25)*BQ164+(1-EXP(-LN(2)/25))/(LN(2)/25)*Calculateur!BL165*Calculateur!BN165*VLOOKUP('Données projet'!$B$11,Paramètres!$A$1:$I$88,3,0)*0.475*44/12</f>
        <v>#N/A</v>
      </c>
      <c r="BR165" s="23" t="e">
        <f>EXP(-LN(2)/2)*BR164+(1-EXP(-LN(2)/2))/(LN(2)/2)*BL165*BO165*VLOOKUP('Données projet'!$B$11,Paramètres!$A$1:$I$88,3,0)*0.475*44/12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2.8421709430404007E-14</v>
      </c>
      <c r="O166" s="14">
        <f>N166*VLOOKUP('Données projet'!$B$9,Paramètres!$A$1:$I$88,3,0)*VLOOKUP('Données projet'!$B$9,Paramètres!$A$1:$I$88,5,0)</f>
        <v>2.5715962692629544E-14</v>
      </c>
      <c r="P166" s="14">
        <f t="shared" si="141"/>
        <v>4.5248818890525812E-13</v>
      </c>
      <c r="Q166" s="22">
        <f t="shared" si="162"/>
        <v>8.3287223069965432E-13</v>
      </c>
      <c r="R166" s="62">
        <f t="shared" si="109"/>
        <v>288.04417668715308</v>
      </c>
      <c r="S166" s="62">
        <f ca="1">AVERAGE(OFFSET($R$3,0,0,'Données projet'!$E$9+1,1))-AVERAGE(OFFSET($H$3,0,0,'Données projet'!$E$9+1,1))</f>
        <v>158.2231941902271</v>
      </c>
      <c r="T166" s="62">
        <f t="shared" si="142"/>
        <v>109.82011879787936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projet'!$B$10,Paramètres!$A$1:$I$88,3,0)*VLOOKUP('Données projet'!$B$10,Paramètres!$A$1:$I$88,5,0)</f>
        <v>2.6602720026858149E-14</v>
      </c>
      <c r="AK166" s="14">
        <f t="shared" si="164"/>
        <v>4.6624771586320878E-13</v>
      </c>
      <c r="AL166" s="22">
        <f t="shared" si="165"/>
        <v>8.583811758418665E-13</v>
      </c>
      <c r="AM166" s="62">
        <f t="shared" si="113"/>
        <v>288.04417668715308</v>
      </c>
      <c r="AN166" s="62">
        <f ca="1">AVERAGE(OFFSET($AM$3,0,0,'Données projet'!$E$10+1,1))-AVERAGE(OFFSET($H$3,0,0,'Données projet'!$E$10+1,1))</f>
        <v>188.94867378904664</v>
      </c>
      <c r="AO166" s="62">
        <f t="shared" si="144"/>
        <v>242.84781402593833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1.103335925449455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1.4867137769765187E-19</v>
      </c>
      <c r="AX166" s="23">
        <f t="shared" si="166"/>
        <v>1.103335925449455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projet'!$B$11,Paramètres!$A$1:$I$88,3,0)*0.475*44/12</f>
        <v>#N/A</v>
      </c>
      <c r="BQ166" s="23" t="e">
        <f>EXP(-LN(2)/25)*BQ165+(1-EXP(-LN(2)/25))/(LN(2)/25)*Calculateur!BL166*Calculateur!BN166*VLOOKUP('Données projet'!$B$11,Paramètres!$A$1:$I$88,3,0)*0.475*44/12</f>
        <v>#N/A</v>
      </c>
      <c r="BR166" s="23" t="e">
        <f>EXP(-LN(2)/2)*BR165+(1-EXP(-LN(2)/2))/(LN(2)/2)*BL166*BO166*VLOOKUP('Données projet'!$B$11,Paramètres!$A$1:$I$88,3,0)*0.475*44/12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2.8421709430404007E-14</v>
      </c>
      <c r="O167" s="14">
        <f>N167*VLOOKUP('Données projet'!$B$9,Paramètres!$A$1:$I$88,3,0)*VLOOKUP('Données projet'!$B$9,Paramètres!$A$1:$I$88,5,0)</f>
        <v>2.5715962692629544E-14</v>
      </c>
      <c r="P167" s="14">
        <f t="shared" si="141"/>
        <v>4.5248818890525812E-13</v>
      </c>
      <c r="Q167" s="22">
        <f t="shared" si="162"/>
        <v>8.3287223069965432E-13</v>
      </c>
      <c r="R167" s="62">
        <f t="shared" si="109"/>
        <v>288.13593173018154</v>
      </c>
      <c r="S167" s="62">
        <f ca="1">AVERAGE(OFFSET($R$3,0,0,'Données projet'!$E$9+1,1))-AVERAGE(OFFSET($H$3,0,0,'Données projet'!$E$9+1,1))</f>
        <v>158.2231941902271</v>
      </c>
      <c r="T167" s="62">
        <f t="shared" si="142"/>
        <v>109.82011879787936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projet'!$B$10,Paramètres!$A$1:$I$88,3,0)*VLOOKUP('Données projet'!$B$10,Paramètres!$A$1:$I$88,5,0)</f>
        <v>2.6602720026858149E-14</v>
      </c>
      <c r="AK167" s="14">
        <f t="shared" si="164"/>
        <v>4.6624771586320878E-13</v>
      </c>
      <c r="AL167" s="22">
        <f t="shared" si="165"/>
        <v>8.583811758418665E-13</v>
      </c>
      <c r="AM167" s="62">
        <f t="shared" si="113"/>
        <v>288.13593173018154</v>
      </c>
      <c r="AN167" s="62">
        <f ca="1">AVERAGE(OFFSET($AM$3,0,0,'Données projet'!$E$10+1,1))-AVERAGE(OFFSET($H$3,0,0,'Données projet'!$E$10+1,1))</f>
        <v>188.94867378904664</v>
      </c>
      <c r="AO167" s="62">
        <f t="shared" si="144"/>
        <v>242.84781402593833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1.0817001809198556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1.0512653933835609E-19</v>
      </c>
      <c r="AX167" s="23">
        <f t="shared" si="166"/>
        <v>1.0817001809198556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projet'!$B$11,Paramètres!$A$1:$I$88,3,0)*0.475*44/12</f>
        <v>#N/A</v>
      </c>
      <c r="BQ167" s="23" t="e">
        <f>EXP(-LN(2)/25)*BQ166+(1-EXP(-LN(2)/25))/(LN(2)/25)*Calculateur!BL167*Calculateur!BN167*VLOOKUP('Données projet'!$B$11,Paramètres!$A$1:$I$88,3,0)*0.475*44/12</f>
        <v>#N/A</v>
      </c>
      <c r="BR167" s="23" t="e">
        <f>EXP(-LN(2)/2)*BR166+(1-EXP(-LN(2)/2))/(LN(2)/2)*BL167*BO167*VLOOKUP('Données projet'!$B$11,Paramètres!$A$1:$I$88,3,0)*0.475*44/12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2.8421709430404007E-14</v>
      </c>
      <c r="O168" s="14">
        <f>N168*VLOOKUP('Données projet'!$B$9,Paramètres!$A$1:$I$88,3,0)*VLOOKUP('Données projet'!$B$9,Paramètres!$A$1:$I$88,5,0)</f>
        <v>2.5715962692629544E-14</v>
      </c>
      <c r="P168" s="14">
        <f t="shared" si="141"/>
        <v>4.5248818890525812E-13</v>
      </c>
      <c r="Q168" s="22">
        <f t="shared" si="162"/>
        <v>8.3287223069965432E-13</v>
      </c>
      <c r="R168" s="62">
        <f t="shared" si="109"/>
        <v>288.226095028347</v>
      </c>
      <c r="S168" s="62">
        <f ca="1">AVERAGE(OFFSET($R$3,0,0,'Données projet'!$E$9+1,1))-AVERAGE(OFFSET($H$3,0,0,'Données projet'!$E$9+1,1))</f>
        <v>158.2231941902271</v>
      </c>
      <c r="T168" s="62">
        <f t="shared" si="142"/>
        <v>109.82011879787936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projet'!$B$10,Paramètres!$A$1:$I$88,3,0)*VLOOKUP('Données projet'!$B$10,Paramètres!$A$1:$I$88,5,0)</f>
        <v>2.6602720026858149E-14</v>
      </c>
      <c r="AK168" s="14">
        <f t="shared" si="164"/>
        <v>4.6624771586320878E-13</v>
      </c>
      <c r="AL168" s="22">
        <f t="shared" si="165"/>
        <v>8.583811758418665E-13</v>
      </c>
      <c r="AM168" s="62">
        <f t="shared" si="113"/>
        <v>288.226095028347</v>
      </c>
      <c r="AN168" s="62">
        <f ca="1">AVERAGE(OFFSET($AM$3,0,0,'Données projet'!$E$10+1,1))-AVERAGE(OFFSET($H$3,0,0,'Données projet'!$E$10+1,1))</f>
        <v>188.94867378904664</v>
      </c>
      <c r="AO168" s="62">
        <f t="shared" si="144"/>
        <v>242.84781402593833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1.0604887001439807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7.4335688848825946E-20</v>
      </c>
      <c r="AX168" s="23">
        <f t="shared" si="166"/>
        <v>1.0604887001439807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projet'!$B$11,Paramètres!$A$1:$I$88,3,0)*0.475*44/12</f>
        <v>#N/A</v>
      </c>
      <c r="BQ168" s="23" t="e">
        <f>EXP(-LN(2)/25)*BQ167+(1-EXP(-LN(2)/25))/(LN(2)/25)*Calculateur!BL168*Calculateur!BN168*VLOOKUP('Données projet'!$B$11,Paramètres!$A$1:$I$88,3,0)*0.475*44/12</f>
        <v>#N/A</v>
      </c>
      <c r="BR168" s="23" t="e">
        <f>EXP(-LN(2)/2)*BR167+(1-EXP(-LN(2)/2))/(LN(2)/2)*BL168*BO168*VLOOKUP('Données projet'!$B$11,Paramètres!$A$1:$I$88,3,0)*0.475*44/12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2.8421709430404007E-14</v>
      </c>
      <c r="O169" s="14">
        <f>N169*VLOOKUP('Données projet'!$B$9,Paramètres!$A$1:$I$88,3,0)*VLOOKUP('Données projet'!$B$9,Paramètres!$A$1:$I$88,5,0)</f>
        <v>2.5715962692629544E-14</v>
      </c>
      <c r="P169" s="14">
        <f t="shared" si="141"/>
        <v>4.5248818890525812E-13</v>
      </c>
      <c r="Q169" s="22">
        <f t="shared" si="162"/>
        <v>8.3287223069965432E-13</v>
      </c>
      <c r="R169" s="62">
        <f t="shared" si="109"/>
        <v>288.31469419486427</v>
      </c>
      <c r="S169" s="62">
        <f ca="1">AVERAGE(OFFSET($R$3,0,0,'Données projet'!$E$9+1,1))-AVERAGE(OFFSET($H$3,0,0,'Données projet'!$E$9+1,1))</f>
        <v>158.2231941902271</v>
      </c>
      <c r="T169" s="62">
        <f t="shared" si="142"/>
        <v>109.82011879787936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projet'!$B$10,Paramètres!$A$1:$I$88,3,0)*VLOOKUP('Données projet'!$B$10,Paramètres!$A$1:$I$88,5,0)</f>
        <v>2.6602720026858149E-14</v>
      </c>
      <c r="AK169" s="14">
        <f t="shared" si="164"/>
        <v>4.6624771586320878E-13</v>
      </c>
      <c r="AL169" s="22">
        <f t="shared" si="165"/>
        <v>8.583811758418665E-13</v>
      </c>
      <c r="AM169" s="62">
        <f t="shared" si="113"/>
        <v>288.31469419486427</v>
      </c>
      <c r="AN169" s="62">
        <f ca="1">AVERAGE(OFFSET($AM$3,0,0,'Données projet'!$E$10+1,1))-AVERAGE(OFFSET($H$3,0,0,'Données projet'!$E$10+1,1))</f>
        <v>188.94867378904664</v>
      </c>
      <c r="AO169" s="62">
        <f t="shared" si="144"/>
        <v>242.84781402593833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1.0396931635683948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5.2563269669178052E-20</v>
      </c>
      <c r="AX169" s="23">
        <f t="shared" si="166"/>
        <v>1.0396931635683948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projet'!$B$11,Paramètres!$A$1:$I$88,3,0)*0.475*44/12</f>
        <v>#N/A</v>
      </c>
      <c r="BQ169" s="23" t="e">
        <f>EXP(-LN(2)/25)*BQ168+(1-EXP(-LN(2)/25))/(LN(2)/25)*Calculateur!BL169*Calculateur!BN169*VLOOKUP('Données projet'!$B$11,Paramètres!$A$1:$I$88,3,0)*0.475*44/12</f>
        <v>#N/A</v>
      </c>
      <c r="BR169" s="23" t="e">
        <f>EXP(-LN(2)/2)*BR168+(1-EXP(-LN(2)/2))/(LN(2)/2)*BL169*BO169*VLOOKUP('Données projet'!$B$11,Paramètres!$A$1:$I$88,3,0)*0.475*44/12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2.8421709430404007E-14</v>
      </c>
      <c r="O170" s="14">
        <f>N170*VLOOKUP('Données projet'!$B$9,Paramètres!$A$1:$I$88,3,0)*VLOOKUP('Données projet'!$B$9,Paramètres!$A$1:$I$88,5,0)</f>
        <v>2.5715962692629544E-14</v>
      </c>
      <c r="P170" s="14">
        <f t="shared" si="141"/>
        <v>4.5248818890525812E-13</v>
      </c>
      <c r="Q170" s="22">
        <f t="shared" si="162"/>
        <v>8.3287223069965432E-13</v>
      </c>
      <c r="R170" s="62">
        <f t="shared" si="109"/>
        <v>288.40175636392047</v>
      </c>
      <c r="S170" s="62">
        <f ca="1">AVERAGE(OFFSET($R$3,0,0,'Données projet'!$E$9+1,1))-AVERAGE(OFFSET($H$3,0,0,'Données projet'!$E$9+1,1))</f>
        <v>158.2231941902271</v>
      </c>
      <c r="T170" s="62">
        <f t="shared" si="142"/>
        <v>109.82011879787936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projet'!$B$10,Paramètres!$A$1:$I$88,3,0)*VLOOKUP('Données projet'!$B$10,Paramètres!$A$1:$I$88,5,0)</f>
        <v>2.6602720026858149E-14</v>
      </c>
      <c r="AK170" s="14">
        <f t="shared" si="164"/>
        <v>4.6624771586320878E-13</v>
      </c>
      <c r="AL170" s="22">
        <f t="shared" si="165"/>
        <v>8.583811758418665E-13</v>
      </c>
      <c r="AM170" s="62">
        <f t="shared" si="113"/>
        <v>288.40175636392047</v>
      </c>
      <c r="AN170" s="62">
        <f ca="1">AVERAGE(OFFSET($AM$3,0,0,'Données projet'!$E$10+1,1))-AVERAGE(OFFSET($H$3,0,0,'Données projet'!$E$10+1,1))</f>
        <v>188.94867378904664</v>
      </c>
      <c r="AO170" s="62">
        <f t="shared" si="144"/>
        <v>242.84781402593833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1.0193054147810312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3.7167844424412979E-20</v>
      </c>
      <c r="AX170" s="23">
        <f t="shared" si="166"/>
        <v>1.0193054147810312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projet'!$B$11,Paramètres!$A$1:$I$88,3,0)*0.475*44/12</f>
        <v>#N/A</v>
      </c>
      <c r="BQ170" s="23" t="e">
        <f>EXP(-LN(2)/25)*BQ169+(1-EXP(-LN(2)/25))/(LN(2)/25)*Calculateur!BL170*Calculateur!BN170*VLOOKUP('Données projet'!$B$11,Paramètres!$A$1:$I$88,3,0)*0.475*44/12</f>
        <v>#N/A</v>
      </c>
      <c r="BR170" s="23" t="e">
        <f>EXP(-LN(2)/2)*BR169+(1-EXP(-LN(2)/2))/(LN(2)/2)*BL170*BO170*VLOOKUP('Données projet'!$B$11,Paramètres!$A$1:$I$88,3,0)*0.475*44/12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2.8421709430404007E-14</v>
      </c>
      <c r="O171" s="14">
        <f>N171*VLOOKUP('Données projet'!$B$9,Paramètres!$A$1:$I$88,3,0)*VLOOKUP('Données projet'!$B$9,Paramètres!$A$1:$I$88,5,0)</f>
        <v>2.5715962692629544E-14</v>
      </c>
      <c r="P171" s="14">
        <f t="shared" si="141"/>
        <v>4.5248818890525812E-13</v>
      </c>
      <c r="Q171" s="22">
        <f t="shared" si="162"/>
        <v>8.3287223069965432E-13</v>
      </c>
      <c r="R171" s="62">
        <f t="shared" si="109"/>
        <v>288.48730819898537</v>
      </c>
      <c r="S171" s="62">
        <f ca="1">AVERAGE(OFFSET($R$3,0,0,'Données projet'!$E$9+1,1))-AVERAGE(OFFSET($H$3,0,0,'Données projet'!$E$9+1,1))</f>
        <v>158.2231941902271</v>
      </c>
      <c r="T171" s="62">
        <f t="shared" si="142"/>
        <v>109.82011879787936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projet'!$B$10,Paramètres!$A$1:$I$88,3,0)*VLOOKUP('Données projet'!$B$10,Paramètres!$A$1:$I$88,5,0)</f>
        <v>2.6602720026858149E-14</v>
      </c>
      <c r="AK171" s="14">
        <f t="shared" si="164"/>
        <v>4.6624771586320878E-13</v>
      </c>
      <c r="AL171" s="22">
        <f t="shared" si="165"/>
        <v>8.583811758418665E-13</v>
      </c>
      <c r="AM171" s="62">
        <f t="shared" si="113"/>
        <v>288.48730819898537</v>
      </c>
      <c r="AN171" s="62">
        <f ca="1">AVERAGE(OFFSET($AM$3,0,0,'Données projet'!$E$10+1,1))-AVERAGE(OFFSET($H$3,0,0,'Données projet'!$E$10+1,1))</f>
        <v>188.94867378904664</v>
      </c>
      <c r="AO171" s="62">
        <f t="shared" si="144"/>
        <v>242.84781402593833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0.99931745731208899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2.6281634834589029E-20</v>
      </c>
      <c r="AX171" s="23">
        <f t="shared" si="166"/>
        <v>0.99931745731208899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projet'!$B$11,Paramètres!$A$1:$I$88,3,0)*0.475*44/12</f>
        <v>#N/A</v>
      </c>
      <c r="BQ171" s="23" t="e">
        <f>EXP(-LN(2)/25)*BQ170+(1-EXP(-LN(2)/25))/(LN(2)/25)*Calculateur!BL171*Calculateur!BN171*VLOOKUP('Données projet'!$B$11,Paramètres!$A$1:$I$88,3,0)*0.475*44/12</f>
        <v>#N/A</v>
      </c>
      <c r="BR171" s="23" t="e">
        <f>EXP(-LN(2)/2)*BR170+(1-EXP(-LN(2)/2))/(LN(2)/2)*BL171*BO171*VLOOKUP('Données projet'!$B$11,Paramètres!$A$1:$I$88,3,0)*0.475*44/12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2.8421709430404007E-14</v>
      </c>
      <c r="O172" s="14">
        <f>N172*VLOOKUP('Données projet'!$B$9,Paramètres!$A$1:$I$88,3,0)*VLOOKUP('Données projet'!$B$9,Paramètres!$A$1:$I$88,5,0)</f>
        <v>2.5715962692629544E-14</v>
      </c>
      <c r="P172" s="14">
        <f t="shared" si="141"/>
        <v>4.5248818890525812E-13</v>
      </c>
      <c r="Q172" s="22">
        <f t="shared" si="162"/>
        <v>8.3287223069965432E-13</v>
      </c>
      <c r="R172" s="62">
        <f t="shared" si="109"/>
        <v>288.57137590097727</v>
      </c>
      <c r="S172" s="62">
        <f ca="1">AVERAGE(OFFSET($R$3,0,0,'Données projet'!$E$9+1,1))-AVERAGE(OFFSET($H$3,0,0,'Données projet'!$E$9+1,1))</f>
        <v>158.2231941902271</v>
      </c>
      <c r="T172" s="62">
        <f t="shared" si="142"/>
        <v>109.82011879787936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projet'!$B$10,Paramètres!$A$1:$I$88,3,0)*VLOOKUP('Données projet'!$B$10,Paramètres!$A$1:$I$88,5,0)</f>
        <v>2.6602720026858149E-14</v>
      </c>
      <c r="AK172" s="14">
        <f t="shared" si="164"/>
        <v>4.6624771586320878E-13</v>
      </c>
      <c r="AL172" s="22">
        <f t="shared" si="165"/>
        <v>8.583811758418665E-13</v>
      </c>
      <c r="AM172" s="62">
        <f t="shared" si="113"/>
        <v>288.57137590097727</v>
      </c>
      <c r="AN172" s="62">
        <f ca="1">AVERAGE(OFFSET($AM$3,0,0,'Données projet'!$E$10+1,1))-AVERAGE(OFFSET($H$3,0,0,'Données projet'!$E$10+1,1))</f>
        <v>188.94867378904664</v>
      </c>
      <c r="AO172" s="62">
        <f t="shared" si="144"/>
        <v>242.84781402593833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0.97972145149766243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1.8583922212206489E-20</v>
      </c>
      <c r="AX172" s="23">
        <f t="shared" si="166"/>
        <v>0.97972145149766243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projet'!$B$11,Paramètres!$A$1:$I$88,3,0)*0.475*44/12</f>
        <v>#N/A</v>
      </c>
      <c r="BQ172" s="23" t="e">
        <f>EXP(-LN(2)/25)*BQ171+(1-EXP(-LN(2)/25))/(LN(2)/25)*Calculateur!BL172*Calculateur!BN172*VLOOKUP('Données projet'!$B$11,Paramètres!$A$1:$I$88,3,0)*0.475*44/12</f>
        <v>#N/A</v>
      </c>
      <c r="BR172" s="23" t="e">
        <f>EXP(-LN(2)/2)*BR171+(1-EXP(-LN(2)/2))/(LN(2)/2)*BL172*BO172*VLOOKUP('Données projet'!$B$11,Paramètres!$A$1:$I$88,3,0)*0.475*44/12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2.8421709430404007E-14</v>
      </c>
      <c r="O173" s="14">
        <f>N173*VLOOKUP('Données projet'!$B$9,Paramètres!$A$1:$I$88,3,0)*VLOOKUP('Données projet'!$B$9,Paramètres!$A$1:$I$88,5,0)</f>
        <v>2.5715962692629544E-14</v>
      </c>
      <c r="P173" s="14">
        <f t="shared" si="141"/>
        <v>4.5248818890525812E-13</v>
      </c>
      <c r="Q173" s="22">
        <f t="shared" si="162"/>
        <v>8.3287223069965432E-13</v>
      </c>
      <c r="R173" s="62">
        <f t="shared" si="109"/>
        <v>288.65398521628674</v>
      </c>
      <c r="S173" s="62">
        <f ca="1">AVERAGE(OFFSET($R$3,0,0,'Données projet'!$E$9+1,1))-AVERAGE(OFFSET($H$3,0,0,'Données projet'!$E$9+1,1))</f>
        <v>158.2231941902271</v>
      </c>
      <c r="T173" s="62">
        <f t="shared" si="142"/>
        <v>109.82011879787936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projet'!$B$10,Paramètres!$A$1:$I$88,3,0)*VLOOKUP('Données projet'!$B$10,Paramètres!$A$1:$I$88,5,0)</f>
        <v>2.6602720026858149E-14</v>
      </c>
      <c r="AK173" s="14">
        <f t="shared" si="164"/>
        <v>4.6624771586320878E-13</v>
      </c>
      <c r="AL173" s="22">
        <f t="shared" si="165"/>
        <v>8.583811758418665E-13</v>
      </c>
      <c r="AM173" s="62">
        <f t="shared" si="113"/>
        <v>288.65398521628674</v>
      </c>
      <c r="AN173" s="62">
        <f ca="1">AVERAGE(OFFSET($AM$3,0,0,'Données projet'!$E$10+1,1))-AVERAGE(OFFSET($H$3,0,0,'Données projet'!$E$10+1,1))</f>
        <v>188.94867378904664</v>
      </c>
      <c r="AO173" s="62">
        <f t="shared" si="144"/>
        <v>242.84781402593833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0.9605097114048734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1.3140817417294514E-20</v>
      </c>
      <c r="AX173" s="23">
        <f t="shared" si="166"/>
        <v>0.9605097114048734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projet'!$B$11,Paramètres!$A$1:$I$88,3,0)*0.475*44/12</f>
        <v>#N/A</v>
      </c>
      <c r="BQ173" s="23" t="e">
        <f>EXP(-LN(2)/25)*BQ172+(1-EXP(-LN(2)/25))/(LN(2)/25)*Calculateur!BL173*Calculateur!BN173*VLOOKUP('Données projet'!$B$11,Paramètres!$A$1:$I$88,3,0)*0.475*44/12</f>
        <v>#N/A</v>
      </c>
      <c r="BR173" s="23" t="e">
        <f>EXP(-LN(2)/2)*BR172+(1-EXP(-LN(2)/2))/(LN(2)/2)*BL173*BO173*VLOOKUP('Données projet'!$B$11,Paramètres!$A$1:$I$88,3,0)*0.475*44/12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2.8421709430404007E-14</v>
      </c>
      <c r="O174" s="14">
        <f>N174*VLOOKUP('Données projet'!$B$9,Paramètres!$A$1:$I$88,3,0)*VLOOKUP('Données projet'!$B$9,Paramètres!$A$1:$I$88,5,0)</f>
        <v>2.5715962692629544E-14</v>
      </c>
      <c r="P174" s="14">
        <f t="shared" si="141"/>
        <v>4.5248818890525812E-13</v>
      </c>
      <c r="Q174" s="22">
        <f t="shared" si="162"/>
        <v>8.3287223069965432E-13</v>
      </c>
      <c r="R174" s="62">
        <f t="shared" si="109"/>
        <v>288.73516144466237</v>
      </c>
      <c r="S174" s="62">
        <f ca="1">AVERAGE(OFFSET($R$3,0,0,'Données projet'!$E$9+1,1))-AVERAGE(OFFSET($H$3,0,0,'Données projet'!$E$9+1,1))</f>
        <v>158.2231941902271</v>
      </c>
      <c r="T174" s="62">
        <f t="shared" si="142"/>
        <v>109.82011879787936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projet'!$B$10,Paramètres!$A$1:$I$88,3,0)*VLOOKUP('Données projet'!$B$10,Paramètres!$A$1:$I$88,5,0)</f>
        <v>2.6602720026858149E-14</v>
      </c>
      <c r="AK174" s="14">
        <f t="shared" si="164"/>
        <v>4.6624771586320878E-13</v>
      </c>
      <c r="AL174" s="22">
        <f t="shared" si="165"/>
        <v>8.583811758418665E-13</v>
      </c>
      <c r="AM174" s="62">
        <f t="shared" si="113"/>
        <v>288.73516144466237</v>
      </c>
      <c r="AN174" s="62">
        <f ca="1">AVERAGE(OFFSET($AM$3,0,0,'Données projet'!$E$10+1,1))-AVERAGE(OFFSET($H$3,0,0,'Données projet'!$E$10+1,1))</f>
        <v>188.94867378904664</v>
      </c>
      <c r="AO174" s="62">
        <f t="shared" si="144"/>
        <v>242.84781402593833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0.94167470181729962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9.2919611061032447E-21</v>
      </c>
      <c r="AX174" s="23">
        <f t="shared" si="166"/>
        <v>0.94167470181729962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projet'!$B$11,Paramètres!$A$1:$I$88,3,0)*0.475*44/12</f>
        <v>#N/A</v>
      </c>
      <c r="BQ174" s="23" t="e">
        <f>EXP(-LN(2)/25)*BQ173+(1-EXP(-LN(2)/25))/(LN(2)/25)*Calculateur!BL174*Calculateur!BN174*VLOOKUP('Données projet'!$B$11,Paramètres!$A$1:$I$88,3,0)*0.475*44/12</f>
        <v>#N/A</v>
      </c>
      <c r="BR174" s="23" t="e">
        <f>EXP(-LN(2)/2)*BR173+(1-EXP(-LN(2)/2))/(LN(2)/2)*BL174*BO174*VLOOKUP('Données projet'!$B$11,Paramètres!$A$1:$I$88,3,0)*0.475*44/12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2.8421709430404007E-14</v>
      </c>
      <c r="O175" s="14">
        <f>N175*VLOOKUP('Données projet'!$B$9,Paramètres!$A$1:$I$88,3,0)*VLOOKUP('Données projet'!$B$9,Paramètres!$A$1:$I$88,5,0)</f>
        <v>2.5715962692629544E-14</v>
      </c>
      <c r="P175" s="14">
        <f t="shared" si="141"/>
        <v>4.5248818890525812E-13</v>
      </c>
      <c r="Q175" s="22">
        <f t="shared" si="162"/>
        <v>8.3287223069965432E-13</v>
      </c>
      <c r="R175" s="62">
        <f t="shared" si="109"/>
        <v>288.8149294469585</v>
      </c>
      <c r="S175" s="62">
        <f ca="1">AVERAGE(OFFSET($R$3,0,0,'Données projet'!$E$9+1,1))-AVERAGE(OFFSET($H$3,0,0,'Données projet'!$E$9+1,1))</f>
        <v>158.2231941902271</v>
      </c>
      <c r="T175" s="62">
        <f t="shared" si="142"/>
        <v>109.82011879787936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projet'!$B$10,Paramètres!$A$1:$I$88,3,0)*VLOOKUP('Données projet'!$B$10,Paramètres!$A$1:$I$88,5,0)</f>
        <v>2.6602720026858149E-14</v>
      </c>
      <c r="AK175" s="14">
        <f t="shared" si="164"/>
        <v>4.6624771586320878E-13</v>
      </c>
      <c r="AL175" s="22">
        <f t="shared" si="165"/>
        <v>8.583811758418665E-13</v>
      </c>
      <c r="AM175" s="62">
        <f t="shared" si="113"/>
        <v>288.8149294469585</v>
      </c>
      <c r="AN175" s="62">
        <f ca="1">AVERAGE(OFFSET($AM$3,0,0,'Données projet'!$E$10+1,1))-AVERAGE(OFFSET($H$3,0,0,'Données projet'!$E$10+1,1))</f>
        <v>188.94867378904664</v>
      </c>
      <c r="AO175" s="62">
        <f t="shared" si="144"/>
        <v>242.84781402593833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0.9232090352795167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6.5704087086472572E-21</v>
      </c>
      <c r="AX175" s="23">
        <f t="shared" si="166"/>
        <v>0.9232090352795167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projet'!$B$11,Paramètres!$A$1:$I$88,3,0)*0.475*44/12</f>
        <v>#N/A</v>
      </c>
      <c r="BQ175" s="23" t="e">
        <f>EXP(-LN(2)/25)*BQ174+(1-EXP(-LN(2)/25))/(LN(2)/25)*Calculateur!BL175*Calculateur!BN175*VLOOKUP('Données projet'!$B$11,Paramètres!$A$1:$I$88,3,0)*0.475*44/12</f>
        <v>#N/A</v>
      </c>
      <c r="BR175" s="23" t="e">
        <f>EXP(-LN(2)/2)*BR174+(1-EXP(-LN(2)/2))/(LN(2)/2)*BL175*BO175*VLOOKUP('Données projet'!$B$11,Paramètres!$A$1:$I$88,3,0)*0.475*44/12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2.8421709430404007E-14</v>
      </c>
      <c r="O176" s="14">
        <f>N176*VLOOKUP('Données projet'!$B$9,Paramètres!$A$1:$I$88,3,0)*VLOOKUP('Données projet'!$B$9,Paramètres!$A$1:$I$88,5,0)</f>
        <v>2.5715962692629544E-14</v>
      </c>
      <c r="P176" s="14">
        <f t="shared" si="141"/>
        <v>4.5248818890525812E-13</v>
      </c>
      <c r="Q176" s="22">
        <f t="shared" si="162"/>
        <v>8.3287223069965432E-13</v>
      </c>
      <c r="R176" s="62">
        <f t="shared" si="109"/>
        <v>288.89331365274933</v>
      </c>
      <c r="S176" s="62">
        <f ca="1">AVERAGE(OFFSET($R$3,0,0,'Données projet'!$E$9+1,1))-AVERAGE(OFFSET($H$3,0,0,'Données projet'!$E$9+1,1))</f>
        <v>158.2231941902271</v>
      </c>
      <c r="T176" s="62">
        <f t="shared" si="142"/>
        <v>109.82011879787936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projet'!$B$10,Paramètres!$A$1:$I$88,3,0)*VLOOKUP('Données projet'!$B$10,Paramètres!$A$1:$I$88,5,0)</f>
        <v>2.6602720026858149E-14</v>
      </c>
      <c r="AK176" s="14">
        <f t="shared" si="164"/>
        <v>4.6624771586320878E-13</v>
      </c>
      <c r="AL176" s="22">
        <f t="shared" si="165"/>
        <v>8.583811758418665E-13</v>
      </c>
      <c r="AM176" s="62">
        <f t="shared" si="113"/>
        <v>288.89331365274933</v>
      </c>
      <c r="AN176" s="62">
        <f ca="1">AVERAGE(OFFSET($AM$3,0,0,'Données projet'!$E$10+1,1))-AVERAGE(OFFSET($H$3,0,0,'Données projet'!$E$10+1,1))</f>
        <v>188.94867378904664</v>
      </c>
      <c r="AO176" s="62">
        <f t="shared" si="144"/>
        <v>242.84781402593833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0.90510546919959523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4.6459805530516224E-21</v>
      </c>
      <c r="AX176" s="23">
        <f t="shared" si="166"/>
        <v>0.90510546919959523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projet'!$B$11,Paramètres!$A$1:$I$88,3,0)*0.475*44/12</f>
        <v>#N/A</v>
      </c>
      <c r="BQ176" s="23" t="e">
        <f>EXP(-LN(2)/25)*BQ175+(1-EXP(-LN(2)/25))/(LN(2)/25)*Calculateur!BL176*Calculateur!BN176*VLOOKUP('Données projet'!$B$11,Paramètres!$A$1:$I$88,3,0)*0.475*44/12</f>
        <v>#N/A</v>
      </c>
      <c r="BR176" s="23" t="e">
        <f>EXP(-LN(2)/2)*BR175+(1-EXP(-LN(2)/2))/(LN(2)/2)*BL176*BO176*VLOOKUP('Données projet'!$B$11,Paramètres!$A$1:$I$88,3,0)*0.475*44/12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2.8421709430404007E-14</v>
      </c>
      <c r="O177" s="14">
        <f>N177*VLOOKUP('Données projet'!$B$9,Paramètres!$A$1:$I$88,3,0)*VLOOKUP('Données projet'!$B$9,Paramètres!$A$1:$I$88,5,0)</f>
        <v>2.5715962692629544E-14</v>
      </c>
      <c r="P177" s="14">
        <f t="shared" si="141"/>
        <v>4.5248818890525812E-13</v>
      </c>
      <c r="Q177" s="22">
        <f t="shared" si="162"/>
        <v>8.3287223069965432E-13</v>
      </c>
      <c r="R177" s="62">
        <f t="shared" si="109"/>
        <v>288.97033806781059</v>
      </c>
      <c r="S177" s="62">
        <f ca="1">AVERAGE(OFFSET($R$3,0,0,'Données projet'!$E$9+1,1))-AVERAGE(OFFSET($H$3,0,0,'Données projet'!$E$9+1,1))</f>
        <v>158.2231941902271</v>
      </c>
      <c r="T177" s="62">
        <f t="shared" si="142"/>
        <v>109.82011879787936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projet'!$B$10,Paramètres!$A$1:$I$88,3,0)*VLOOKUP('Données projet'!$B$10,Paramètres!$A$1:$I$88,5,0)</f>
        <v>2.6602720026858149E-14</v>
      </c>
      <c r="AK177" s="14">
        <f t="shared" si="164"/>
        <v>4.6624771586320878E-13</v>
      </c>
      <c r="AL177" s="22">
        <f t="shared" si="165"/>
        <v>8.583811758418665E-13</v>
      </c>
      <c r="AM177" s="62">
        <f t="shared" si="113"/>
        <v>288.97033806781059</v>
      </c>
      <c r="AN177" s="62">
        <f ca="1">AVERAGE(OFFSET($AM$3,0,0,'Données projet'!$E$10+1,1))-AVERAGE(OFFSET($H$3,0,0,'Données projet'!$E$10+1,1))</f>
        <v>188.94867378904664</v>
      </c>
      <c r="AO177" s="62">
        <f t="shared" si="144"/>
        <v>242.84781402593833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0.88735690300841596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3.2852043543236286E-21</v>
      </c>
      <c r="AX177" s="23">
        <f t="shared" si="166"/>
        <v>0.88735690300841596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projet'!$B$11,Paramètres!$A$1:$I$88,3,0)*0.475*44/12</f>
        <v>#N/A</v>
      </c>
      <c r="BQ177" s="23" t="e">
        <f>EXP(-LN(2)/25)*BQ176+(1-EXP(-LN(2)/25))/(LN(2)/25)*Calculateur!BL177*Calculateur!BN177*VLOOKUP('Données projet'!$B$11,Paramètres!$A$1:$I$88,3,0)*0.475*44/12</f>
        <v>#N/A</v>
      </c>
      <c r="BR177" s="23" t="e">
        <f>EXP(-LN(2)/2)*BR176+(1-EXP(-LN(2)/2))/(LN(2)/2)*BL177*BO177*VLOOKUP('Données projet'!$B$11,Paramètres!$A$1:$I$88,3,0)*0.475*44/12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2.8421709430404007E-14</v>
      </c>
      <c r="O178" s="14">
        <f>N178*VLOOKUP('Données projet'!$B$9,Paramètres!$A$1:$I$88,3,0)*VLOOKUP('Données projet'!$B$9,Paramètres!$A$1:$I$88,5,0)</f>
        <v>2.5715962692629544E-14</v>
      </c>
      <c r="P178" s="14">
        <f t="shared" si="141"/>
        <v>4.5248818890525812E-13</v>
      </c>
      <c r="Q178" s="22">
        <f t="shared" si="162"/>
        <v>8.3287223069965432E-13</v>
      </c>
      <c r="R178" s="62">
        <f t="shared" si="109"/>
        <v>289.04602628147126</v>
      </c>
      <c r="S178" s="62">
        <f ca="1">AVERAGE(OFFSET($R$3,0,0,'Données projet'!$E$9+1,1))-AVERAGE(OFFSET($H$3,0,0,'Données projet'!$E$9+1,1))</f>
        <v>158.2231941902271</v>
      </c>
      <c r="T178" s="62">
        <f t="shared" si="142"/>
        <v>109.82011879787936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projet'!$B$10,Paramètres!$A$1:$I$88,3,0)*VLOOKUP('Données projet'!$B$10,Paramètres!$A$1:$I$88,5,0)</f>
        <v>2.6602720026858149E-14</v>
      </c>
      <c r="AK178" s="14">
        <f t="shared" si="164"/>
        <v>4.6624771586320878E-13</v>
      </c>
      <c r="AL178" s="22">
        <f t="shared" si="165"/>
        <v>8.583811758418665E-13</v>
      </c>
      <c r="AM178" s="62">
        <f t="shared" si="113"/>
        <v>289.04602628147126</v>
      </c>
      <c r="AN178" s="62">
        <f ca="1">AVERAGE(OFFSET($AM$3,0,0,'Données projet'!$E$10+1,1))-AVERAGE(OFFSET($H$3,0,0,'Données projet'!$E$10+1,1))</f>
        <v>188.94867378904664</v>
      </c>
      <c r="AO178" s="62">
        <f t="shared" si="144"/>
        <v>242.84781402593833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0.86995637537468928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2.3229902765258112E-21</v>
      </c>
      <c r="AX178" s="23">
        <f t="shared" si="166"/>
        <v>0.86995637537468928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projet'!$B$11,Paramètres!$A$1:$I$88,3,0)*0.475*44/12</f>
        <v>#N/A</v>
      </c>
      <c r="BQ178" s="23" t="e">
        <f>EXP(-LN(2)/25)*BQ177+(1-EXP(-LN(2)/25))/(LN(2)/25)*Calculateur!BL178*Calculateur!BN178*VLOOKUP('Données projet'!$B$11,Paramètres!$A$1:$I$88,3,0)*0.475*44/12</f>
        <v>#N/A</v>
      </c>
      <c r="BR178" s="23" t="e">
        <f>EXP(-LN(2)/2)*BR177+(1-EXP(-LN(2)/2))/(LN(2)/2)*BL178*BO178*VLOOKUP('Données projet'!$B$11,Paramètres!$A$1:$I$88,3,0)*0.475*44/12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2.8421709430404007E-14</v>
      </c>
      <c r="O179" s="14">
        <f>N179*VLOOKUP('Données projet'!$B$9,Paramètres!$A$1:$I$88,3,0)*VLOOKUP('Données projet'!$B$9,Paramètres!$A$1:$I$88,5,0)</f>
        <v>2.5715962692629544E-14</v>
      </c>
      <c r="P179" s="14">
        <f t="shared" si="141"/>
        <v>4.5248818890525812E-13</v>
      </c>
      <c r="Q179" s="22">
        <f t="shared" si="162"/>
        <v>8.3287223069965432E-13</v>
      </c>
      <c r="R179" s="62">
        <f t="shared" si="109"/>
        <v>289.12040147383846</v>
      </c>
      <c r="S179" s="62">
        <f ca="1">AVERAGE(OFFSET($R$3,0,0,'Données projet'!$E$9+1,1))-AVERAGE(OFFSET($H$3,0,0,'Données projet'!$E$9+1,1))</f>
        <v>158.2231941902271</v>
      </c>
      <c r="T179" s="62">
        <f t="shared" si="142"/>
        <v>109.82011879787936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projet'!$B$10,Paramètres!$A$1:$I$88,3,0)*VLOOKUP('Données projet'!$B$10,Paramètres!$A$1:$I$88,5,0)</f>
        <v>2.6602720026858149E-14</v>
      </c>
      <c r="AK179" s="14">
        <f t="shared" si="164"/>
        <v>4.6624771586320878E-13</v>
      </c>
      <c r="AL179" s="22">
        <f t="shared" si="165"/>
        <v>8.583811758418665E-13</v>
      </c>
      <c r="AM179" s="62">
        <f t="shared" si="113"/>
        <v>289.12040147383846</v>
      </c>
      <c r="AN179" s="62">
        <f ca="1">AVERAGE(OFFSET($AM$3,0,0,'Données projet'!$E$10+1,1))-AVERAGE(OFFSET($H$3,0,0,'Données projet'!$E$10+1,1))</f>
        <v>188.94867378904664</v>
      </c>
      <c r="AO179" s="62">
        <f t="shared" si="144"/>
        <v>242.84781402593833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0.8528970614745861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1.6426021771618143E-21</v>
      </c>
      <c r="AX179" s="23">
        <f t="shared" si="166"/>
        <v>0.8528970614745861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projet'!$B$11,Paramètres!$A$1:$I$88,3,0)*0.475*44/12</f>
        <v>#N/A</v>
      </c>
      <c r="BQ179" s="23" t="e">
        <f>EXP(-LN(2)/25)*BQ178+(1-EXP(-LN(2)/25))/(LN(2)/25)*Calculateur!BL179*Calculateur!BN179*VLOOKUP('Données projet'!$B$11,Paramètres!$A$1:$I$88,3,0)*0.475*44/12</f>
        <v>#N/A</v>
      </c>
      <c r="BR179" s="23" t="e">
        <f>EXP(-LN(2)/2)*BR178+(1-EXP(-LN(2)/2))/(LN(2)/2)*BL179*BO179*VLOOKUP('Données projet'!$B$11,Paramètres!$A$1:$I$88,3,0)*0.475*44/12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2.8421709430404007E-14</v>
      </c>
      <c r="O180" s="14">
        <f>N180*VLOOKUP('Données projet'!$B$9,Paramètres!$A$1:$I$88,3,0)*VLOOKUP('Données projet'!$B$9,Paramètres!$A$1:$I$88,5,0)</f>
        <v>2.5715962692629544E-14</v>
      </c>
      <c r="P180" s="14">
        <f t="shared" si="141"/>
        <v>4.5248818890525812E-13</v>
      </c>
      <c r="Q180" s="22">
        <f t="shared" si="162"/>
        <v>8.3287223069965432E-13</v>
      </c>
      <c r="R180" s="62">
        <f t="shared" si="109"/>
        <v>289.19348642289611</v>
      </c>
      <c r="S180" s="62">
        <f ca="1">AVERAGE(OFFSET($R$3,0,0,'Données projet'!$E$9+1,1))-AVERAGE(OFFSET($H$3,0,0,'Données projet'!$E$9+1,1))</f>
        <v>158.2231941902271</v>
      </c>
      <c r="T180" s="62">
        <f t="shared" si="142"/>
        <v>109.82011879787936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projet'!$B$10,Paramètres!$A$1:$I$88,3,0)*VLOOKUP('Données projet'!$B$10,Paramètres!$A$1:$I$88,5,0)</f>
        <v>2.6602720026858149E-14</v>
      </c>
      <c r="AK180" s="14">
        <f t="shared" si="164"/>
        <v>4.6624771586320878E-13</v>
      </c>
      <c r="AL180" s="22">
        <f t="shared" si="165"/>
        <v>8.583811758418665E-13</v>
      </c>
      <c r="AM180" s="62">
        <f t="shared" si="113"/>
        <v>289.19348642289611</v>
      </c>
      <c r="AN180" s="62">
        <f ca="1">AVERAGE(OFFSET($AM$3,0,0,'Données projet'!$E$10+1,1))-AVERAGE(OFFSET($H$3,0,0,'Données projet'!$E$10+1,1))</f>
        <v>188.94867378904664</v>
      </c>
      <c r="AO180" s="62">
        <f t="shared" si="144"/>
        <v>242.84781402593833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0.83617227031490993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1.1614951382629056E-21</v>
      </c>
      <c r="AX180" s="23">
        <f t="shared" si="166"/>
        <v>0.83617227031490993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projet'!$B$11,Paramètres!$A$1:$I$88,3,0)*0.475*44/12</f>
        <v>#N/A</v>
      </c>
      <c r="BQ180" s="23" t="e">
        <f>EXP(-LN(2)/25)*BQ179+(1-EXP(-LN(2)/25))/(LN(2)/25)*Calculateur!BL180*Calculateur!BN180*VLOOKUP('Données projet'!$B$11,Paramètres!$A$1:$I$88,3,0)*0.475*44/12</f>
        <v>#N/A</v>
      </c>
      <c r="BR180" s="23" t="e">
        <f>EXP(-LN(2)/2)*BR179+(1-EXP(-LN(2)/2))/(LN(2)/2)*BL180*BO180*VLOOKUP('Données projet'!$B$11,Paramètres!$A$1:$I$88,3,0)*0.475*44/12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2.8421709430404007E-14</v>
      </c>
      <c r="O181" s="14">
        <f>N181*VLOOKUP('Données projet'!$B$9,Paramètres!$A$1:$I$88,3,0)*VLOOKUP('Données projet'!$B$9,Paramètres!$A$1:$I$88,5,0)</f>
        <v>2.5715962692629544E-14</v>
      </c>
      <c r="P181" s="14">
        <f t="shared" si="141"/>
        <v>4.5248818890525812E-13</v>
      </c>
      <c r="Q181" s="22">
        <f t="shared" si="162"/>
        <v>8.3287223069965432E-13</v>
      </c>
      <c r="R181" s="62">
        <f t="shared" si="109"/>
        <v>289.26530351148102</v>
      </c>
      <c r="S181" s="62">
        <f ca="1">AVERAGE(OFFSET($R$3,0,0,'Données projet'!$E$9+1,1))-AVERAGE(OFFSET($H$3,0,0,'Données projet'!$E$9+1,1))</f>
        <v>158.2231941902271</v>
      </c>
      <c r="T181" s="62">
        <f t="shared" si="142"/>
        <v>109.82011879787936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projet'!$B$10,Paramètres!$A$1:$I$88,3,0)*VLOOKUP('Données projet'!$B$10,Paramètres!$A$1:$I$88,5,0)</f>
        <v>2.6602720026858149E-14</v>
      </c>
      <c r="AK181" s="14">
        <f t="shared" si="164"/>
        <v>4.6624771586320878E-13</v>
      </c>
      <c r="AL181" s="22">
        <f t="shared" si="165"/>
        <v>8.583811758418665E-13</v>
      </c>
      <c r="AM181" s="62">
        <f t="shared" si="113"/>
        <v>289.26530351148102</v>
      </c>
      <c r="AN181" s="62">
        <f ca="1">AVERAGE(OFFSET($AM$3,0,0,'Données projet'!$E$10+1,1))-AVERAGE(OFFSET($H$3,0,0,'Données projet'!$E$10+1,1))</f>
        <v>188.94867378904664</v>
      </c>
      <c r="AO181" s="62">
        <f t="shared" si="144"/>
        <v>242.84781402593833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0.81977544210875963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8.2130108858090716E-22</v>
      </c>
      <c r="AX181" s="23">
        <f t="shared" si="166"/>
        <v>0.81977544210875963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projet'!$B$11,Paramètres!$A$1:$I$88,3,0)*0.475*44/12</f>
        <v>#N/A</v>
      </c>
      <c r="BQ181" s="23" t="e">
        <f>EXP(-LN(2)/25)*BQ180+(1-EXP(-LN(2)/25))/(LN(2)/25)*Calculateur!BL181*Calculateur!BN181*VLOOKUP('Données projet'!$B$11,Paramètres!$A$1:$I$88,3,0)*0.475*44/12</f>
        <v>#N/A</v>
      </c>
      <c r="BR181" s="23" t="e">
        <f>EXP(-LN(2)/2)*BR180+(1-EXP(-LN(2)/2))/(LN(2)/2)*BL181*BO181*VLOOKUP('Données projet'!$B$11,Paramètres!$A$1:$I$88,3,0)*0.475*44/12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2.8421709430404007E-14</v>
      </c>
      <c r="O182" s="14">
        <f>N182*VLOOKUP('Données projet'!$B$9,Paramètres!$A$1:$I$88,3,0)*VLOOKUP('Données projet'!$B$9,Paramètres!$A$1:$I$88,5,0)</f>
        <v>2.5715962692629544E-14</v>
      </c>
      <c r="P182" s="14">
        <f t="shared" si="141"/>
        <v>4.5248818890525812E-13</v>
      </c>
      <c r="Q182" s="22">
        <f t="shared" si="162"/>
        <v>8.3287223069965432E-13</v>
      </c>
      <c r="R182" s="62">
        <f t="shared" si="109"/>
        <v>289.33587473413797</v>
      </c>
      <c r="S182" s="62">
        <f ca="1">AVERAGE(OFFSET($R$3,0,0,'Données projet'!$E$9+1,1))-AVERAGE(OFFSET($H$3,0,0,'Données projet'!$E$9+1,1))</f>
        <v>158.2231941902271</v>
      </c>
      <c r="T182" s="62">
        <f t="shared" si="142"/>
        <v>109.82011879787936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projet'!$B$10,Paramètres!$A$1:$I$88,3,0)*VLOOKUP('Données projet'!$B$10,Paramètres!$A$1:$I$88,5,0)</f>
        <v>2.6602720026858149E-14</v>
      </c>
      <c r="AK182" s="14">
        <f t="shared" si="164"/>
        <v>4.6624771586320878E-13</v>
      </c>
      <c r="AL182" s="22">
        <f t="shared" si="165"/>
        <v>8.583811758418665E-13</v>
      </c>
      <c r="AM182" s="62">
        <f t="shared" si="113"/>
        <v>289.33587473413797</v>
      </c>
      <c r="AN182" s="62">
        <f ca="1">AVERAGE(OFFSET($AM$3,0,0,'Données projet'!$E$10+1,1))-AVERAGE(OFFSET($H$3,0,0,'Données projet'!$E$10+1,1))</f>
        <v>188.94867378904664</v>
      </c>
      <c r="AO182" s="62">
        <f t="shared" si="144"/>
        <v>242.84781402593833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0.80370014570265425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5.8074756913145279E-22</v>
      </c>
      <c r="AX182" s="23">
        <f t="shared" si="166"/>
        <v>0.80370014570265425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projet'!$B$11,Paramètres!$A$1:$I$88,3,0)*0.475*44/12</f>
        <v>#N/A</v>
      </c>
      <c r="BQ182" s="23" t="e">
        <f>EXP(-LN(2)/25)*BQ181+(1-EXP(-LN(2)/25))/(LN(2)/25)*Calculateur!BL182*Calculateur!BN182*VLOOKUP('Données projet'!$B$11,Paramètres!$A$1:$I$88,3,0)*0.475*44/12</f>
        <v>#N/A</v>
      </c>
      <c r="BR182" s="23" t="e">
        <f>EXP(-LN(2)/2)*BR181+(1-EXP(-LN(2)/2))/(LN(2)/2)*BL182*BO182*VLOOKUP('Données projet'!$B$11,Paramètres!$A$1:$I$88,3,0)*0.475*44/12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2.8421709430404007E-14</v>
      </c>
      <c r="O183" s="14">
        <f>N183*VLOOKUP('Données projet'!$B$9,Paramètres!$A$1:$I$88,3,0)*VLOOKUP('Données projet'!$B$9,Paramètres!$A$1:$I$88,5,0)</f>
        <v>2.5715962692629544E-14</v>
      </c>
      <c r="P183" s="14">
        <f t="shared" si="141"/>
        <v>4.5248818890525812E-13</v>
      </c>
      <c r="Q183" s="22">
        <f t="shared" si="162"/>
        <v>8.3287223069965432E-13</v>
      </c>
      <c r="R183" s="62">
        <f t="shared" si="109"/>
        <v>289.40522170385549</v>
      </c>
      <c r="S183" s="62">
        <f ca="1">AVERAGE(OFFSET($R$3,0,0,'Données projet'!$E$9+1,1))-AVERAGE(OFFSET($H$3,0,0,'Données projet'!$E$9+1,1))</f>
        <v>158.2231941902271</v>
      </c>
      <c r="T183" s="62">
        <f t="shared" si="142"/>
        <v>109.82011879787936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projet'!$B$10,Paramètres!$A$1:$I$88,3,0)*VLOOKUP('Données projet'!$B$10,Paramètres!$A$1:$I$88,5,0)</f>
        <v>2.6602720026858149E-14</v>
      </c>
      <c r="AK183" s="14">
        <f t="shared" si="164"/>
        <v>4.6624771586320878E-13</v>
      </c>
      <c r="AL183" s="22">
        <f t="shared" si="165"/>
        <v>8.583811758418665E-13</v>
      </c>
      <c r="AM183" s="62">
        <f t="shared" si="113"/>
        <v>289.40522170385549</v>
      </c>
      <c r="AN183" s="62">
        <f ca="1">AVERAGE(OFFSET($AM$3,0,0,'Données projet'!$E$10+1,1))-AVERAGE(OFFSET($H$3,0,0,'Données projet'!$E$10+1,1))</f>
        <v>188.94867378904664</v>
      </c>
      <c r="AO183" s="62">
        <f t="shared" si="144"/>
        <v>242.84781402593833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0.78794007605410998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4.1065054429045358E-22</v>
      </c>
      <c r="AX183" s="23">
        <f t="shared" si="166"/>
        <v>0.78794007605410998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projet'!$B$11,Paramètres!$A$1:$I$88,3,0)*0.475*44/12</f>
        <v>#N/A</v>
      </c>
      <c r="BQ183" s="23" t="e">
        <f>EXP(-LN(2)/25)*BQ182+(1-EXP(-LN(2)/25))/(LN(2)/25)*Calculateur!BL183*Calculateur!BN183*VLOOKUP('Données projet'!$B$11,Paramètres!$A$1:$I$88,3,0)*0.475*44/12</f>
        <v>#N/A</v>
      </c>
      <c r="BR183" s="23" t="e">
        <f>EXP(-LN(2)/2)*BR182+(1-EXP(-LN(2)/2))/(LN(2)/2)*BL183*BO183*VLOOKUP('Données projet'!$B$11,Paramètres!$A$1:$I$88,3,0)*0.475*44/12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2.8421709430404007E-14</v>
      </c>
      <c r="O184" s="14">
        <f>N184*VLOOKUP('Données projet'!$B$9,Paramètres!$A$1:$I$88,3,0)*VLOOKUP('Données projet'!$B$9,Paramètres!$A$1:$I$88,5,0)</f>
        <v>2.5715962692629544E-14</v>
      </c>
      <c r="P184" s="14">
        <f t="shared" si="141"/>
        <v>4.5248818890525812E-13</v>
      </c>
      <c r="Q184" s="22">
        <f t="shared" si="162"/>
        <v>8.3287223069965432E-13</v>
      </c>
      <c r="R184" s="62">
        <f t="shared" si="109"/>
        <v>289.47336565868494</v>
      </c>
      <c r="S184" s="62">
        <f ca="1">AVERAGE(OFFSET($R$3,0,0,'Données projet'!$E$9+1,1))-AVERAGE(OFFSET($H$3,0,0,'Données projet'!$E$9+1,1))</f>
        <v>158.2231941902271</v>
      </c>
      <c r="T184" s="62">
        <f t="shared" si="142"/>
        <v>109.82011879787936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projet'!$B$10,Paramètres!$A$1:$I$88,3,0)*VLOOKUP('Données projet'!$B$10,Paramètres!$A$1:$I$88,5,0)</f>
        <v>2.6602720026858149E-14</v>
      </c>
      <c r="AK184" s="14">
        <f t="shared" si="164"/>
        <v>4.6624771586320878E-13</v>
      </c>
      <c r="AL184" s="22">
        <f t="shared" si="165"/>
        <v>8.583811758418665E-13</v>
      </c>
      <c r="AM184" s="62">
        <f t="shared" si="113"/>
        <v>289.47336565868494</v>
      </c>
      <c r="AN184" s="62">
        <f ca="1">AVERAGE(OFFSET($AM$3,0,0,'Données projet'!$E$10+1,1))-AVERAGE(OFFSET($H$3,0,0,'Données projet'!$E$10+1,1))</f>
        <v>188.94867378904664</v>
      </c>
      <c r="AO184" s="62">
        <f t="shared" si="144"/>
        <v>242.84781402593833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0.77248905175868032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2.903737845657264E-22</v>
      </c>
      <c r="AX184" s="23">
        <f t="shared" si="166"/>
        <v>0.77248905175868032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projet'!$B$11,Paramètres!$A$1:$I$88,3,0)*0.475*44/12</f>
        <v>#N/A</v>
      </c>
      <c r="BQ184" s="23" t="e">
        <f>EXP(-LN(2)/25)*BQ183+(1-EXP(-LN(2)/25))/(LN(2)/25)*Calculateur!BL184*Calculateur!BN184*VLOOKUP('Données projet'!$B$11,Paramètres!$A$1:$I$88,3,0)*0.475*44/12</f>
        <v>#N/A</v>
      </c>
      <c r="BR184" s="23" t="e">
        <f>EXP(-LN(2)/2)*BR183+(1-EXP(-LN(2)/2))/(LN(2)/2)*BL184*BO184*VLOOKUP('Données projet'!$B$11,Paramètres!$A$1:$I$88,3,0)*0.475*44/12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2.8421709430404007E-14</v>
      </c>
      <c r="O185" s="14">
        <f>N185*VLOOKUP('Données projet'!$B$9,Paramètres!$A$1:$I$88,3,0)*VLOOKUP('Données projet'!$B$9,Paramètres!$A$1:$I$88,5,0)</f>
        <v>2.5715962692629544E-14</v>
      </c>
      <c r="P185" s="14">
        <f t="shared" si="141"/>
        <v>4.5248818890525812E-13</v>
      </c>
      <c r="Q185" s="22">
        <f t="shared" si="162"/>
        <v>8.3287223069965432E-13</v>
      </c>
      <c r="R185" s="62">
        <f t="shared" si="109"/>
        <v>289.54032746824527</v>
      </c>
      <c r="S185" s="62">
        <f ca="1">AVERAGE(OFFSET($R$3,0,0,'Données projet'!$E$9+1,1))-AVERAGE(OFFSET($H$3,0,0,'Données projet'!$E$9+1,1))</f>
        <v>158.2231941902271</v>
      </c>
      <c r="T185" s="62">
        <f t="shared" si="142"/>
        <v>109.82011879787936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projet'!$B$10,Paramètres!$A$1:$I$88,3,0)*VLOOKUP('Données projet'!$B$10,Paramètres!$A$1:$I$88,5,0)</f>
        <v>2.6602720026858149E-14</v>
      </c>
      <c r="AK185" s="14">
        <f t="shared" si="164"/>
        <v>4.6624771586320878E-13</v>
      </c>
      <c r="AL185" s="22">
        <f t="shared" si="165"/>
        <v>8.583811758418665E-13</v>
      </c>
      <c r="AM185" s="62">
        <f t="shared" si="113"/>
        <v>289.54032746824527</v>
      </c>
      <c r="AN185" s="62">
        <f ca="1">AVERAGE(OFFSET($AM$3,0,0,'Données projet'!$E$10+1,1))-AVERAGE(OFFSET($H$3,0,0,'Données projet'!$E$10+1,1))</f>
        <v>188.94867378904664</v>
      </c>
      <c r="AO185" s="62">
        <f t="shared" si="144"/>
        <v>242.84781402593833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0.75734101262548981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2.0532527214522679E-22</v>
      </c>
      <c r="AX185" s="23">
        <f t="shared" si="166"/>
        <v>0.75734101262548981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projet'!$B$11,Paramètres!$A$1:$I$88,3,0)*0.475*44/12</f>
        <v>#N/A</v>
      </c>
      <c r="BQ185" s="23" t="e">
        <f>EXP(-LN(2)/25)*BQ184+(1-EXP(-LN(2)/25))/(LN(2)/25)*Calculateur!BL185*Calculateur!BN185*VLOOKUP('Données projet'!$B$11,Paramètres!$A$1:$I$88,3,0)*0.475*44/12</f>
        <v>#N/A</v>
      </c>
      <c r="BR185" s="23" t="e">
        <f>EXP(-LN(2)/2)*BR184+(1-EXP(-LN(2)/2))/(LN(2)/2)*BL185*BO185*VLOOKUP('Données projet'!$B$11,Paramètres!$A$1:$I$88,3,0)*0.475*44/12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2.8421709430404007E-14</v>
      </c>
      <c r="O186" s="14">
        <f>N186*VLOOKUP('Données projet'!$B$9,Paramètres!$A$1:$I$88,3,0)*VLOOKUP('Données projet'!$B$9,Paramètres!$A$1:$I$88,5,0)</f>
        <v>2.5715962692629544E-14</v>
      </c>
      <c r="P186" s="14">
        <f t="shared" si="141"/>
        <v>4.5248818890525812E-13</v>
      </c>
      <c r="Q186" s="22">
        <f t="shared" si="162"/>
        <v>8.3287223069965432E-13</v>
      </c>
      <c r="R186" s="62">
        <f t="shared" si="109"/>
        <v>289.60612764011381</v>
      </c>
      <c r="S186" s="62">
        <f ca="1">AVERAGE(OFFSET($R$3,0,0,'Données projet'!$E$9+1,1))-AVERAGE(OFFSET($H$3,0,0,'Données projet'!$E$9+1,1))</f>
        <v>158.2231941902271</v>
      </c>
      <c r="T186" s="62">
        <f t="shared" si="142"/>
        <v>109.82011879787936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projet'!$B$10,Paramètres!$A$1:$I$88,3,0)*VLOOKUP('Données projet'!$B$10,Paramètres!$A$1:$I$88,5,0)</f>
        <v>2.6602720026858149E-14</v>
      </c>
      <c r="AK186" s="14">
        <f t="shared" si="164"/>
        <v>4.6624771586320878E-13</v>
      </c>
      <c r="AL186" s="22">
        <f t="shared" si="165"/>
        <v>8.583811758418665E-13</v>
      </c>
      <c r="AM186" s="62">
        <f t="shared" si="113"/>
        <v>289.60612764011381</v>
      </c>
      <c r="AN186" s="62">
        <f ca="1">AVERAGE(OFFSET($AM$3,0,0,'Données projet'!$E$10+1,1))-AVERAGE(OFFSET($H$3,0,0,'Données projet'!$E$10+1,1))</f>
        <v>188.94867378904664</v>
      </c>
      <c r="AO186" s="62">
        <f t="shared" si="144"/>
        <v>242.84781402593833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0.74249001730030961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1.451868922828632E-22</v>
      </c>
      <c r="AX186" s="23">
        <f t="shared" si="166"/>
        <v>0.74249001730030961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projet'!$B$11,Paramètres!$A$1:$I$88,3,0)*0.475*44/12</f>
        <v>#N/A</v>
      </c>
      <c r="BQ186" s="23" t="e">
        <f>EXP(-LN(2)/25)*BQ185+(1-EXP(-LN(2)/25))/(LN(2)/25)*Calculateur!BL186*Calculateur!BN186*VLOOKUP('Données projet'!$B$11,Paramètres!$A$1:$I$88,3,0)*0.475*44/12</f>
        <v>#N/A</v>
      </c>
      <c r="BR186" s="23" t="e">
        <f>EXP(-LN(2)/2)*BR185+(1-EXP(-LN(2)/2))/(LN(2)/2)*BL186*BO186*VLOOKUP('Données projet'!$B$11,Paramètres!$A$1:$I$88,3,0)*0.475*44/12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2.8421709430404007E-14</v>
      </c>
      <c r="O187" s="14">
        <f>N187*VLOOKUP('Données projet'!$B$9,Paramètres!$A$1:$I$88,3,0)*VLOOKUP('Données projet'!$B$9,Paramètres!$A$1:$I$88,5,0)</f>
        <v>2.5715962692629544E-14</v>
      </c>
      <c r="P187" s="14">
        <f t="shared" si="141"/>
        <v>4.5248818890525812E-13</v>
      </c>
      <c r="Q187" s="22">
        <f t="shared" si="162"/>
        <v>8.3287223069965432E-13</v>
      </c>
      <c r="R187" s="62">
        <f t="shared" si="109"/>
        <v>289.67078632610759</v>
      </c>
      <c r="S187" s="62">
        <f ca="1">AVERAGE(OFFSET($R$3,0,0,'Données projet'!$E$9+1,1))-AVERAGE(OFFSET($H$3,0,0,'Données projet'!$E$9+1,1))</f>
        <v>158.2231941902271</v>
      </c>
      <c r="T187" s="62">
        <f t="shared" si="142"/>
        <v>109.82011879787936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projet'!$B$10,Paramètres!$A$1:$I$88,3,0)*VLOOKUP('Données projet'!$B$10,Paramètres!$A$1:$I$88,5,0)</f>
        <v>2.6602720026858149E-14</v>
      </c>
      <c r="AK187" s="14">
        <f t="shared" si="164"/>
        <v>4.6624771586320878E-13</v>
      </c>
      <c r="AL187" s="22">
        <f t="shared" si="165"/>
        <v>8.583811758418665E-13</v>
      </c>
      <c r="AM187" s="62">
        <f t="shared" si="113"/>
        <v>289.67078632610759</v>
      </c>
      <c r="AN187" s="62">
        <f ca="1">AVERAGE(OFFSET($AM$3,0,0,'Données projet'!$E$10+1,1))-AVERAGE(OFFSET($H$3,0,0,'Données projet'!$E$10+1,1))</f>
        <v>188.94867378904664</v>
      </c>
      <c r="AO187" s="62">
        <f t="shared" si="144"/>
        <v>242.84781402593833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0.7279302409352435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1.0266263607261339E-22</v>
      </c>
      <c r="AX187" s="23">
        <f t="shared" si="166"/>
        <v>0.7279302409352435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projet'!$B$11,Paramètres!$A$1:$I$88,3,0)*0.475*44/12</f>
        <v>#N/A</v>
      </c>
      <c r="BQ187" s="23" t="e">
        <f>EXP(-LN(2)/25)*BQ186+(1-EXP(-LN(2)/25))/(LN(2)/25)*Calculateur!BL187*Calculateur!BN187*VLOOKUP('Données projet'!$B$11,Paramètres!$A$1:$I$88,3,0)*0.475*44/12</f>
        <v>#N/A</v>
      </c>
      <c r="BR187" s="23" t="e">
        <f>EXP(-LN(2)/2)*BR186+(1-EXP(-LN(2)/2))/(LN(2)/2)*BL187*BO187*VLOOKUP('Données projet'!$B$11,Paramètres!$A$1:$I$88,3,0)*0.475*44/12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2.8421709430404007E-14</v>
      </c>
      <c r="O188" s="14">
        <f>N188*VLOOKUP('Données projet'!$B$9,Paramètres!$A$1:$I$88,3,0)*VLOOKUP('Données projet'!$B$9,Paramètres!$A$1:$I$88,5,0)</f>
        <v>2.5715962692629544E-14</v>
      </c>
      <c r="P188" s="14">
        <f t="shared" si="141"/>
        <v>4.5248818890525812E-13</v>
      </c>
      <c r="Q188" s="22">
        <f t="shared" si="162"/>
        <v>8.3287223069965432E-13</v>
      </c>
      <c r="R188" s="62">
        <f t="shared" si="109"/>
        <v>289.73432332845459</v>
      </c>
      <c r="S188" s="62">
        <f ca="1">AVERAGE(OFFSET($R$3,0,0,'Données projet'!$E$9+1,1))-AVERAGE(OFFSET($H$3,0,0,'Données projet'!$E$9+1,1))</f>
        <v>158.2231941902271</v>
      </c>
      <c r="T188" s="62">
        <f t="shared" si="142"/>
        <v>109.82011879787936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projet'!$B$10,Paramètres!$A$1:$I$88,3,0)*VLOOKUP('Données projet'!$B$10,Paramètres!$A$1:$I$88,5,0)</f>
        <v>2.6602720026858149E-14</v>
      </c>
      <c r="AK188" s="14">
        <f t="shared" si="164"/>
        <v>4.6624771586320878E-13</v>
      </c>
      <c r="AL188" s="22">
        <f t="shared" si="165"/>
        <v>8.583811758418665E-13</v>
      </c>
      <c r="AM188" s="62">
        <f t="shared" si="113"/>
        <v>289.73432332845459</v>
      </c>
      <c r="AN188" s="62">
        <f ca="1">AVERAGE(OFFSET($AM$3,0,0,'Données projet'!$E$10+1,1))-AVERAGE(OFFSET($H$3,0,0,'Données projet'!$E$10+1,1))</f>
        <v>188.94867378904664</v>
      </c>
      <c r="AO188" s="62">
        <f t="shared" si="144"/>
        <v>242.84781402593833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0.71365597290410965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7.2593446141431599E-23</v>
      </c>
      <c r="AX188" s="23">
        <f t="shared" si="166"/>
        <v>0.71365597290410965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projet'!$B$11,Paramètres!$A$1:$I$88,3,0)*0.475*44/12</f>
        <v>#N/A</v>
      </c>
      <c r="BQ188" s="23" t="e">
        <f>EXP(-LN(2)/25)*BQ187+(1-EXP(-LN(2)/25))/(LN(2)/25)*Calculateur!BL188*Calculateur!BN188*VLOOKUP('Données projet'!$B$11,Paramètres!$A$1:$I$88,3,0)*0.475*44/12</f>
        <v>#N/A</v>
      </c>
      <c r="BR188" s="23" t="e">
        <f>EXP(-LN(2)/2)*BR187+(1-EXP(-LN(2)/2))/(LN(2)/2)*BL188*BO188*VLOOKUP('Données projet'!$B$11,Paramètres!$A$1:$I$88,3,0)*0.475*44/12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2.8421709430404007E-14</v>
      </c>
      <c r="O189" s="14">
        <f>N189*VLOOKUP('Données projet'!$B$9,Paramètres!$A$1:$I$88,3,0)*VLOOKUP('Données projet'!$B$9,Paramètres!$A$1:$I$88,5,0)</f>
        <v>2.5715962692629544E-14</v>
      </c>
      <c r="P189" s="14">
        <f t="shared" si="141"/>
        <v>4.5248818890525812E-13</v>
      </c>
      <c r="Q189" s="22">
        <f t="shared" si="162"/>
        <v>8.3287223069965432E-13</v>
      </c>
      <c r="R189" s="62">
        <f t="shared" si="109"/>
        <v>289.79675810585826</v>
      </c>
      <c r="S189" s="62">
        <f ca="1">AVERAGE(OFFSET($R$3,0,0,'Données projet'!$E$9+1,1))-AVERAGE(OFFSET($H$3,0,0,'Données projet'!$E$9+1,1))</f>
        <v>158.2231941902271</v>
      </c>
      <c r="T189" s="62">
        <f t="shared" si="142"/>
        <v>109.82011879787936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projet'!$B$10,Paramètres!$A$1:$I$88,3,0)*VLOOKUP('Données projet'!$B$10,Paramètres!$A$1:$I$88,5,0)</f>
        <v>2.6602720026858149E-14</v>
      </c>
      <c r="AK189" s="14">
        <f t="shared" si="164"/>
        <v>4.6624771586320878E-13</v>
      </c>
      <c r="AL189" s="22">
        <f t="shared" si="165"/>
        <v>8.583811758418665E-13</v>
      </c>
      <c r="AM189" s="62">
        <f t="shared" si="113"/>
        <v>289.79675810585826</v>
      </c>
      <c r="AN189" s="62">
        <f ca="1">AVERAGE(OFFSET($AM$3,0,0,'Données projet'!$E$10+1,1))-AVERAGE(OFFSET($H$3,0,0,'Données projet'!$E$10+1,1))</f>
        <v>188.94867378904664</v>
      </c>
      <c r="AO189" s="62">
        <f t="shared" si="144"/>
        <v>242.84781402593833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0.69966161456262255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5.1331318036306697E-23</v>
      </c>
      <c r="AX189" s="23">
        <f t="shared" si="166"/>
        <v>0.69966161456262255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projet'!$B$11,Paramètres!$A$1:$I$88,3,0)*0.475*44/12</f>
        <v>#N/A</v>
      </c>
      <c r="BQ189" s="23" t="e">
        <f>EXP(-LN(2)/25)*BQ188+(1-EXP(-LN(2)/25))/(LN(2)/25)*Calculateur!BL189*Calculateur!BN189*VLOOKUP('Données projet'!$B$11,Paramètres!$A$1:$I$88,3,0)*0.475*44/12</f>
        <v>#N/A</v>
      </c>
      <c r="BR189" s="23" t="e">
        <f>EXP(-LN(2)/2)*BR188+(1-EXP(-LN(2)/2))/(LN(2)/2)*BL189*BO189*VLOOKUP('Données projet'!$B$11,Paramètres!$A$1:$I$88,3,0)*0.475*44/12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2.8421709430404007E-14</v>
      </c>
      <c r="O190" s="14">
        <f>N190*VLOOKUP('Données projet'!$B$9,Paramètres!$A$1:$I$88,3,0)*VLOOKUP('Données projet'!$B$9,Paramètres!$A$1:$I$88,5,0)</f>
        <v>2.5715962692629544E-14</v>
      </c>
      <c r="P190" s="14">
        <f t="shared" si="141"/>
        <v>4.5248818890525812E-13</v>
      </c>
      <c r="Q190" s="22">
        <f t="shared" si="162"/>
        <v>8.3287223069965432E-13</v>
      </c>
      <c r="R190" s="62">
        <f t="shared" si="109"/>
        <v>289.85810977945727</v>
      </c>
      <c r="S190" s="62">
        <f ca="1">AVERAGE(OFFSET($R$3,0,0,'Données projet'!$E$9+1,1))-AVERAGE(OFFSET($H$3,0,0,'Données projet'!$E$9+1,1))</f>
        <v>158.2231941902271</v>
      </c>
      <c r="T190" s="62">
        <f t="shared" si="142"/>
        <v>109.82011879787936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projet'!$B$10,Paramètres!$A$1:$I$88,3,0)*VLOOKUP('Données projet'!$B$10,Paramètres!$A$1:$I$88,5,0)</f>
        <v>2.6602720026858149E-14</v>
      </c>
      <c r="AK190" s="14">
        <f t="shared" si="164"/>
        <v>4.6624771586320878E-13</v>
      </c>
      <c r="AL190" s="22">
        <f t="shared" si="165"/>
        <v>8.583811758418665E-13</v>
      </c>
      <c r="AM190" s="62">
        <f t="shared" si="113"/>
        <v>289.85810977945727</v>
      </c>
      <c r="AN190" s="62">
        <f ca="1">AVERAGE(OFFSET($AM$3,0,0,'Données projet'!$E$10+1,1))-AVERAGE(OFFSET($H$3,0,0,'Données projet'!$E$10+1,1))</f>
        <v>188.94867378904664</v>
      </c>
      <c r="AO190" s="62">
        <f t="shared" si="144"/>
        <v>242.84781402593833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0.6859416770524962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3.62967230707158E-23</v>
      </c>
      <c r="AX190" s="23">
        <f t="shared" si="166"/>
        <v>0.6859416770524962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projet'!$B$11,Paramètres!$A$1:$I$88,3,0)*0.475*44/12</f>
        <v>#N/A</v>
      </c>
      <c r="BQ190" s="23" t="e">
        <f>EXP(-LN(2)/25)*BQ189+(1-EXP(-LN(2)/25))/(LN(2)/25)*Calculateur!BL190*Calculateur!BN190*VLOOKUP('Données projet'!$B$11,Paramètres!$A$1:$I$88,3,0)*0.475*44/12</f>
        <v>#N/A</v>
      </c>
      <c r="BR190" s="23" t="e">
        <f>EXP(-LN(2)/2)*BR189+(1-EXP(-LN(2)/2))/(LN(2)/2)*BL190*BO190*VLOOKUP('Données projet'!$B$11,Paramètres!$A$1:$I$88,3,0)*0.475*44/12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2.8421709430404007E-14</v>
      </c>
      <c r="O191" s="14">
        <f>N191*VLOOKUP('Données projet'!$B$9,Paramètres!$A$1:$I$88,3,0)*VLOOKUP('Données projet'!$B$9,Paramètres!$A$1:$I$88,5,0)</f>
        <v>2.5715962692629544E-14</v>
      </c>
      <c r="P191" s="14">
        <f t="shared" si="141"/>
        <v>4.5248818890525812E-13</v>
      </c>
      <c r="Q191" s="22">
        <f t="shared" si="162"/>
        <v>8.3287223069965432E-13</v>
      </c>
      <c r="R191" s="62">
        <f t="shared" si="109"/>
        <v>289.91839713868109</v>
      </c>
      <c r="S191" s="62">
        <f ca="1">AVERAGE(OFFSET($R$3,0,0,'Données projet'!$E$9+1,1))-AVERAGE(OFFSET($H$3,0,0,'Données projet'!$E$9+1,1))</f>
        <v>158.2231941902271</v>
      </c>
      <c r="T191" s="62">
        <f t="shared" si="142"/>
        <v>109.82011879787936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projet'!$B$10,Paramètres!$A$1:$I$88,3,0)*VLOOKUP('Données projet'!$B$10,Paramètres!$A$1:$I$88,5,0)</f>
        <v>2.6602720026858149E-14</v>
      </c>
      <c r="AK191" s="14">
        <f t="shared" si="164"/>
        <v>4.6624771586320878E-13</v>
      </c>
      <c r="AL191" s="22">
        <f t="shared" si="165"/>
        <v>8.583811758418665E-13</v>
      </c>
      <c r="AM191" s="62">
        <f t="shared" si="113"/>
        <v>289.91839713868109</v>
      </c>
      <c r="AN191" s="62">
        <f ca="1">AVERAGE(OFFSET($AM$3,0,0,'Données projet'!$E$10+1,1))-AVERAGE(OFFSET($H$3,0,0,'Données projet'!$E$10+1,1))</f>
        <v>188.94867378904664</v>
      </c>
      <c r="AO191" s="62">
        <f t="shared" si="144"/>
        <v>242.84781402593833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0.67249077914860789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2.5665659018153349E-23</v>
      </c>
      <c r="AX191" s="23">
        <f t="shared" si="166"/>
        <v>0.67249077914860789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projet'!$B$11,Paramètres!$A$1:$I$88,3,0)*0.475*44/12</f>
        <v>#N/A</v>
      </c>
      <c r="BQ191" s="23" t="e">
        <f>EXP(-LN(2)/25)*BQ190+(1-EXP(-LN(2)/25))/(LN(2)/25)*Calculateur!BL191*Calculateur!BN191*VLOOKUP('Données projet'!$B$11,Paramètres!$A$1:$I$88,3,0)*0.475*44/12</f>
        <v>#N/A</v>
      </c>
      <c r="BR191" s="23" t="e">
        <f>EXP(-LN(2)/2)*BR190+(1-EXP(-LN(2)/2))/(LN(2)/2)*BL191*BO191*VLOOKUP('Données projet'!$B$11,Paramètres!$A$1:$I$88,3,0)*0.475*44/12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2.8421709430404007E-14</v>
      </c>
      <c r="O192" s="14">
        <f>N192*VLOOKUP('Données projet'!$B$9,Paramètres!$A$1:$I$88,3,0)*VLOOKUP('Données projet'!$B$9,Paramètres!$A$1:$I$88,5,0)</f>
        <v>2.5715962692629544E-14</v>
      </c>
      <c r="P192" s="14">
        <f t="shared" si="141"/>
        <v>4.5248818890525812E-13</v>
      </c>
      <c r="Q192" s="22">
        <f t="shared" si="162"/>
        <v>8.3287223069965432E-13</v>
      </c>
      <c r="R192" s="62">
        <f t="shared" si="109"/>
        <v>289.97763864700471</v>
      </c>
      <c r="S192" s="62">
        <f ca="1">AVERAGE(OFFSET($R$3,0,0,'Données projet'!$E$9+1,1))-AVERAGE(OFFSET($H$3,0,0,'Données projet'!$E$9+1,1))</f>
        <v>158.2231941902271</v>
      </c>
      <c r="T192" s="62">
        <f t="shared" si="142"/>
        <v>109.82011879787936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projet'!$B$10,Paramètres!$A$1:$I$88,3,0)*VLOOKUP('Données projet'!$B$10,Paramètres!$A$1:$I$88,5,0)</f>
        <v>2.6602720026858149E-14</v>
      </c>
      <c r="AK192" s="14">
        <f t="shared" si="164"/>
        <v>4.6624771586320878E-13</v>
      </c>
      <c r="AL192" s="22">
        <f t="shared" si="165"/>
        <v>8.583811758418665E-13</v>
      </c>
      <c r="AM192" s="62">
        <f t="shared" si="113"/>
        <v>289.97763864700471</v>
      </c>
      <c r="AN192" s="62">
        <f ca="1">AVERAGE(OFFSET($AM$3,0,0,'Données projet'!$E$10+1,1))-AVERAGE(OFFSET($H$3,0,0,'Données projet'!$E$10+1,1))</f>
        <v>188.94867378904664</v>
      </c>
      <c r="AO192" s="62">
        <f t="shared" si="144"/>
        <v>242.84781402593833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0.65930364514837714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1.81483615353579E-23</v>
      </c>
      <c r="AX192" s="23">
        <f t="shared" si="166"/>
        <v>0.65930364514837714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projet'!$B$11,Paramètres!$A$1:$I$88,3,0)*0.475*44/12</f>
        <v>#N/A</v>
      </c>
      <c r="BQ192" s="23" t="e">
        <f>EXP(-LN(2)/25)*BQ191+(1-EXP(-LN(2)/25))/(LN(2)/25)*Calculateur!BL192*Calculateur!BN192*VLOOKUP('Données projet'!$B$11,Paramètres!$A$1:$I$88,3,0)*0.475*44/12</f>
        <v>#N/A</v>
      </c>
      <c r="BR192" s="23" t="e">
        <f>EXP(-LN(2)/2)*BR191+(1-EXP(-LN(2)/2))/(LN(2)/2)*BL192*BO192*VLOOKUP('Données projet'!$B$11,Paramètres!$A$1:$I$88,3,0)*0.475*44/12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2.8421709430404007E-14</v>
      </c>
      <c r="O193" s="14">
        <f>N193*VLOOKUP('Données projet'!$B$9,Paramètres!$A$1:$I$88,3,0)*VLOOKUP('Données projet'!$B$9,Paramètres!$A$1:$I$88,5,0)</f>
        <v>2.5715962692629544E-14</v>
      </c>
      <c r="P193" s="14">
        <f t="shared" si="141"/>
        <v>4.5248818890525812E-13</v>
      </c>
      <c r="Q193" s="22">
        <f t="shared" si="162"/>
        <v>8.3287223069965432E-13</v>
      </c>
      <c r="R193" s="62">
        <f t="shared" si="109"/>
        <v>290.03585244760313</v>
      </c>
      <c r="S193" s="62">
        <f ca="1">AVERAGE(OFFSET($R$3,0,0,'Données projet'!$E$9+1,1))-AVERAGE(OFFSET($H$3,0,0,'Données projet'!$E$9+1,1))</f>
        <v>158.2231941902271</v>
      </c>
      <c r="T193" s="62">
        <f t="shared" si="142"/>
        <v>109.82011879787936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projet'!$B$10,Paramètres!$A$1:$I$88,3,0)*VLOOKUP('Données projet'!$B$10,Paramètres!$A$1:$I$88,5,0)</f>
        <v>2.6602720026858149E-14</v>
      </c>
      <c r="AK193" s="14">
        <f t="shared" si="164"/>
        <v>4.6624771586320878E-13</v>
      </c>
      <c r="AL193" s="22">
        <f t="shared" si="165"/>
        <v>8.583811758418665E-13</v>
      </c>
      <c r="AM193" s="62">
        <f t="shared" si="113"/>
        <v>290.03585244760313</v>
      </c>
      <c r="AN193" s="62">
        <f ca="1">AVERAGE(OFFSET($AM$3,0,0,'Données projet'!$E$10+1,1))-AVERAGE(OFFSET($H$3,0,0,'Données projet'!$E$10+1,1))</f>
        <v>188.94867378904664</v>
      </c>
      <c r="AO193" s="62">
        <f t="shared" si="144"/>
        <v>242.84781402593833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0.64637510280253341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1.2832829509076674E-23</v>
      </c>
      <c r="AX193" s="23">
        <f t="shared" si="166"/>
        <v>0.64637510280253341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projet'!$B$11,Paramètres!$A$1:$I$88,3,0)*0.475*44/12</f>
        <v>#N/A</v>
      </c>
      <c r="BQ193" s="23" t="e">
        <f>EXP(-LN(2)/25)*BQ192+(1-EXP(-LN(2)/25))/(LN(2)/25)*Calculateur!BL193*Calculateur!BN193*VLOOKUP('Données projet'!$B$11,Paramètres!$A$1:$I$88,3,0)*0.475*44/12</f>
        <v>#N/A</v>
      </c>
      <c r="BR193" s="23" t="e">
        <f>EXP(-LN(2)/2)*BR192+(1-EXP(-LN(2)/2))/(LN(2)/2)*BL193*BO193*VLOOKUP('Données projet'!$B$11,Paramètres!$A$1:$I$88,3,0)*0.475*44/12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2.8421709430404007E-14</v>
      </c>
      <c r="O194" s="14">
        <f>N194*VLOOKUP('Données projet'!$B$9,Paramètres!$A$1:$I$88,3,0)*VLOOKUP('Données projet'!$B$9,Paramètres!$A$1:$I$88,5,0)</f>
        <v>2.5715962692629544E-14</v>
      </c>
      <c r="P194" s="14">
        <f t="shared" si="141"/>
        <v>4.5248818890525812E-13</v>
      </c>
      <c r="Q194" s="22">
        <f t="shared" si="162"/>
        <v>8.3287223069965432E-13</v>
      </c>
      <c r="R194" s="62">
        <f t="shared" si="109"/>
        <v>290.0930563689077</v>
      </c>
      <c r="S194" s="62">
        <f ca="1">AVERAGE(OFFSET($R$3,0,0,'Données projet'!$E$9+1,1))-AVERAGE(OFFSET($H$3,0,0,'Données projet'!$E$9+1,1))</f>
        <v>158.2231941902271</v>
      </c>
      <c r="T194" s="62">
        <f t="shared" si="142"/>
        <v>109.82011879787936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projet'!$B$10,Paramètres!$A$1:$I$88,3,0)*VLOOKUP('Données projet'!$B$10,Paramètres!$A$1:$I$88,5,0)</f>
        <v>2.6602720026858149E-14</v>
      </c>
      <c r="AK194" s="14">
        <f t="shared" si="164"/>
        <v>4.6624771586320878E-13</v>
      </c>
      <c r="AL194" s="22">
        <f t="shared" si="165"/>
        <v>8.583811758418665E-13</v>
      </c>
      <c r="AM194" s="62">
        <f t="shared" si="113"/>
        <v>290.0930563689077</v>
      </c>
      <c r="AN194" s="62">
        <f ca="1">AVERAGE(OFFSET($AM$3,0,0,'Données projet'!$E$10+1,1))-AVERAGE(OFFSET($H$3,0,0,'Données projet'!$E$10+1,1))</f>
        <v>188.94867378904664</v>
      </c>
      <c r="AO194" s="62">
        <f t="shared" si="144"/>
        <v>242.84781402593833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0.63370008128645949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9.0741807676789499E-24</v>
      </c>
      <c r="AX194" s="23">
        <f t="shared" si="166"/>
        <v>0.63370008128645949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projet'!$B$11,Paramètres!$A$1:$I$88,3,0)*0.475*44/12</f>
        <v>#N/A</v>
      </c>
      <c r="BQ194" s="23" t="e">
        <f>EXP(-LN(2)/25)*BQ193+(1-EXP(-LN(2)/25))/(LN(2)/25)*Calculateur!BL194*Calculateur!BN194*VLOOKUP('Données projet'!$B$11,Paramètres!$A$1:$I$88,3,0)*0.475*44/12</f>
        <v>#N/A</v>
      </c>
      <c r="BR194" s="23" t="e">
        <f>EXP(-LN(2)/2)*BR193+(1-EXP(-LN(2)/2))/(LN(2)/2)*BL194*BO194*VLOOKUP('Données projet'!$B$11,Paramètres!$A$1:$I$88,3,0)*0.475*44/12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2.8421709430404007E-14</v>
      </c>
      <c r="O195" s="14">
        <f>N195*VLOOKUP('Données projet'!$B$9,Paramètres!$A$1:$I$88,3,0)*VLOOKUP('Données projet'!$B$9,Paramètres!$A$1:$I$88,5,0)</f>
        <v>2.5715962692629544E-14</v>
      </c>
      <c r="P195" s="14">
        <f t="shared" si="141"/>
        <v>4.5248818890525812E-13</v>
      </c>
      <c r="Q195" s="22">
        <f t="shared" si="162"/>
        <v>8.3287223069965432E-13</v>
      </c>
      <c r="R195" s="62">
        <f t="shared" ref="R195:R203" si="191">Q195+(I195+J195)*44/12</f>
        <v>290.14926793006651</v>
      </c>
      <c r="S195" s="62">
        <f ca="1">AVERAGE(OFFSET($R$3,0,0,'Données projet'!$E$9+1,1))-AVERAGE(OFFSET($H$3,0,0,'Données projet'!$E$9+1,1))</f>
        <v>158.2231941902271</v>
      </c>
      <c r="T195" s="62">
        <f t="shared" si="142"/>
        <v>109.82011879787936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projet'!$B$10,Paramètres!$A$1:$I$88,3,0)*VLOOKUP('Données projet'!$B$10,Paramètres!$A$1:$I$88,5,0)</f>
        <v>2.6602720026858149E-14</v>
      </c>
      <c r="AK195" s="14">
        <f t="shared" si="164"/>
        <v>4.6624771586320878E-13</v>
      </c>
      <c r="AL195" s="22">
        <f t="shared" si="165"/>
        <v>8.583811758418665E-13</v>
      </c>
      <c r="AM195" s="62">
        <f t="shared" si="113"/>
        <v>290.14926793006651</v>
      </c>
      <c r="AN195" s="62">
        <f ca="1">AVERAGE(OFFSET($AM$3,0,0,'Données projet'!$E$10+1,1))-AVERAGE(OFFSET($H$3,0,0,'Données projet'!$E$10+1,1))</f>
        <v>188.94867378904664</v>
      </c>
      <c r="AO195" s="62">
        <f t="shared" si="144"/>
        <v>242.84781402593833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0.62127360921131602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6.4164147545383372E-24</v>
      </c>
      <c r="AX195" s="23">
        <f t="shared" si="166"/>
        <v>0.62127360921131602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projet'!$B$11,Paramètres!$A$1:$I$88,3,0)*0.475*44/12</f>
        <v>#N/A</v>
      </c>
      <c r="BQ195" s="23" t="e">
        <f>EXP(-LN(2)/25)*BQ194+(1-EXP(-LN(2)/25))/(LN(2)/25)*Calculateur!BL195*Calculateur!BN195*VLOOKUP('Données projet'!$B$11,Paramètres!$A$1:$I$88,3,0)*0.475*44/12</f>
        <v>#N/A</v>
      </c>
      <c r="BR195" s="23" t="e">
        <f>EXP(-LN(2)/2)*BR194+(1-EXP(-LN(2)/2))/(LN(2)/2)*BL195*BO195*VLOOKUP('Données projet'!$B$11,Paramètres!$A$1:$I$88,3,0)*0.475*44/12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2.8421709430404007E-14</v>
      </c>
      <c r="O196" s="14">
        <f>N196*VLOOKUP('Données projet'!$B$9,Paramètres!$A$1:$I$88,3,0)*VLOOKUP('Données projet'!$B$9,Paramètres!$A$1:$I$88,5,0)</f>
        <v>2.5715962692629544E-14</v>
      </c>
      <c r="P196" s="14">
        <f t="shared" si="141"/>
        <v>4.5248818890525812E-13</v>
      </c>
      <c r="Q196" s="22">
        <f t="shared" si="162"/>
        <v>8.3287223069965432E-13</v>
      </c>
      <c r="R196" s="62">
        <f t="shared" si="191"/>
        <v>290.20450434630936</v>
      </c>
      <c r="S196" s="62">
        <f ca="1">AVERAGE(OFFSET($R$3,0,0,'Données projet'!$E$9+1,1))-AVERAGE(OFFSET($H$3,0,0,'Données projet'!$E$9+1,1))</f>
        <v>158.2231941902271</v>
      </c>
      <c r="T196" s="62">
        <f t="shared" si="142"/>
        <v>109.82011879787936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projet'!$B$10,Paramètres!$A$1:$I$88,3,0)*VLOOKUP('Données projet'!$B$10,Paramètres!$A$1:$I$88,5,0)</f>
        <v>2.6602720026858149E-14</v>
      </c>
      <c r="AK196" s="14">
        <f t="shared" si="164"/>
        <v>4.6624771586320878E-13</v>
      </c>
      <c r="AL196" s="22">
        <f t="shared" si="165"/>
        <v>8.583811758418665E-13</v>
      </c>
      <c r="AM196" s="62">
        <f t="shared" ref="AM196:AM203" si="193">AL196+(AD196+AE196)*44/12</f>
        <v>290.20450434630936</v>
      </c>
      <c r="AN196" s="62">
        <f ca="1">AVERAGE(OFFSET($AM$3,0,0,'Données projet'!$E$10+1,1))-AVERAGE(OFFSET($H$3,0,0,'Données projet'!$E$10+1,1))</f>
        <v>188.94867378904664</v>
      </c>
      <c r="AO196" s="62">
        <f t="shared" si="144"/>
        <v>242.84781402593833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0.60909081267416654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4.537090383839475E-24</v>
      </c>
      <c r="AX196" s="23">
        <f t="shared" si="166"/>
        <v>0.60909081267416654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projet'!$B$11,Paramètres!$A$1:$I$88,3,0)*0.475*44/12</f>
        <v>#N/A</v>
      </c>
      <c r="BQ196" s="23" t="e">
        <f>EXP(-LN(2)/25)*BQ195+(1-EXP(-LN(2)/25))/(LN(2)/25)*Calculateur!BL196*Calculateur!BN196*VLOOKUP('Données projet'!$B$11,Paramètres!$A$1:$I$88,3,0)*0.475*44/12</f>
        <v>#N/A</v>
      </c>
      <c r="BR196" s="23" t="e">
        <f>EXP(-LN(2)/2)*BR195+(1-EXP(-LN(2)/2))/(LN(2)/2)*BL196*BO196*VLOOKUP('Données projet'!$B$11,Paramètres!$A$1:$I$88,3,0)*0.475*44/12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2.8421709430404007E-14</v>
      </c>
      <c r="O197" s="14">
        <f>N197*VLOOKUP('Données projet'!$B$9,Paramètres!$A$1:$I$88,3,0)*VLOOKUP('Données projet'!$B$9,Paramètres!$A$1:$I$88,5,0)</f>
        <v>2.5715962692629544E-14</v>
      </c>
      <c r="P197" s="14">
        <f t="shared" ref="P197:P203" si="203">EXP(-1.0587+0.8836*LN(O197)+0.284)</f>
        <v>4.5248818890525812E-13</v>
      </c>
      <c r="Q197" s="22">
        <f t="shared" si="162"/>
        <v>8.3287223069965432E-13</v>
      </c>
      <c r="R197" s="62">
        <f t="shared" si="191"/>
        <v>290.25878253422059</v>
      </c>
      <c r="S197" s="62">
        <f ca="1">AVERAGE(OFFSET($R$3,0,0,'Données projet'!$E$9+1,1))-AVERAGE(OFFSET($H$3,0,0,'Données projet'!$E$9+1,1))</f>
        <v>158.2231941902271</v>
      </c>
      <c r="T197" s="62">
        <f t="shared" ref="T197:T203" si="204">$T$3</f>
        <v>109.82011879787936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projet'!$B$10,Paramètres!$A$1:$I$88,3,0)*VLOOKUP('Données projet'!$B$10,Paramètres!$A$1:$I$88,5,0)</f>
        <v>2.6602720026858149E-14</v>
      </c>
      <c r="AK197" s="14">
        <f t="shared" si="164"/>
        <v>4.6624771586320878E-13</v>
      </c>
      <c r="AL197" s="22">
        <f t="shared" si="165"/>
        <v>8.583811758418665E-13</v>
      </c>
      <c r="AM197" s="62">
        <f t="shared" si="193"/>
        <v>290.25878253422059</v>
      </c>
      <c r="AN197" s="62">
        <f ca="1">AVERAGE(OFFSET($AM$3,0,0,'Données projet'!$E$10+1,1))-AVERAGE(OFFSET($H$3,0,0,'Données projet'!$E$10+1,1))</f>
        <v>188.94867378904664</v>
      </c>
      <c r="AO197" s="62">
        <f t="shared" ref="AO197:AO203" si="205">$AO$3</f>
        <v>242.84781402593833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0.5971469133463384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3.2082073772691686E-24</v>
      </c>
      <c r="AX197" s="23">
        <f t="shared" si="166"/>
        <v>0.5971469133463384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projet'!$B$11,Paramètres!$A$1:$I$88,3,0)*0.475*44/12</f>
        <v>#N/A</v>
      </c>
      <c r="BQ197" s="23" t="e">
        <f>EXP(-LN(2)/25)*BQ196+(1-EXP(-LN(2)/25))/(LN(2)/25)*Calculateur!BL197*Calculateur!BN197*VLOOKUP('Données projet'!$B$11,Paramètres!$A$1:$I$88,3,0)*0.475*44/12</f>
        <v>#N/A</v>
      </c>
      <c r="BR197" s="23" t="e">
        <f>EXP(-LN(2)/2)*BR196+(1-EXP(-LN(2)/2))/(LN(2)/2)*BL197*BO197*VLOOKUP('Données projet'!$B$11,Paramètres!$A$1:$I$88,3,0)*0.475*44/12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2.8421709430404007E-14</v>
      </c>
      <c r="O198" s="14">
        <f>N198*VLOOKUP('Données projet'!$B$9,Paramètres!$A$1:$I$88,3,0)*VLOOKUP('Données projet'!$B$9,Paramètres!$A$1:$I$88,5,0)</f>
        <v>2.5715962692629544E-14</v>
      </c>
      <c r="P198" s="14">
        <f t="shared" si="203"/>
        <v>4.5248818890525812E-13</v>
      </c>
      <c r="Q198" s="22">
        <f t="shared" si="162"/>
        <v>8.3287223069965432E-13</v>
      </c>
      <c r="R198" s="62">
        <f t="shared" si="191"/>
        <v>290.31211911691935</v>
      </c>
      <c r="S198" s="62">
        <f ca="1">AVERAGE(OFFSET($R$3,0,0,'Données projet'!$E$9+1,1))-AVERAGE(OFFSET($H$3,0,0,'Données projet'!$E$9+1,1))</f>
        <v>158.2231941902271</v>
      </c>
      <c r="T198" s="62">
        <f t="shared" si="204"/>
        <v>109.82011879787936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projet'!$B$10,Paramètres!$A$1:$I$88,3,0)*VLOOKUP('Données projet'!$B$10,Paramètres!$A$1:$I$88,5,0)</f>
        <v>2.6602720026858149E-14</v>
      </c>
      <c r="AK198" s="14">
        <f t="shared" si="164"/>
        <v>4.6624771586320878E-13</v>
      </c>
      <c r="AL198" s="22">
        <f t="shared" si="165"/>
        <v>8.583811758418665E-13</v>
      </c>
      <c r="AM198" s="62">
        <f t="shared" si="193"/>
        <v>290.31211911691935</v>
      </c>
      <c r="AN198" s="62">
        <f ca="1">AVERAGE(OFFSET($AM$3,0,0,'Données projet'!$E$10+1,1))-AVERAGE(OFFSET($H$3,0,0,'Données projet'!$E$10+1,1))</f>
        <v>188.94867378904664</v>
      </c>
      <c r="AO198" s="62">
        <f t="shared" si="205"/>
        <v>242.84781402593833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0.58543722659926978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2.2685451919197375E-24</v>
      </c>
      <c r="AX198" s="23">
        <f t="shared" si="166"/>
        <v>0.58543722659926978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projet'!$B$11,Paramètres!$A$1:$I$88,3,0)*0.475*44/12</f>
        <v>#N/A</v>
      </c>
      <c r="BQ198" s="23" t="e">
        <f>EXP(-LN(2)/25)*BQ197+(1-EXP(-LN(2)/25))/(LN(2)/25)*Calculateur!BL198*Calculateur!BN198*VLOOKUP('Données projet'!$B$11,Paramètres!$A$1:$I$88,3,0)*0.475*44/12</f>
        <v>#N/A</v>
      </c>
      <c r="BR198" s="23" t="e">
        <f>EXP(-LN(2)/2)*BR197+(1-EXP(-LN(2)/2))/(LN(2)/2)*BL198*BO198*VLOOKUP('Données projet'!$B$11,Paramètres!$A$1:$I$88,3,0)*0.475*44/12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2.8421709430404007E-14</v>
      </c>
      <c r="O199" s="14">
        <f>N199*VLOOKUP('Données projet'!$B$9,Paramètres!$A$1:$I$88,3,0)*VLOOKUP('Données projet'!$B$9,Paramètres!$A$1:$I$88,5,0)</f>
        <v>2.5715962692629544E-14</v>
      </c>
      <c r="P199" s="14">
        <f t="shared" si="203"/>
        <v>4.5248818890525812E-13</v>
      </c>
      <c r="Q199" s="22">
        <f t="shared" si="162"/>
        <v>8.3287223069965432E-13</v>
      </c>
      <c r="R199" s="62">
        <f t="shared" si="191"/>
        <v>290.36453042915105</v>
      </c>
      <c r="S199" s="62">
        <f ca="1">AVERAGE(OFFSET($R$3,0,0,'Données projet'!$E$9+1,1))-AVERAGE(OFFSET($H$3,0,0,'Données projet'!$E$9+1,1))</f>
        <v>158.2231941902271</v>
      </c>
      <c r="T199" s="62">
        <f t="shared" si="204"/>
        <v>109.82011879787936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projet'!$B$10,Paramètres!$A$1:$I$88,3,0)*VLOOKUP('Données projet'!$B$10,Paramètres!$A$1:$I$88,5,0)</f>
        <v>2.6602720026858149E-14</v>
      </c>
      <c r="AK199" s="14">
        <f t="shared" si="164"/>
        <v>4.6624771586320878E-13</v>
      </c>
      <c r="AL199" s="22">
        <f t="shared" si="165"/>
        <v>8.583811758418665E-13</v>
      </c>
      <c r="AM199" s="62">
        <f t="shared" si="193"/>
        <v>290.36453042915105</v>
      </c>
      <c r="AN199" s="62">
        <f ca="1">AVERAGE(OFFSET($AM$3,0,0,'Données projet'!$E$10+1,1))-AVERAGE(OFFSET($H$3,0,0,'Données projet'!$E$10+1,1))</f>
        <v>188.94867378904664</v>
      </c>
      <c r="AO199" s="62">
        <f t="shared" si="205"/>
        <v>242.84781402593833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0.57395715966710747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1.6041036886345843E-24</v>
      </c>
      <c r="AX199" s="23">
        <f t="shared" si="166"/>
        <v>0.57395715966710747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projet'!$B$11,Paramètres!$A$1:$I$88,3,0)*0.475*44/12</f>
        <v>#N/A</v>
      </c>
      <c r="BQ199" s="23" t="e">
        <f>EXP(-LN(2)/25)*BQ198+(1-EXP(-LN(2)/25))/(LN(2)/25)*Calculateur!BL199*Calculateur!BN199*VLOOKUP('Données projet'!$B$11,Paramètres!$A$1:$I$88,3,0)*0.475*44/12</f>
        <v>#N/A</v>
      </c>
      <c r="BR199" s="23" t="e">
        <f>EXP(-LN(2)/2)*BR198+(1-EXP(-LN(2)/2))/(LN(2)/2)*BL199*BO199*VLOOKUP('Données projet'!$B$11,Paramètres!$A$1:$I$88,3,0)*0.475*44/12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2.8421709430404007E-14</v>
      </c>
      <c r="O200" s="14">
        <f>N200*VLOOKUP('Données projet'!$B$9,Paramètres!$A$1:$I$88,3,0)*VLOOKUP('Données projet'!$B$9,Paramètres!$A$1:$I$88,5,0)</f>
        <v>2.5715962692629544E-14</v>
      </c>
      <c r="P200" s="14">
        <f t="shared" si="203"/>
        <v>4.5248818890525812E-13</v>
      </c>
      <c r="Q200" s="22">
        <f t="shared" si="162"/>
        <v>8.3287223069965432E-13</v>
      </c>
      <c r="R200" s="62">
        <f t="shared" si="191"/>
        <v>290.41603252228964</v>
      </c>
      <c r="S200" s="62">
        <f ca="1">AVERAGE(OFFSET($R$3,0,0,'Données projet'!$E$9+1,1))-AVERAGE(OFFSET($H$3,0,0,'Données projet'!$E$9+1,1))</f>
        <v>158.2231941902271</v>
      </c>
      <c r="T200" s="62">
        <f t="shared" si="204"/>
        <v>109.82011879787936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projet'!$B$10,Paramètres!$A$1:$I$88,3,0)*VLOOKUP('Données projet'!$B$10,Paramètres!$A$1:$I$88,5,0)</f>
        <v>2.6602720026858149E-14</v>
      </c>
      <c r="AK200" s="14">
        <f t="shared" si="164"/>
        <v>4.6624771586320878E-13</v>
      </c>
      <c r="AL200" s="22">
        <f t="shared" si="165"/>
        <v>8.583811758418665E-13</v>
      </c>
      <c r="AM200" s="62">
        <f t="shared" si="193"/>
        <v>290.41603252228964</v>
      </c>
      <c r="AN200" s="62">
        <f ca="1">AVERAGE(OFFSET($AM$3,0,0,'Données projet'!$E$10+1,1))-AVERAGE(OFFSET($H$3,0,0,'Données projet'!$E$10+1,1))</f>
        <v>188.94867378904664</v>
      </c>
      <c r="AO200" s="62">
        <f t="shared" si="205"/>
        <v>242.84781402593833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0.56270220984533548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1.1342725959598687E-24</v>
      </c>
      <c r="AX200" s="23">
        <f t="shared" si="166"/>
        <v>0.56270220984533548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projet'!$B$11,Paramètres!$A$1:$I$88,3,0)*0.475*44/12</f>
        <v>#N/A</v>
      </c>
      <c r="BQ200" s="23" t="e">
        <f>EXP(-LN(2)/25)*BQ199+(1-EXP(-LN(2)/25))/(LN(2)/25)*Calculateur!BL200*Calculateur!BN200*VLOOKUP('Données projet'!$B$11,Paramètres!$A$1:$I$88,3,0)*0.475*44/12</f>
        <v>#N/A</v>
      </c>
      <c r="BR200" s="23" t="e">
        <f>EXP(-LN(2)/2)*BR199+(1-EXP(-LN(2)/2))/(LN(2)/2)*BL200*BO200*VLOOKUP('Données projet'!$B$11,Paramètres!$A$1:$I$88,3,0)*0.475*44/12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2.8421709430404007E-14</v>
      </c>
      <c r="O201" s="14">
        <f>N201*VLOOKUP('Données projet'!$B$9,Paramètres!$A$1:$I$88,3,0)*VLOOKUP('Données projet'!$B$9,Paramètres!$A$1:$I$88,5,0)</f>
        <v>2.5715962692629544E-14</v>
      </c>
      <c r="P201" s="14">
        <f t="shared" si="203"/>
        <v>4.5248818890525812E-13</v>
      </c>
      <c r="Q201" s="22">
        <f t="shared" si="162"/>
        <v>8.3287223069965432E-13</v>
      </c>
      <c r="R201" s="62">
        <f t="shared" si="191"/>
        <v>290.46664116925376</v>
      </c>
      <c r="S201" s="62">
        <f ca="1">AVERAGE(OFFSET($R$3,0,0,'Données projet'!$E$9+1,1))-AVERAGE(OFFSET($H$3,0,0,'Données projet'!$E$9+1,1))</f>
        <v>158.2231941902271</v>
      </c>
      <c r="T201" s="62">
        <f t="shared" si="204"/>
        <v>109.82011879787936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projet'!$B$10,Paramètres!$A$1:$I$88,3,0)*VLOOKUP('Données projet'!$B$10,Paramètres!$A$1:$I$88,5,0)</f>
        <v>2.6602720026858149E-14</v>
      </c>
      <c r="AK201" s="14">
        <f t="shared" si="164"/>
        <v>4.6624771586320878E-13</v>
      </c>
      <c r="AL201" s="22">
        <f t="shared" si="165"/>
        <v>8.583811758418665E-13</v>
      </c>
      <c r="AM201" s="62">
        <f t="shared" si="193"/>
        <v>290.46664116925376</v>
      </c>
      <c r="AN201" s="62">
        <f ca="1">AVERAGE(OFFSET($AM$3,0,0,'Données projet'!$E$10+1,1))-AVERAGE(OFFSET($H$3,0,0,'Données projet'!$E$10+1,1))</f>
        <v>188.94867378904664</v>
      </c>
      <c r="AO201" s="62">
        <f t="shared" si="205"/>
        <v>242.84781402593833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0.55166796272472685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8.0205184431729214E-25</v>
      </c>
      <c r="AX201" s="23">
        <f t="shared" si="166"/>
        <v>0.55166796272472685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projet'!$B$11,Paramètres!$A$1:$I$88,3,0)*0.475*44/12</f>
        <v>#N/A</v>
      </c>
      <c r="BQ201" s="23" t="e">
        <f>EXP(-LN(2)/25)*BQ200+(1-EXP(-LN(2)/25))/(LN(2)/25)*Calculateur!BL201*Calculateur!BN201*VLOOKUP('Données projet'!$B$11,Paramètres!$A$1:$I$88,3,0)*0.475*44/12</f>
        <v>#N/A</v>
      </c>
      <c r="BR201" s="23" t="e">
        <f>EXP(-LN(2)/2)*BR200+(1-EXP(-LN(2)/2))/(LN(2)/2)*BL201*BO201*VLOOKUP('Données projet'!$B$11,Paramètres!$A$1:$I$88,3,0)*0.475*44/12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2.8421709430404007E-14</v>
      </c>
      <c r="O202" s="14">
        <f>N202*VLOOKUP('Données projet'!$B$9,Paramètres!$A$1:$I$88,3,0)*VLOOKUP('Données projet'!$B$9,Paramètres!$A$1:$I$88,5,0)</f>
        <v>2.5715962692629544E-14</v>
      </c>
      <c r="P202" s="14">
        <f t="shared" si="203"/>
        <v>4.5248818890525812E-13</v>
      </c>
      <c r="Q202" s="22">
        <f t="shared" si="162"/>
        <v>8.3287223069965432E-13</v>
      </c>
      <c r="R202" s="62">
        <f t="shared" si="191"/>
        <v>290.51637186933698</v>
      </c>
      <c r="S202" s="62">
        <f ca="1">AVERAGE(OFFSET($R$3,0,0,'Données projet'!$E$9+1,1))-AVERAGE(OFFSET($H$3,0,0,'Données projet'!$E$9+1,1))</f>
        <v>158.2231941902271</v>
      </c>
      <c r="T202" s="62">
        <f t="shared" si="204"/>
        <v>109.82011879787936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projet'!$B$10,Paramètres!$A$1:$I$88,3,0)*VLOOKUP('Données projet'!$B$10,Paramètres!$A$1:$I$88,5,0)</f>
        <v>2.6602720026858149E-14</v>
      </c>
      <c r="AK202" s="14">
        <f t="shared" si="164"/>
        <v>4.6624771586320878E-13</v>
      </c>
      <c r="AL202" s="22">
        <f t="shared" si="165"/>
        <v>8.583811758418665E-13</v>
      </c>
      <c r="AM202" s="62">
        <f t="shared" si="193"/>
        <v>290.51637186933698</v>
      </c>
      <c r="AN202" s="62">
        <f ca="1">AVERAGE(OFFSET($AM$3,0,0,'Données projet'!$E$10+1,1))-AVERAGE(OFFSET($H$3,0,0,'Données projet'!$E$10+1,1))</f>
        <v>188.94867378904664</v>
      </c>
      <c r="AO202" s="62">
        <f t="shared" si="205"/>
        <v>242.84781402593833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0.54085009045992716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5.6713629797993437E-25</v>
      </c>
      <c r="AX202" s="23">
        <f t="shared" si="166"/>
        <v>0.54085009045992716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projet'!$B$11,Paramètres!$A$1:$I$88,3,0)*0.475*44/12</f>
        <v>#N/A</v>
      </c>
      <c r="BQ202" s="23" t="e">
        <f>EXP(-LN(2)/25)*BQ201+(1-EXP(-LN(2)/25))/(LN(2)/25)*Calculateur!BL202*Calculateur!BN202*VLOOKUP('Données projet'!$B$11,Paramètres!$A$1:$I$88,3,0)*0.475*44/12</f>
        <v>#N/A</v>
      </c>
      <c r="BR202" s="23" t="e">
        <f>EXP(-LN(2)/2)*BR201+(1-EXP(-LN(2)/2))/(LN(2)/2)*BL202*BO202*VLOOKUP('Données projet'!$B$11,Paramètres!$A$1:$I$88,3,0)*0.475*44/12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2.8421709430404007E-14</v>
      </c>
      <c r="O203" s="14">
        <f>N203*VLOOKUP('Données projet'!$B$9,Paramètres!$A$1:$I$88,3,0)*VLOOKUP('Données projet'!$B$9,Paramètres!$A$1:$I$88,5,0)</f>
        <v>2.5715962692629544E-14</v>
      </c>
      <c r="P203" s="14">
        <f t="shared" si="203"/>
        <v>4.5248818890525812E-13</v>
      </c>
      <c r="Q203" s="22">
        <f t="shared" si="162"/>
        <v>8.3287223069965432E-13</v>
      </c>
      <c r="R203" s="62">
        <f t="shared" si="191"/>
        <v>290.56523985295496</v>
      </c>
      <c r="S203" s="62">
        <f ca="1">AVERAGE(OFFSET($R$3,0,0,'Données projet'!$E$9+1,1))-AVERAGE(OFFSET($H$3,0,0,'Données projet'!$E$9+1,1))</f>
        <v>158.2231941902271</v>
      </c>
      <c r="T203" s="62">
        <f t="shared" si="204"/>
        <v>109.82011879787936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projet'!$B$10,Paramètres!$A$1:$I$88,3,0)*VLOOKUP('Données projet'!$B$10,Paramètres!$A$1:$I$88,5,0)</f>
        <v>2.6602720026858149E-14</v>
      </c>
      <c r="AK203" s="14">
        <f t="shared" si="164"/>
        <v>4.6624771586320878E-13</v>
      </c>
      <c r="AL203" s="22">
        <f t="shared" si="165"/>
        <v>8.583811758418665E-13</v>
      </c>
      <c r="AM203" s="62">
        <f t="shared" si="193"/>
        <v>290.56523985295496</v>
      </c>
      <c r="AN203" s="62">
        <f ca="1">AVERAGE(OFFSET($AM$3,0,0,'Données projet'!$E$10+1,1))-AVERAGE(OFFSET($H$3,0,0,'Données projet'!$E$10+1,1))</f>
        <v>188.94867378904664</v>
      </c>
      <c r="AO203" s="62">
        <f t="shared" si="205"/>
        <v>242.84781402593833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0.53024435007198967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4.0102592215864607E-25</v>
      </c>
      <c r="AX203" s="23">
        <f t="shared" si="166"/>
        <v>0.53024435007198967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projet'!$B$11,Paramètres!$A$1:$I$88,3,0)*0.475*44/12</f>
        <v>#N/A</v>
      </c>
      <c r="BQ203" s="23" t="e">
        <f>EXP(-LN(2)/25)*BQ202+(1-EXP(-LN(2)/25))/(LN(2)/25)*Calculateur!BL203*Calculateur!BN203*VLOOKUP('Données projet'!$B$11,Paramètres!$A$1:$I$88,3,0)*0.475*44/12</f>
        <v>#N/A</v>
      </c>
      <c r="BR203" s="23" t="e">
        <f>EXP(-LN(2)/2)*BR202+(1-EXP(-LN(2)/2))/(LN(2)/2)*BL203*BO203*VLOOKUP('Données projet'!$B$11,Paramètres!$A$1:$I$88,3,0)*0.475*44/12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1.0848182712462084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ColWidth="11.453125" defaultRowHeight="14.5" x14ac:dyDescent="0.35"/>
  <cols>
    <col min="1" max="1" width="23.453125" style="5" bestFit="1" customWidth="1"/>
    <col min="2" max="2" width="27.7265625" style="5" bestFit="1" customWidth="1"/>
    <col min="3" max="3" width="11.81640625" style="5" bestFit="1" customWidth="1"/>
    <col min="4" max="4" width="40" style="5" bestFit="1" customWidth="1"/>
    <col min="5" max="5" width="11.81640625" style="5" bestFit="1" customWidth="1"/>
    <col min="6" max="6" width="13.7265625" style="5" bestFit="1" customWidth="1"/>
    <col min="7" max="7" width="11.453125" style="5" bestFit="1" customWidth="1"/>
    <col min="8" max="8" width="39" style="5" bestFit="1" customWidth="1"/>
    <col min="9" max="9" width="16.72656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35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" thickBot="1" x14ac:dyDescent="0.4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" thickBot="1" x14ac:dyDescent="0.4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35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35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35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" thickBot="1" x14ac:dyDescent="0.4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" thickBot="1" x14ac:dyDescent="0.4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35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" thickBot="1" x14ac:dyDescent="0.4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35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35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35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35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35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35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35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35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35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35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35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35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35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35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35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35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35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35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35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35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35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35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35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35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35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35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35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35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35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35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35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35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35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35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35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35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35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35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35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35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35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35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35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35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35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35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35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35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35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35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35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35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35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35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35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35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35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35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35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35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35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35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35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35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35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35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35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35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35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35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35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35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35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35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35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35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" thickBot="1" x14ac:dyDescent="0.4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35">
      <c r="A92" s="132" t="s">
        <v>208</v>
      </c>
    </row>
    <row r="93" spans="1:14" x14ac:dyDescent="0.35">
      <c r="A93" s="132" t="s">
        <v>209</v>
      </c>
    </row>
    <row r="94" spans="1:14" x14ac:dyDescent="0.35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P32" sqref="P32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5" t="str">
        <f>IF('Données projet'!$B$9="","",'Données projet'!$B$9)</f>
        <v>Chêne sessile</v>
      </c>
      <c r="B6" s="156">
        <f>'Données projet'!D9</f>
        <v>1.75</v>
      </c>
      <c r="C6" s="157">
        <f ca="1">IF(OR('Données projet'!B9="",'Données projet'!C9="",'Données projet'!C9=0%),0,Calculateur!S3)</f>
        <v>158.2231941902271</v>
      </c>
      <c r="D6" s="157">
        <f>IF(OR('Données projet'!B9="",'Données projet'!C9="",'Données projet'!C9=0%),0,Calculateur!T3)</f>
        <v>109.82011879787936</v>
      </c>
      <c r="E6" s="157">
        <f ca="1">MIN(C6,D6)</f>
        <v>109.82011879787936</v>
      </c>
      <c r="F6" s="157">
        <f ca="1">E6*B6</f>
        <v>192.18520789628889</v>
      </c>
      <c r="G6" s="157">
        <f ca="1">F6*(100%-'Données projet'!$C$24)*(100%-'Données projet'!$C$25)*(100%-'Données projet'!$C$26)*(100%-'Données projet'!$C$27)</f>
        <v>172.96668710666</v>
      </c>
      <c r="H6" s="158">
        <f>IF(OR('Données projet'!B9="",'Données projet'!C9="",'Données projet'!C9=0%),0,AVERAGE(Calculateur!$AC$3:$AC$33)*B6)</f>
        <v>0</v>
      </c>
      <c r="I6" s="159">
        <f>H6*(100%-'Données projet'!$C$24)*(100%-'Données projet'!$C$25)*(100%-'Données projet'!$C$26)*(100%-'Données projet'!$C$27)</f>
        <v>0</v>
      </c>
      <c r="J6" s="160">
        <f>IF(OR('Données projet'!B9="",'Données projet'!C9="",'Données projet'!C9=0%),0,SUM(Calculateur!$V$3:$V$33)*VLOOKUP('Données projet'!$B$9,Paramètres!$A$1:$I$88,9,0)*B6)</f>
        <v>0</v>
      </c>
      <c r="K6" s="161">
        <f>J6*(100%-'Données projet'!$C$24)*(100%-'Données projet'!$C$25)*(100%-'Données projet'!$C$26)*(100%-'Données projet'!$C$27)</f>
        <v>0</v>
      </c>
      <c r="L6" s="162">
        <f ca="1">G6+I6+K6</f>
        <v>172.96668710666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63" t="str">
        <f>IF('Données projet'!$B$10="","",'Données projet'!$B$10)</f>
        <v>Cèdre de l'Atlas</v>
      </c>
      <c r="B7" s="164">
        <f>'Données projet'!D10</f>
        <v>1.75</v>
      </c>
      <c r="C7" s="157">
        <f ca="1">IF(OR('Données projet'!B10="",'Données projet'!C10="",'Données projet'!C10=0%),0,Calculateur!AN3)</f>
        <v>188.94867378904664</v>
      </c>
      <c r="D7" s="157">
        <f>IF(OR('Données projet'!B10="",'Données projet'!C10="",'Données projet'!C10=0%),0,Calculateur!AO3)</f>
        <v>242.84781402593833</v>
      </c>
      <c r="E7" s="157">
        <f t="shared" ref="E7:E15" ca="1" si="0">MIN(C7,D7)</f>
        <v>188.94867378904664</v>
      </c>
      <c r="F7" s="157">
        <f t="shared" ref="F7:F15" ca="1" si="1">E7*B7</f>
        <v>330.66017913083164</v>
      </c>
      <c r="G7" s="157">
        <f ca="1">F7*(100%-'Données projet'!$C$24)*(100%-'Données projet'!$C$25)*(100%-'Données projet'!$C$26)*(100%-'Données projet'!$C$27)</f>
        <v>297.59416121774848</v>
      </c>
      <c r="H7" s="165">
        <f>IF(OR('Données projet'!B10="",'Données projet'!C10="",'Données projet'!C10=0%),0,AVERAGE(Calculateur!$AX$3:$AX$33)*B7)</f>
        <v>8.8278850422244233</v>
      </c>
      <c r="I7" s="159">
        <f>H7*(100%-'Données projet'!$C$24)*(100%-'Données projet'!$C$25)*(100%-'Données projet'!$C$26)*(100%-'Données projet'!$C$27)</f>
        <v>7.9450965380019811</v>
      </c>
      <c r="J7" s="160">
        <f>IF(OR('Données projet'!B10="",'Données projet'!C10="",'Données projet'!C10=0%),0,SUM(Calculateur!$AQ$3:$AQ$33)*VLOOKUP('Données projet'!$B$10,Paramètres!$A$1:$I$88,9,0)*B7)</f>
        <v>90.3</v>
      </c>
      <c r="K7" s="161">
        <f>J7*(100%-'Données projet'!$C$24)*(100%-'Données projet'!$C$25)*(100%-'Données projet'!$C$26)*(100%-'Données projet'!$C$27)</f>
        <v>81.27</v>
      </c>
      <c r="L7" s="162">
        <f t="shared" ref="L7:L15" ca="1" si="2">G7+I7+K7</f>
        <v>386.80925775575042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63" t="str">
        <f>IF('Données projet'!$B$11="","",'Données projet'!$B$11)</f>
        <v/>
      </c>
      <c r="B8" s="164">
        <f>'Données projet'!D11</f>
        <v>0</v>
      </c>
      <c r="C8" s="157">
        <f>IF(OR('Données projet'!B11="",'Données projet'!C11="",'Données projet'!C11=0%),0,Calculateur!BI3)</f>
        <v>0</v>
      </c>
      <c r="D8" s="157">
        <f>IF(OR('Données projet'!B11="",'Données projet'!C11="",'Données projet'!C11=0%),0,Calculateur!BJ3)</f>
        <v>0</v>
      </c>
      <c r="E8" s="157">
        <f t="shared" si="0"/>
        <v>0</v>
      </c>
      <c r="F8" s="157">
        <f t="shared" si="1"/>
        <v>0</v>
      </c>
      <c r="G8" s="157">
        <f>F8*(100%-'Données projet'!$C$24)*(100%-'Données projet'!$C$25)*(100%-'Données projet'!$C$26)*(100%-'Données projet'!$C$27)</f>
        <v>0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0</v>
      </c>
      <c r="K8" s="161">
        <f>J8*(100%-'Données projet'!$C$24)*(100%-'Données projet'!$C$25)*(100%-'Données projet'!$C$26)*(100%-'Données projet'!$C$27)</f>
        <v>0</v>
      </c>
      <c r="L8" s="162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63" t="str">
        <f>IF('Données projet'!$B$12="","",'Données projet'!$B$12)</f>
        <v/>
      </c>
      <c r="B9" s="164">
        <f>'Données projet'!D12</f>
        <v>0</v>
      </c>
      <c r="C9" s="157">
        <f>IF(OR('Données projet'!B12="",'Données projet'!C12="",'Données projet'!C12=0%),0,Calculateur!CD3)</f>
        <v>0</v>
      </c>
      <c r="D9" s="157">
        <f>IF(OR('Données projet'!B12="",'Données projet'!C12="",'Données projet'!C12=0%),0,Calculateur!CE3)</f>
        <v>0</v>
      </c>
      <c r="E9" s="157">
        <f t="shared" si="0"/>
        <v>0</v>
      </c>
      <c r="F9" s="157">
        <f t="shared" si="1"/>
        <v>0</v>
      </c>
      <c r="G9" s="157">
        <f>F9*(100%-'Données projet'!$C$24)*(100%-'Données projet'!$C$25)*(100%-'Données projet'!$C$26)*(100%-'Données projet'!$C$27)</f>
        <v>0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0</v>
      </c>
      <c r="K9" s="161">
        <f>J9*(100%-'Données projet'!$C$24)*(100%-'Données projet'!$C$25)*(100%-'Données projet'!$C$26)*(100%-'Données projet'!$C$27)</f>
        <v>0</v>
      </c>
      <c r="L9" s="162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63" t="str">
        <f>IF('Données projet'!$B$13="","",'Données projet'!$B$13)</f>
        <v/>
      </c>
      <c r="B10" s="164">
        <f>'Données projet'!D13</f>
        <v>0</v>
      </c>
      <c r="C10" s="157">
        <f>IF(OR('Données projet'!B13="",'Données projet'!C13="",'Données projet'!C13=0%),0,Calculateur!CY3)</f>
        <v>0</v>
      </c>
      <c r="D10" s="157">
        <f>IF(OR('Données projet'!B13="",'Données projet'!C13="",'Données projet'!C13=0%),0,Calculateur!CZ3)</f>
        <v>0</v>
      </c>
      <c r="E10" s="157">
        <f t="shared" si="0"/>
        <v>0</v>
      </c>
      <c r="F10" s="157">
        <f t="shared" si="1"/>
        <v>0</v>
      </c>
      <c r="G10" s="157">
        <f>F10*(100%-'Données projet'!$C$24)*(100%-'Données projet'!$C$25)*(100%-'Données projet'!$C$26)*(100%-'Données projet'!$C$27)</f>
        <v>0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</v>
      </c>
      <c r="K10" s="161">
        <f>J10*(100%-'Données projet'!$C$24)*(100%-'Données projet'!$C$25)*(100%-'Données projet'!$C$26)*(100%-'Données projet'!$C$27)</f>
        <v>0</v>
      </c>
      <c r="L10" s="162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37"/>
      <c r="B16" s="247"/>
      <c r="C16" s="248"/>
      <c r="D16" s="25"/>
      <c r="E16" s="25"/>
      <c r="F16" s="175">
        <f t="shared" ref="F16:L16" ca="1" si="3">SUM(F6:F15)</f>
        <v>522.84538702712052</v>
      </c>
      <c r="G16" s="176">
        <f t="shared" ca="1" si="3"/>
        <v>470.56084832440848</v>
      </c>
      <c r="H16" s="177">
        <f t="shared" si="3"/>
        <v>8.8278850422244233</v>
      </c>
      <c r="I16" s="177">
        <f t="shared" si="3"/>
        <v>7.9450965380019811</v>
      </c>
      <c r="J16" s="178">
        <f t="shared" si="3"/>
        <v>90.3</v>
      </c>
      <c r="K16" s="178">
        <f t="shared" si="3"/>
        <v>81.27</v>
      </c>
      <c r="L16" s="179">
        <f t="shared" ca="1" si="3"/>
        <v>559.77594486241037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80" t="str">
        <f>A6</f>
        <v>Chêne sessile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80" t="str">
        <f>A7</f>
        <v>Cèdre de l'Atlas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80" t="str">
        <f>A8</f>
        <v/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80" t="str">
        <f>A9</f>
        <v/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80" t="str">
        <f>A10</f>
        <v/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topLeftCell="F17" zoomScale="85" zoomScaleNormal="85" workbookViewId="0">
      <selection activeCell="O25" sqref="O25:T2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34" style="3" customWidth="1"/>
    <col min="7" max="7" width="11.453125" style="3"/>
    <col min="8" max="8" width="11.453125" style="1"/>
    <col min="9" max="9" width="33" style="1" customWidth="1"/>
    <col min="10" max="10" width="37" style="1" customWidth="1"/>
    <col min="11" max="15" width="11.453125" style="1"/>
    <col min="16" max="16" width="21" style="1" customWidth="1"/>
    <col min="17" max="16384" width="11.453125" style="1"/>
  </cols>
  <sheetData>
    <row r="1" spans="1:46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5" thickBot="1" x14ac:dyDescent="0.65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35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35">
      <c r="A4" s="100"/>
      <c r="B4" s="100"/>
      <c r="C4" s="100"/>
      <c r="D4" s="100"/>
      <c r="E4" s="100"/>
      <c r="F4" s="181"/>
      <c r="G4" s="181"/>
      <c r="H4" s="100"/>
      <c r="I4" s="271" t="s">
        <v>190</v>
      </c>
      <c r="J4" s="271"/>
      <c r="K4" s="271"/>
      <c r="L4" s="271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35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6" x14ac:dyDescent="0.6">
      <c r="A6" s="100"/>
      <c r="B6" s="310" t="s">
        <v>192</v>
      </c>
      <c r="C6" s="310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10" t="s">
        <v>191</v>
      </c>
      <c r="P6" s="310"/>
      <c r="Q6" s="310"/>
      <c r="R6" s="31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35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5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5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5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5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 t="s">
        <v>314</v>
      </c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5">
      <c r="A12" s="25"/>
      <c r="B12" s="25"/>
      <c r="C12" s="25"/>
      <c r="D12" s="25"/>
      <c r="E12" s="25"/>
      <c r="F12" s="234"/>
      <c r="G12" s="243"/>
      <c r="H12" s="25"/>
      <c r="I12" s="207">
        <v>0</v>
      </c>
      <c r="J12" s="208">
        <f>10200/3.5</f>
        <v>2914.2857142857142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5">
      <c r="A13" s="25"/>
      <c r="B13" s="25"/>
      <c r="C13" s="25"/>
      <c r="D13" s="25"/>
      <c r="E13" s="25"/>
      <c r="F13" s="234"/>
      <c r="G13" s="243"/>
      <c r="H13" s="25"/>
      <c r="I13" s="207">
        <v>1</v>
      </c>
      <c r="J13" s="208">
        <f>2175/3.5</f>
        <v>621.42857142857144</v>
      </c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5">
      <c r="A14" s="25"/>
      <c r="B14" s="25"/>
      <c r="C14" s="25"/>
      <c r="D14" s="25"/>
      <c r="E14" s="25"/>
      <c r="F14" s="234"/>
      <c r="G14" s="243"/>
      <c r="H14" s="25"/>
      <c r="I14" s="207">
        <v>2</v>
      </c>
      <c r="J14" s="208">
        <f>875/3.5</f>
        <v>250</v>
      </c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5">
      <c r="A15" s="25"/>
      <c r="B15" s="25"/>
      <c r="C15" s="25"/>
      <c r="D15" s="25"/>
      <c r="E15" s="25"/>
      <c r="F15" s="234"/>
      <c r="G15" s="243"/>
      <c r="H15" s="25"/>
      <c r="I15" s="207">
        <v>3</v>
      </c>
      <c r="J15" s="208">
        <f>875/3.5</f>
        <v>250</v>
      </c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5">
      <c r="A16" s="25"/>
      <c r="B16" s="25"/>
      <c r="C16" s="25"/>
      <c r="D16" s="25"/>
      <c r="E16" s="25"/>
      <c r="F16" s="234"/>
      <c r="G16" s="243"/>
      <c r="H16" s="25"/>
      <c r="I16" s="207">
        <v>4</v>
      </c>
      <c r="J16" s="208">
        <f>875/3.5</f>
        <v>250</v>
      </c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5">
      <c r="A17" s="235"/>
      <c r="B17" s="235"/>
      <c r="C17" s="25"/>
      <c r="D17" s="25"/>
      <c r="E17" s="25"/>
      <c r="F17" s="218"/>
      <c r="G17" s="230"/>
      <c r="H17" s="25"/>
      <c r="I17" s="301" t="s">
        <v>292</v>
      </c>
      <c r="J17" s="301"/>
      <c r="K17" s="301"/>
      <c r="L17" s="301"/>
      <c r="M17" s="5"/>
      <c r="N17" s="186"/>
      <c r="O17" s="311" t="s">
        <v>254</v>
      </c>
      <c r="P17" s="311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5">
      <c r="A18" s="49" t="s">
        <v>165</v>
      </c>
      <c r="B18" s="189" t="str">
        <f>IF('Données projet'!$B$9="","",'Données projet'!$B$9)</f>
        <v>Chêne sessile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2" t="s">
        <v>291</v>
      </c>
      <c r="P18" s="272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5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2" t="s">
        <v>255</v>
      </c>
      <c r="P19" s="272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5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Chêne sessile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267.88018539459745</v>
      </c>
      <c r="K20" s="193">
        <f>'Données projet'!D9</f>
        <v>1.75</v>
      </c>
      <c r="L20" s="192">
        <f>K20*J20</f>
        <v>468.79032444054553</v>
      </c>
      <c r="M20" s="25"/>
      <c r="N20" s="186"/>
      <c r="O20" s="272" t="s">
        <v>290</v>
      </c>
      <c r="P20" s="272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35">
      <c r="A21" s="214">
        <v>0</v>
      </c>
      <c r="B21" s="217" t="s">
        <v>132</v>
      </c>
      <c r="C21" s="216" t="s">
        <v>132</v>
      </c>
      <c r="D21" s="215" t="s">
        <v>132</v>
      </c>
      <c r="E21" s="210"/>
      <c r="F21" s="218"/>
      <c r="G21" s="231"/>
      <c r="H21" s="25"/>
      <c r="I21" s="188" t="str">
        <f>B44</f>
        <v>Cèdre de l'Atlas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974.81179565195271</v>
      </c>
      <c r="K21" s="193">
        <f>'Données projet'!D10</f>
        <v>1.75</v>
      </c>
      <c r="L21" s="192">
        <f t="shared" ref="L21:L29" si="0">K21*J21</f>
        <v>1705.9206423909172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5">
      <c r="A22" s="195">
        <f>'Données projet'!A36</f>
        <v>45</v>
      </c>
      <c r="B22" s="196">
        <f>'Données projet'!D36</f>
        <v>35</v>
      </c>
      <c r="C22" s="210">
        <v>10</v>
      </c>
      <c r="D22" s="197">
        <f>B22*C22</f>
        <v>350</v>
      </c>
      <c r="E22" s="210"/>
      <c r="F22" s="218"/>
      <c r="G22" s="227"/>
      <c r="H22" s="25"/>
      <c r="I22" s="188" t="str">
        <f>B70</f>
        <v/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0</v>
      </c>
      <c r="K22" s="193">
        <f>'Données projet'!D11</f>
        <v>0</v>
      </c>
      <c r="L22" s="192">
        <f t="shared" si="0"/>
        <v>0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5">
      <c r="A23" s="195">
        <f>'Données projet'!A37</f>
        <v>53</v>
      </c>
      <c r="B23" s="196">
        <f>'Données projet'!D37</f>
        <v>50</v>
      </c>
      <c r="C23" s="210">
        <v>10</v>
      </c>
      <c r="D23" s="197">
        <f t="shared" ref="D23:D41" si="1">B23*C23</f>
        <v>500</v>
      </c>
      <c r="E23" s="210"/>
      <c r="F23" s="219"/>
      <c r="G23" s="227"/>
      <c r="H23" s="25"/>
      <c r="I23" s="188" t="str">
        <f>B96</f>
        <v/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0</v>
      </c>
      <c r="K23" s="193">
        <f>'Données projet'!D12</f>
        <v>0</v>
      </c>
      <c r="L23" s="192">
        <f t="shared" si="0"/>
        <v>0</v>
      </c>
      <c r="M23" s="226"/>
      <c r="N23" s="198"/>
      <c r="O23" s="314" t="s">
        <v>261</v>
      </c>
      <c r="P23" s="314"/>
      <c r="Q23" s="31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35">
      <c r="A24" s="195">
        <f>'Données projet'!A38</f>
        <v>61</v>
      </c>
      <c r="B24" s="196">
        <f>'Données projet'!D38</f>
        <v>50</v>
      </c>
      <c r="C24" s="210">
        <v>12</v>
      </c>
      <c r="D24" s="197">
        <f t="shared" si="1"/>
        <v>600</v>
      </c>
      <c r="E24" s="210"/>
      <c r="F24" s="219"/>
      <c r="G24" s="227"/>
      <c r="H24" s="25"/>
      <c r="I24" s="188" t="str">
        <f>B122</f>
        <v/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0</v>
      </c>
      <c r="K24" s="193">
        <f>'Données projet'!D13</f>
        <v>0</v>
      </c>
      <c r="L24" s="192">
        <f t="shared" si="0"/>
        <v>0</v>
      </c>
      <c r="M24" s="25"/>
      <c r="N24" s="186"/>
      <c r="O24" s="312" t="s">
        <v>286</v>
      </c>
      <c r="P24" s="312"/>
      <c r="Q24" s="312"/>
      <c r="R24" s="312"/>
      <c r="S24" s="312"/>
      <c r="T24" s="209">
        <v>650</v>
      </c>
      <c r="U24" s="25" t="s">
        <v>315</v>
      </c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35">
      <c r="A25" s="195">
        <f>'Données projet'!A39</f>
        <v>71</v>
      </c>
      <c r="B25" s="196">
        <f>'Données projet'!D39</f>
        <v>70</v>
      </c>
      <c r="C25" s="210">
        <v>15</v>
      </c>
      <c r="D25" s="197">
        <f t="shared" si="1"/>
        <v>1050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13" t="s">
        <v>258</v>
      </c>
      <c r="P25" s="313"/>
      <c r="Q25" s="313"/>
      <c r="R25" s="313"/>
      <c r="S25" s="313"/>
      <c r="T25" s="313"/>
      <c r="U25" s="25" t="s">
        <v>316</v>
      </c>
      <c r="V25" s="25"/>
      <c r="W25" s="25" t="s">
        <v>317</v>
      </c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5">
      <c r="A26" s="195">
        <f>'Données projet'!A40</f>
        <v>81</v>
      </c>
      <c r="B26" s="196">
        <f>'Données projet'!D40</f>
        <v>70</v>
      </c>
      <c r="C26" s="210">
        <v>18</v>
      </c>
      <c r="D26" s="197">
        <f t="shared" si="1"/>
        <v>1260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13"/>
      <c r="P26" s="313"/>
      <c r="Q26" s="313"/>
      <c r="R26" s="313"/>
      <c r="S26" s="313"/>
      <c r="T26" s="313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35">
      <c r="A27" s="195">
        <f>'Données projet'!A41</f>
        <v>91</v>
      </c>
      <c r="B27" s="196">
        <f>'Données projet'!D41</f>
        <v>70</v>
      </c>
      <c r="C27" s="210">
        <v>20</v>
      </c>
      <c r="D27" s="197">
        <f t="shared" si="1"/>
        <v>1400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35">
      <c r="A28" s="195">
        <f>'Données projet'!A42</f>
        <v>110</v>
      </c>
      <c r="B28" s="196">
        <f>'Données projet'!D42</f>
        <v>116</v>
      </c>
      <c r="C28" s="210">
        <v>25</v>
      </c>
      <c r="D28" s="197">
        <f t="shared" si="1"/>
        <v>2900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14064.714324833791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5">
      <c r="A29" s="195">
        <f>'Données projet'!A43</f>
        <v>0</v>
      </c>
      <c r="B29" s="196">
        <f>'Données projet'!D43</f>
        <v>0</v>
      </c>
      <c r="C29" s="210"/>
      <c r="D29" s="197">
        <f t="shared" si="1"/>
        <v>0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650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5">
      <c r="A30" s="195">
        <f>'Données projet'!A44</f>
        <v>0</v>
      </c>
      <c r="B30" s="196">
        <f>'Données projet'!D44</f>
        <v>0</v>
      </c>
      <c r="C30" s="210"/>
      <c r="D30" s="197">
        <f t="shared" si="1"/>
        <v>0</v>
      </c>
      <c r="E30" s="210"/>
      <c r="F30" s="219"/>
      <c r="G30" s="227"/>
      <c r="H30" s="25"/>
      <c r="M30" s="5"/>
      <c r="N30" s="186"/>
      <c r="O30" s="308" t="s">
        <v>260</v>
      </c>
      <c r="P30" s="308"/>
      <c r="Q30" s="309"/>
      <c r="R30" s="211">
        <f>IF(R29+1&lt;=MIN('Données projet'!$E$9:$E$18),R29+1,"STOP")</f>
        <v>1</v>
      </c>
      <c r="S30" s="201">
        <f t="shared" ref="S30:S46" si="2">$T$24/(1+$J$6)^R30</f>
        <v>622.00956937799049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5">
      <c r="A31" s="195">
        <f>'Données projet'!A45</f>
        <v>0</v>
      </c>
      <c r="B31" s="196">
        <f>'Données projet'!D45</f>
        <v>0</v>
      </c>
      <c r="C31" s="210"/>
      <c r="D31" s="197">
        <f t="shared" si="1"/>
        <v>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8" t="s">
        <v>297</v>
      </c>
      <c r="P31" s="308"/>
      <c r="Q31" s="309"/>
      <c r="R31" s="211">
        <f>IF(R30+1&lt;=MIN('Données projet'!$E$9:$E$18),R30+1,"STOP")</f>
        <v>2</v>
      </c>
      <c r="S31" s="201">
        <f t="shared" si="2"/>
        <v>595.22446830429715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5">
      <c r="A32" s="195">
        <f>'Données projet'!A46</f>
        <v>0</v>
      </c>
      <c r="B32" s="196">
        <f>'Données projet'!D46</f>
        <v>0</v>
      </c>
      <c r="C32" s="210"/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569.59279263569101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5">
      <c r="A33" s="195">
        <f>'Données projet'!A47</f>
        <v>0</v>
      </c>
      <c r="B33" s="196">
        <f>'Données projet'!D47</f>
        <v>0</v>
      </c>
      <c r="C33" s="210"/>
      <c r="D33" s="197">
        <f t="shared" si="1"/>
        <v>0</v>
      </c>
      <c r="E33" s="210"/>
      <c r="F33" s="219"/>
      <c r="G33" s="227"/>
      <c r="H33" s="25"/>
      <c r="I33" s="188" t="s">
        <v>265</v>
      </c>
      <c r="J33" s="304">
        <f>SUM(L20:L29) - (J12/(1+J6)^I12 + J13/(1+J6)^I13 + J14/(1+J6)^I14 + J15/(1+J6)^I15 + J16/(1+J6)^I16 + J9/(1+J6)^I9)*'Données projet'!C5</f>
        <v>-12408.393157612016</v>
      </c>
      <c r="K33" s="304"/>
      <c r="L33" s="304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545.06487333558971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5">
      <c r="A34" s="195">
        <f>'Données projet'!A48</f>
        <v>0</v>
      </c>
      <c r="B34" s="196">
        <f>'Données projet'!D48</f>
        <v>0</v>
      </c>
      <c r="C34" s="210"/>
      <c r="D34" s="197">
        <f t="shared" si="1"/>
        <v>0</v>
      </c>
      <c r="E34" s="210"/>
      <c r="F34" s="219"/>
      <c r="G34" s="227"/>
      <c r="H34" s="25"/>
      <c r="I34" s="188" t="s">
        <v>262</v>
      </c>
      <c r="J34" s="305">
        <f ca="1">'Scénario référence'!$B$8*$P$28*'Données projet'!$C$5+('Scénario référence'!B9+'Scénario référence'!B10+'Scénario référence'!F8+'Scénario référence'!F9)*$Q$20/(1+J6)^Q17*'Données projet'!$C$5</f>
        <v>49226.500136918265</v>
      </c>
      <c r="K34" s="305"/>
      <c r="L34" s="305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521.59318022544471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5">
      <c r="A35" s="195">
        <f>'Données projet'!A49</f>
        <v>0</v>
      </c>
      <c r="B35" s="196">
        <f>'Données projet'!D49</f>
        <v>0</v>
      </c>
      <c r="C35" s="210"/>
      <c r="D35" s="197">
        <f t="shared" si="1"/>
        <v>0</v>
      </c>
      <c r="E35" s="210"/>
      <c r="F35" s="219"/>
      <c r="G35" s="227"/>
      <c r="H35" s="25"/>
      <c r="I35" s="202" t="s">
        <v>267</v>
      </c>
      <c r="J35" s="306">
        <f ca="1">J33-J34</f>
        <v>-61634.89329453028</v>
      </c>
      <c r="K35" s="306"/>
      <c r="L35" s="306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499.13222988080844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5">
      <c r="A36" s="195">
        <f>'Données projet'!A50</f>
        <v>0</v>
      </c>
      <c r="B36" s="196">
        <f>'Données projet'!D50</f>
        <v>0</v>
      </c>
      <c r="C36" s="210"/>
      <c r="D36" s="197">
        <f t="shared" si="1"/>
        <v>0</v>
      </c>
      <c r="E36" s="210"/>
      <c r="F36" s="219"/>
      <c r="G36" s="227"/>
      <c r="H36" s="25"/>
      <c r="I36" s="202" t="s">
        <v>266</v>
      </c>
      <c r="J36" s="303" t="str">
        <f ca="1">IF(J35&lt;0,"Votre projet est additionnel","Votre projet n'est pas additionnel")</f>
        <v>Votre projet est additionnel</v>
      </c>
      <c r="K36" s="303"/>
      <c r="L36" s="303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477.63849749359656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5">
      <c r="A37" s="195">
        <f>'Données projet'!A51</f>
        <v>0</v>
      </c>
      <c r="B37" s="196">
        <f>'Données projet'!D51</f>
        <v>0</v>
      </c>
      <c r="C37" s="210"/>
      <c r="D37" s="197">
        <f t="shared" si="1"/>
        <v>0</v>
      </c>
      <c r="E37" s="210"/>
      <c r="F37" s="219"/>
      <c r="G37" s="227"/>
      <c r="H37" s="25"/>
      <c r="I37" s="307" t="s">
        <v>268</v>
      </c>
      <c r="J37" s="307"/>
      <c r="K37" s="307"/>
      <c r="L37" s="307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457.07033252975759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5">
      <c r="A38" s="195">
        <f>'Données projet'!A52</f>
        <v>0</v>
      </c>
      <c r="B38" s="196">
        <f>'Données projet'!D52</f>
        <v>0</v>
      </c>
      <c r="C38" s="210"/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437.3878780189068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5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418.55299331952813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5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400.52918021007474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5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383.28151216275108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35">
      <c r="A42" s="203"/>
      <c r="B42" s="203"/>
      <c r="C42" s="203"/>
      <c r="D42" s="203"/>
      <c r="E42" s="301" t="s">
        <v>293</v>
      </c>
      <c r="F42" s="302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366.77656666291966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35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350.9823604429854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5">
      <c r="A44" s="49" t="s">
        <v>166</v>
      </c>
      <c r="B44" s="189" t="str">
        <f>IF('Données projet'!$B$10="","",'Données projet'!$B$10)</f>
        <v>Cèdre de l'Atlas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335.86828750524916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5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321.40505981363572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35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307.56465053936427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35">
      <c r="A47" s="214">
        <v>0</v>
      </c>
      <c r="B47" s="217" t="s">
        <v>132</v>
      </c>
      <c r="C47" s="216" t="s">
        <v>132</v>
      </c>
      <c r="D47" s="215" t="s">
        <v>132</v>
      </c>
      <c r="E47" s="210"/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294.32023975058792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5">
      <c r="A48" s="195">
        <f>'Données projet'!A62</f>
        <v>20</v>
      </c>
      <c r="B48" s="196">
        <f>'Données projet'!D62</f>
        <v>35</v>
      </c>
      <c r="C48" s="208">
        <v>7</v>
      </c>
      <c r="D48" s="194">
        <f>B48*C48</f>
        <v>245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281.64616244075398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5">
      <c r="A49" s="195">
        <f>'Données projet'!A63</f>
        <v>25</v>
      </c>
      <c r="B49" s="196">
        <f>'Données projet'!D63</f>
        <v>35</v>
      </c>
      <c r="C49" s="208">
        <v>9</v>
      </c>
      <c r="D49" s="194">
        <f t="shared" ref="D49:D67" si="4">B49*C49</f>
        <v>315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269.51785879497993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5">
      <c r="A50" s="195">
        <f>'Données projet'!A64</f>
        <v>30</v>
      </c>
      <c r="B50" s="196">
        <f>'Données projet'!D64</f>
        <v>50</v>
      </c>
      <c r="C50" s="208">
        <v>11</v>
      </c>
      <c r="D50" s="194">
        <f t="shared" si="4"/>
        <v>550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257.91182659806691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5">
      <c r="A51" s="195">
        <f>'Données projet'!A65</f>
        <v>37</v>
      </c>
      <c r="B51" s="196">
        <f>'Données projet'!D65</f>
        <v>50</v>
      </c>
      <c r="C51" s="208">
        <v>12</v>
      </c>
      <c r="D51" s="194">
        <f t="shared" si="4"/>
        <v>600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246.80557569193016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5">
      <c r="A52" s="195">
        <f>'Données projet'!A66</f>
        <v>44</v>
      </c>
      <c r="B52" s="196">
        <f>'Données projet'!D66</f>
        <v>60</v>
      </c>
      <c r="C52" s="208">
        <v>13</v>
      </c>
      <c r="D52" s="194">
        <f t="shared" si="4"/>
        <v>780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236.17758439419151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5">
      <c r="A53" s="195">
        <f>'Données projet'!A67</f>
        <v>51</v>
      </c>
      <c r="B53" s="196">
        <f>'Données projet'!D67</f>
        <v>70</v>
      </c>
      <c r="C53" s="208">
        <v>15</v>
      </c>
      <c r="D53" s="194">
        <f t="shared" si="4"/>
        <v>1050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226.00725779348474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5">
      <c r="A54" s="195">
        <f>'Données projet'!A68</f>
        <v>60</v>
      </c>
      <c r="B54" s="196">
        <f>'Données projet'!D68</f>
        <v>300</v>
      </c>
      <c r="C54" s="208">
        <v>18</v>
      </c>
      <c r="D54" s="194">
        <f t="shared" si="4"/>
        <v>5400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216.27488784065528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5">
      <c r="A55" s="195">
        <f>'Données projet'!A69</f>
        <v>0</v>
      </c>
      <c r="B55" s="196">
        <f>'Données projet'!D69</f>
        <v>0</v>
      </c>
      <c r="C55" s="208"/>
      <c r="D55" s="194">
        <f t="shared" si="4"/>
        <v>0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206.96161515852185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5">
      <c r="A56" s="195">
        <f>'Données projet'!A70</f>
        <v>0</v>
      </c>
      <c r="B56" s="196">
        <f>'Données projet'!D70</f>
        <v>0</v>
      </c>
      <c r="C56" s="208"/>
      <c r="D56" s="194">
        <f t="shared" si="4"/>
        <v>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198.04939249619315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5">
      <c r="A57" s="195">
        <f>'Données projet'!A71</f>
        <v>0</v>
      </c>
      <c r="B57" s="196">
        <f>'Données projet'!D71</f>
        <v>0</v>
      </c>
      <c r="C57" s="208"/>
      <c r="D57" s="194">
        <f t="shared" si="4"/>
        <v>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189.52094975712268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5">
      <c r="A58" s="195">
        <f>'Données projet'!A72</f>
        <v>0</v>
      </c>
      <c r="B58" s="196">
        <f>'Données projet'!D72</f>
        <v>0</v>
      </c>
      <c r="C58" s="208"/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181.35976053313172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5">
      <c r="A59" s="195">
        <f>'Données projet'!A73</f>
        <v>0</v>
      </c>
      <c r="B59" s="196">
        <f>'Données projet'!D73</f>
        <v>0</v>
      </c>
      <c r="C59" s="208"/>
      <c r="D59" s="194">
        <f t="shared" si="4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173.55001007955195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5">
      <c r="A60" s="195">
        <f>'Données projet'!A74</f>
        <v>0</v>
      </c>
      <c r="B60" s="196">
        <f>'Données projet'!D74</f>
        <v>0</v>
      </c>
      <c r="C60" s="208"/>
      <c r="D60" s="194">
        <f t="shared" si="4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166.07656466942768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5">
      <c r="A61" s="195">
        <f>'Données projet'!A75</f>
        <v>0</v>
      </c>
      <c r="B61" s="196">
        <f>'Données projet'!D75</f>
        <v>0</v>
      </c>
      <c r="C61" s="208"/>
      <c r="D61" s="194">
        <f t="shared" si="4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158.92494226739498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5">
      <c r="A62" s="195">
        <f>'Données projet'!A76</f>
        <v>0</v>
      </c>
      <c r="B62" s="196">
        <f>'Données projet'!D76</f>
        <v>0</v>
      </c>
      <c r="C62" s="208"/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152.08128446640671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5">
      <c r="A63" s="195">
        <f>'Données projet'!A77</f>
        <v>0</v>
      </c>
      <c r="B63" s="196">
        <f>'Données projet'!D77</f>
        <v>0</v>
      </c>
      <c r="C63" s="208"/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145.5323296329251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5">
      <c r="A64" s="195">
        <f>'Données projet'!A78</f>
        <v>0</v>
      </c>
      <c r="B64" s="196">
        <f>'Données projet'!D78</f>
        <v>0</v>
      </c>
      <c r="C64" s="208"/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139.26538720854077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5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133.26831311822085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5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127.52948623753193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5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122.0377858732363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5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116.78257021362326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5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111.75365570681655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5">
      <c r="A70" s="49" t="s">
        <v>167</v>
      </c>
      <c r="B70" s="189" t="str">
        <f>IF('Données projet'!B11="","",'Données projet'!B11)</f>
        <v/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106.94129732709719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5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102.33616969100211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35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97.929348986604893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35">
      <c r="A73" s="214">
        <v>0</v>
      </c>
      <c r="B73" s="217" t="s">
        <v>132</v>
      </c>
      <c r="C73" s="216" t="s">
        <v>132</v>
      </c>
      <c r="D73" s="215" t="s">
        <v>132</v>
      </c>
      <c r="E73" s="210"/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93.712295680961631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5">
      <c r="A74" s="195">
        <f>'Données projet'!A88</f>
        <v>0</v>
      </c>
      <c r="B74" s="196">
        <f>'Données projet'!D88</f>
        <v>0</v>
      </c>
      <c r="C74" s="208"/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6"/>
        <v>89.676837972212084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5">
      <c r="A75" s="195">
        <f>'Données projet'!A89</f>
        <v>0</v>
      </c>
      <c r="B75" s="196">
        <f>'Données projet'!D89</f>
        <v>0</v>
      </c>
      <c r="C75" s="208"/>
      <c r="D75" s="194">
        <f t="shared" ref="D75:D93" si="7">B75*C75</f>
        <v>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6"/>
        <v>85.815155954269954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5">
      <c r="A76" s="195">
        <f>'Données projet'!A90</f>
        <v>0</v>
      </c>
      <c r="B76" s="196">
        <f>'Données projet'!D90</f>
        <v>0</v>
      </c>
      <c r="C76" s="208"/>
      <c r="D76" s="194">
        <f t="shared" si="7"/>
        <v>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6"/>
        <v>82.119766463416212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5">
      <c r="A77" s="195">
        <f>'Données projet'!A91</f>
        <v>0</v>
      </c>
      <c r="B77" s="196">
        <f>'Données projet'!D91</f>
        <v>0</v>
      </c>
      <c r="C77" s="208"/>
      <c r="D77" s="194">
        <f t="shared" si="7"/>
        <v>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6"/>
        <v>78.583508577431829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5">
      <c r="A78" s="195">
        <f>'Données projet'!A92</f>
        <v>0</v>
      </c>
      <c r="B78" s="196">
        <f>'Données projet'!D92</f>
        <v>0</v>
      </c>
      <c r="C78" s="208"/>
      <c r="D78" s="194">
        <f t="shared" si="7"/>
        <v>0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6"/>
        <v>75.199529739169208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5">
      <c r="A79" s="195">
        <f>'Données projet'!A93</f>
        <v>0</v>
      </c>
      <c r="B79" s="196">
        <f>'Données projet'!D93</f>
        <v>0</v>
      </c>
      <c r="C79" s="208"/>
      <c r="D79" s="194">
        <f t="shared" si="7"/>
        <v>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6"/>
        <v>71.961272477673901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5">
      <c r="A80" s="195">
        <f>'Données projet'!A94</f>
        <v>0</v>
      </c>
      <c r="B80" s="196">
        <f>'Données projet'!D94</f>
        <v>0</v>
      </c>
      <c r="C80" s="208"/>
      <c r="D80" s="194">
        <f t="shared" si="7"/>
        <v>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>
        <f>IF(R79+1&lt;=MIN('Données projet'!$E$9:$E$18),R79+1,"STOP")</f>
        <v>51</v>
      </c>
      <c r="S80" s="201">
        <f t="shared" si="6"/>
        <v>68.862461701123351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5">
      <c r="A81" s="195">
        <f>'Données projet'!A95</f>
        <v>0</v>
      </c>
      <c r="B81" s="196">
        <f>'Données projet'!D95</f>
        <v>0</v>
      </c>
      <c r="C81" s="208"/>
      <c r="D81" s="194">
        <f t="shared" si="7"/>
        <v>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>
        <f>IF(R80+1&lt;=MIN('Données projet'!$E$9:$E$18),R80+1,"STOP")</f>
        <v>52</v>
      </c>
      <c r="S81" s="201">
        <f t="shared" si="6"/>
        <v>65.897092536960159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5">
      <c r="A82" s="195">
        <f>'Données projet'!A96</f>
        <v>0</v>
      </c>
      <c r="B82" s="196">
        <f>'Données projet'!D96</f>
        <v>0</v>
      </c>
      <c r="C82" s="208"/>
      <c r="D82" s="194">
        <f t="shared" si="7"/>
        <v>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>
        <f>IF(R81+1&lt;=MIN('Données projet'!$E$9:$E$18),R81+1,"STOP")</f>
        <v>53</v>
      </c>
      <c r="S82" s="201">
        <f t="shared" si="6"/>
        <v>63.059418695655651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5">
      <c r="A83" s="195">
        <f>'Données projet'!A97</f>
        <v>0</v>
      </c>
      <c r="B83" s="196">
        <f>'Données projet'!D97</f>
        <v>0</v>
      </c>
      <c r="C83" s="208"/>
      <c r="D83" s="194">
        <f t="shared" si="7"/>
        <v>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>
        <f>IF(R82+1&lt;=MIN('Données projet'!$E$9:$E$18),R82+1,"STOP")</f>
        <v>54</v>
      </c>
      <c r="S83" s="201">
        <f t="shared" si="6"/>
        <v>60.34394133555567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5">
      <c r="A84" s="195">
        <f>'Données projet'!A98</f>
        <v>0</v>
      </c>
      <c r="B84" s="196">
        <f>'Données projet'!D98</f>
        <v>0</v>
      </c>
      <c r="C84" s="208"/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>
        <f>IF(R83+1&lt;=MIN('Données projet'!$E$9:$E$18),R83+1,"STOP")</f>
        <v>55</v>
      </c>
      <c r="S84" s="201">
        <f t="shared" si="6"/>
        <v>57.745398407230297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5">
      <c r="A85" s="195">
        <f>'Données projet'!A99</f>
        <v>0</v>
      </c>
      <c r="B85" s="196">
        <f>'Données projet'!D99</f>
        <v>0</v>
      </c>
      <c r="C85" s="208"/>
      <c r="D85" s="194">
        <f t="shared" si="7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>
        <f>IF(R84+1&lt;=MIN('Données projet'!$E$9:$E$18),R84+1,"STOP")</f>
        <v>56</v>
      </c>
      <c r="S85" s="201">
        <f t="shared" si="6"/>
        <v>55.258754456679725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5">
      <c r="A86" s="195">
        <f>'Données projet'!A100</f>
        <v>0</v>
      </c>
      <c r="B86" s="196">
        <f>'Données projet'!D100</f>
        <v>0</v>
      </c>
      <c r="C86" s="208"/>
      <c r="D86" s="194">
        <f t="shared" si="7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>
        <f>IF(R85+1&lt;=MIN('Données projet'!$E$9:$E$18),R85+1,"STOP")</f>
        <v>57</v>
      </c>
      <c r="S86" s="201">
        <f t="shared" si="6"/>
        <v>52.879190867636105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5">
      <c r="A87" s="195">
        <f>'Données projet'!A101</f>
        <v>0</v>
      </c>
      <c r="B87" s="196">
        <f>'Données projet'!D101</f>
        <v>0</v>
      </c>
      <c r="C87" s="208"/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>
        <f>IF(R86+1&lt;=MIN('Données projet'!$E$9:$E$18),R86+1,"STOP")</f>
        <v>58</v>
      </c>
      <c r="S87" s="201">
        <f t="shared" si="6"/>
        <v>50.6020965240537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5">
      <c r="A88" s="195">
        <f>'Données projet'!A102</f>
        <v>0</v>
      </c>
      <c r="B88" s="196">
        <f>'Données projet'!D102</f>
        <v>0</v>
      </c>
      <c r="C88" s="208"/>
      <c r="D88" s="194">
        <f t="shared" si="7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>
        <f>IF(R87+1&lt;=MIN('Données projet'!$E$9:$E$18),R87+1,"STOP")</f>
        <v>59</v>
      </c>
      <c r="S88" s="201">
        <f t="shared" si="6"/>
        <v>48.423058874692536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5">
      <c r="A89" s="195">
        <f>'Données projet'!A103</f>
        <v>0</v>
      </c>
      <c r="B89" s="196">
        <f>'Données projet'!D103</f>
        <v>0</v>
      </c>
      <c r="C89" s="208"/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>
        <f>IF(R88+1&lt;=MIN('Données projet'!$E$9:$E$18),R88+1,"STOP")</f>
        <v>60</v>
      </c>
      <c r="S89" s="201">
        <f t="shared" si="6"/>
        <v>46.337855382480903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5">
      <c r="A90" s="195">
        <f>'Données projet'!A104</f>
        <v>0</v>
      </c>
      <c r="B90" s="196">
        <f>'Données projet'!D104</f>
        <v>0</v>
      </c>
      <c r="C90" s="208"/>
      <c r="D90" s="194">
        <f t="shared" si="7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 t="str">
        <f>IF(R89+1&lt;=MIN('Données projet'!$E$9:$E$18),R89+1,"STOP")</f>
        <v>STOP</v>
      </c>
      <c r="S90" s="201" t="e">
        <f t="shared" si="6"/>
        <v>#VALUE!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5">
      <c r="A91" s="195">
        <f>'Données projet'!A105</f>
        <v>0</v>
      </c>
      <c r="B91" s="196">
        <f>'Données projet'!D105</f>
        <v>0</v>
      </c>
      <c r="C91" s="208"/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 t="e">
        <f>IF(R90+1&lt;=MIN('Données projet'!$E$9:$E$18),R90+1,"STOP")</f>
        <v>#VALUE!</v>
      </c>
      <c r="S91" s="201" t="e">
        <f t="shared" si="6"/>
        <v>#VALUE!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5">
      <c r="A92" s="195">
        <f>'Données projet'!A106</f>
        <v>0</v>
      </c>
      <c r="B92" s="196">
        <f>'Données projet'!D106</f>
        <v>0</v>
      </c>
      <c r="C92" s="208"/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 t="e">
        <f>IF(R91+1&lt;=MIN('Données projet'!$E$9:$E$18),R91+1,"STOP")</f>
        <v>#VALUE!</v>
      </c>
      <c r="S92" s="201" t="e">
        <f t="shared" si="6"/>
        <v>#VALUE!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5">
      <c r="A93" s="195">
        <f>'Données projet'!A107</f>
        <v>0</v>
      </c>
      <c r="B93" s="196">
        <f>'Données projet'!D107</f>
        <v>0</v>
      </c>
      <c r="C93" s="208"/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 t="e">
        <f>IF(R92+1&lt;=MIN('Données projet'!$E$9:$E$18),R92+1,"STOP")</f>
        <v>#VALUE!</v>
      </c>
      <c r="S93" s="201" t="e">
        <f t="shared" ref="S93:S98" si="8">$T$24/(1+$J$6)^R93</f>
        <v>#VALUE!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5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 t="e">
        <f>IF(R93+1&lt;=MIN('Données projet'!$E$9:$E$18),R93+1,"STOP")</f>
        <v>#VALUE!</v>
      </c>
      <c r="S94" s="201" t="e">
        <f t="shared" si="8"/>
        <v>#VALUE!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5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 t="e">
        <f>IF(R94+1&lt;=MIN('Données projet'!$E$9:$E$18),R94+1,"STOP")</f>
        <v>#VALUE!</v>
      </c>
      <c r="S95" s="201" t="e">
        <f t="shared" si="8"/>
        <v>#VALUE!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5">
      <c r="A96" s="49" t="s">
        <v>168</v>
      </c>
      <c r="B96" s="189" t="str">
        <f>IF('Données projet'!B12="","",'Données projet'!B12)</f>
        <v/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 t="e">
        <f>IF(R95+1&lt;=MIN('Données projet'!$E$9:$E$18),R95+1,"STOP")</f>
        <v>#VALUE!</v>
      </c>
      <c r="S96" s="201" t="e">
        <f t="shared" si="8"/>
        <v>#VALUE!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5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 t="e">
        <f>IF(R96+1&lt;=MIN('Données projet'!$E$9:$E$18),R96+1,"STOP")</f>
        <v>#VALUE!</v>
      </c>
      <c r="S97" s="201" t="e">
        <f t="shared" si="8"/>
        <v>#VALUE!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35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 t="e">
        <f>IF(R97+1&lt;=MIN('Données projet'!$E$9:$E$18),R97+1,"STOP")</f>
        <v>#VALUE!</v>
      </c>
      <c r="S98" s="201" t="e">
        <f t="shared" si="8"/>
        <v>#VALUE!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35">
      <c r="A99" s="214">
        <v>0</v>
      </c>
      <c r="B99" s="217" t="s">
        <v>132</v>
      </c>
      <c r="C99" s="216" t="s">
        <v>132</v>
      </c>
      <c r="D99" s="215" t="s">
        <v>132</v>
      </c>
      <c r="E99" s="210"/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 t="e">
        <f>IF(R98+1&lt;=MIN('Données projet'!$E$9:$E$18),R98+1,"STOP")</f>
        <v>#VALUE!</v>
      </c>
      <c r="S99" s="201" t="e">
        <f t="shared" ref="S99:S128" si="9">$T$24/(1+$J$6)^R99</f>
        <v>#VALUE!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5">
      <c r="A100" s="195">
        <f>'Données projet'!A114</f>
        <v>0</v>
      </c>
      <c r="B100" s="196">
        <f>'Données projet'!D114</f>
        <v>0</v>
      </c>
      <c r="C100" s="208"/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 t="e">
        <f>IF(R99+1&lt;=MIN('Données projet'!$E$9:$E$18),R99+1,"STOP")</f>
        <v>#VALUE!</v>
      </c>
      <c r="S100" s="201" t="e">
        <f t="shared" si="9"/>
        <v>#VALUE!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5">
      <c r="A101" s="195">
        <f>'Données projet'!A115</f>
        <v>0</v>
      </c>
      <c r="B101" s="196">
        <f>'Données projet'!D115</f>
        <v>0</v>
      </c>
      <c r="C101" s="208"/>
      <c r="D101" s="194">
        <f t="shared" ref="D101:D119" si="10">B101*C101</f>
        <v>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 t="e">
        <f>IF(R100+1&lt;=MIN('Données projet'!$E$9:$E$18),R100+1,"STOP")</f>
        <v>#VALUE!</v>
      </c>
      <c r="S101" s="201" t="e">
        <f t="shared" si="9"/>
        <v>#VALUE!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5">
      <c r="A102" s="195">
        <f>'Données projet'!A116</f>
        <v>0</v>
      </c>
      <c r="B102" s="196">
        <f>'Données projet'!D116</f>
        <v>0</v>
      </c>
      <c r="C102" s="208"/>
      <c r="D102" s="194">
        <f t="shared" si="10"/>
        <v>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 t="e">
        <f>IF(R101+1&lt;=MIN('Données projet'!$E$9:$E$18),R101+1,"STOP")</f>
        <v>#VALUE!</v>
      </c>
      <c r="S102" s="201" t="e">
        <f t="shared" si="9"/>
        <v>#VALUE!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5">
      <c r="A103" s="195">
        <f>'Données projet'!A117</f>
        <v>0</v>
      </c>
      <c r="B103" s="196">
        <f>'Données projet'!D117</f>
        <v>0</v>
      </c>
      <c r="C103" s="208"/>
      <c r="D103" s="194">
        <f t="shared" si="10"/>
        <v>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 t="e">
        <f>IF(R102+1&lt;=MIN('Données projet'!$E$9:$E$18),R102+1,"STOP")</f>
        <v>#VALUE!</v>
      </c>
      <c r="S103" s="201" t="e">
        <f t="shared" si="9"/>
        <v>#VALUE!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5">
      <c r="A104" s="195">
        <f>'Données projet'!A118</f>
        <v>0</v>
      </c>
      <c r="B104" s="196">
        <f>'Données projet'!D118</f>
        <v>0</v>
      </c>
      <c r="C104" s="208"/>
      <c r="D104" s="194">
        <f t="shared" si="10"/>
        <v>0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 t="e">
        <f>IF(R103+1&lt;=MIN('Données projet'!$E$9:$E$18),R103+1,"STOP")</f>
        <v>#VALUE!</v>
      </c>
      <c r="S104" s="201" t="e">
        <f t="shared" si="9"/>
        <v>#VALUE!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5">
      <c r="A105" s="195">
        <f>'Données projet'!A119</f>
        <v>0</v>
      </c>
      <c r="B105" s="196">
        <f>'Données projet'!D119</f>
        <v>0</v>
      </c>
      <c r="C105" s="208"/>
      <c r="D105" s="194">
        <f t="shared" si="10"/>
        <v>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 t="e">
        <f>IF(R104+1&lt;=MIN('Données projet'!$E$9:$E$18),R104+1,"STOP")</f>
        <v>#VALUE!</v>
      </c>
      <c r="S105" s="201" t="e">
        <f t="shared" si="9"/>
        <v>#VALUE!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5">
      <c r="A106" s="195">
        <f>'Données projet'!A120</f>
        <v>0</v>
      </c>
      <c r="B106" s="196">
        <f>'Données projet'!D120</f>
        <v>0</v>
      </c>
      <c r="C106" s="208"/>
      <c r="D106" s="194">
        <f t="shared" si="10"/>
        <v>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 t="e">
        <f>IF(R105+1&lt;=MIN('Données projet'!$E$9:$E$18),R105+1,"STOP")</f>
        <v>#VALUE!</v>
      </c>
      <c r="S106" s="201" t="e">
        <f t="shared" si="9"/>
        <v>#VALUE!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5">
      <c r="A107" s="195">
        <f>'Données projet'!A121</f>
        <v>0</v>
      </c>
      <c r="B107" s="196">
        <f>'Données projet'!D121</f>
        <v>0</v>
      </c>
      <c r="C107" s="208"/>
      <c r="D107" s="194">
        <f t="shared" si="10"/>
        <v>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 t="e">
        <f>IF(R106+1&lt;=MIN('Données projet'!$E$9:$E$18),R106+1,"STOP")</f>
        <v>#VALUE!</v>
      </c>
      <c r="S107" s="201" t="e">
        <f t="shared" si="9"/>
        <v>#VALUE!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5">
      <c r="A108" s="195">
        <f>'Données projet'!A122</f>
        <v>0</v>
      </c>
      <c r="B108" s="196">
        <f>'Données projet'!D122</f>
        <v>0</v>
      </c>
      <c r="C108" s="208"/>
      <c r="D108" s="194">
        <f t="shared" si="10"/>
        <v>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 t="e">
        <f>IF(R107+1&lt;=MIN('Données projet'!$E$9:$E$18),R107+1,"STOP")</f>
        <v>#VALUE!</v>
      </c>
      <c r="S108" s="201" t="e">
        <f t="shared" si="9"/>
        <v>#VALUE!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5">
      <c r="A109" s="195">
        <f>'Données projet'!A123</f>
        <v>0</v>
      </c>
      <c r="B109" s="196">
        <f>'Données projet'!D123</f>
        <v>0</v>
      </c>
      <c r="C109" s="208"/>
      <c r="D109" s="194">
        <f t="shared" si="10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 t="e">
        <f>IF(R108+1&lt;=MIN('Données projet'!$E$9:$E$18),R108+1,"STOP")</f>
        <v>#VALUE!</v>
      </c>
      <c r="S109" s="201" t="e">
        <f t="shared" si="9"/>
        <v>#VALUE!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5">
      <c r="A110" s="195">
        <f>'Données projet'!A124</f>
        <v>0</v>
      </c>
      <c r="B110" s="196">
        <f>'Données projet'!D124</f>
        <v>0</v>
      </c>
      <c r="C110" s="208"/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e">
        <f>IF(R109+1&lt;=MIN('Données projet'!$E$9:$E$18),R109+1,"STOP")</f>
        <v>#VALUE!</v>
      </c>
      <c r="S110" s="201" t="e">
        <f t="shared" si="9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5">
      <c r="A111" s="195">
        <f>'Données projet'!A125</f>
        <v>0</v>
      </c>
      <c r="B111" s="196">
        <f>'Données projet'!D125</f>
        <v>0</v>
      </c>
      <c r="C111" s="208"/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9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5">
      <c r="A112" s="195">
        <f>'Données projet'!A126</f>
        <v>0</v>
      </c>
      <c r="B112" s="196">
        <f>'Données projet'!D126</f>
        <v>0</v>
      </c>
      <c r="C112" s="208"/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9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5">
      <c r="A113" s="195">
        <f>'Données projet'!A127</f>
        <v>0</v>
      </c>
      <c r="B113" s="196">
        <f>'Données projet'!D127</f>
        <v>0</v>
      </c>
      <c r="C113" s="208"/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650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5">
      <c r="A114" s="195">
        <f>'Données projet'!A128</f>
        <v>0</v>
      </c>
      <c r="B114" s="196">
        <f>'Données projet'!D128</f>
        <v>0</v>
      </c>
      <c r="C114" s="208"/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650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5">
      <c r="A115" s="195">
        <f>'Données projet'!A129</f>
        <v>0</v>
      </c>
      <c r="B115" s="196">
        <f>'Données projet'!D129</f>
        <v>0</v>
      </c>
      <c r="C115" s="208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650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5">
      <c r="A116" s="195">
        <f>'Données projet'!A130</f>
        <v>0</v>
      </c>
      <c r="B116" s="196">
        <f>'Données projet'!D130</f>
        <v>0</v>
      </c>
      <c r="C116" s="208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650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5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650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5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650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5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650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5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650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5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650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5">
      <c r="A122" s="49" t="s">
        <v>169</v>
      </c>
      <c r="B122" s="189" t="str">
        <f>IF('Données projet'!B13="","",'Données projet'!B13)</f>
        <v/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650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5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650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35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650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35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650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5">
      <c r="A126" s="45">
        <f>'Données projet'!A140</f>
        <v>0</v>
      </c>
      <c r="B126" s="190">
        <f>'Données projet'!D140</f>
        <v>0</v>
      </c>
      <c r="C126" s="208"/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650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5">
      <c r="A127" s="45">
        <f>'Données projet'!A141</f>
        <v>0</v>
      </c>
      <c r="B127" s="190">
        <f>'Données projet'!D141</f>
        <v>0</v>
      </c>
      <c r="C127" s="208"/>
      <c r="D127" s="197">
        <f t="shared" ref="D127:D145" si="11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650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5">
      <c r="A128" s="45">
        <f>'Données projet'!A142</f>
        <v>0</v>
      </c>
      <c r="B128" s="190">
        <f>'Données projet'!D142</f>
        <v>0</v>
      </c>
      <c r="C128" s="208"/>
      <c r="D128" s="197">
        <f t="shared" si="11"/>
        <v>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650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35">
      <c r="A129" s="45">
        <f>'Données projet'!A143</f>
        <v>0</v>
      </c>
      <c r="B129" s="190">
        <f>'Données projet'!D143</f>
        <v>0</v>
      </c>
      <c r="C129" s="208"/>
      <c r="D129" s="197">
        <f t="shared" si="11"/>
        <v>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35">
      <c r="A130" s="45">
        <f>'Données projet'!A144</f>
        <v>0</v>
      </c>
      <c r="B130" s="190">
        <f>'Données projet'!D144</f>
        <v>0</v>
      </c>
      <c r="C130" s="208"/>
      <c r="D130" s="197">
        <f t="shared" si="11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35">
      <c r="A131" s="45">
        <f>'Données projet'!A145</f>
        <v>0</v>
      </c>
      <c r="B131" s="190">
        <f>'Données projet'!D145</f>
        <v>0</v>
      </c>
      <c r="C131" s="208"/>
      <c r="D131" s="197">
        <f t="shared" si="11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35">
      <c r="A132" s="45">
        <f>'Données projet'!A146</f>
        <v>0</v>
      </c>
      <c r="B132" s="190">
        <f>'Données projet'!D146</f>
        <v>0</v>
      </c>
      <c r="C132" s="208"/>
      <c r="D132" s="197">
        <f t="shared" si="11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35">
      <c r="A133" s="45">
        <f>'Données projet'!A147</f>
        <v>0</v>
      </c>
      <c r="B133" s="190">
        <f>'Données projet'!D147</f>
        <v>0</v>
      </c>
      <c r="C133" s="208"/>
      <c r="D133" s="197">
        <f t="shared" si="11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5">
      <c r="A134" s="45">
        <f>'Données projet'!A148</f>
        <v>0</v>
      </c>
      <c r="B134" s="190">
        <f>'Données projet'!D148</f>
        <v>0</v>
      </c>
      <c r="C134" s="208"/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5">
      <c r="A135" s="45">
        <f>'Données projet'!A149</f>
        <v>0</v>
      </c>
      <c r="B135" s="190">
        <f>'Données projet'!D149</f>
        <v>0</v>
      </c>
      <c r="C135" s="208"/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5">
      <c r="A136" s="45">
        <f>'Données projet'!A150</f>
        <v>0</v>
      </c>
      <c r="B136" s="190">
        <f>'Données projet'!D150</f>
        <v>0</v>
      </c>
      <c r="C136" s="208"/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5">
      <c r="A137" s="45">
        <f>'Données projet'!A151</f>
        <v>0</v>
      </c>
      <c r="B137" s="190">
        <f>'Données projet'!D151</f>
        <v>0</v>
      </c>
      <c r="C137" s="208"/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5">
      <c r="A138" s="45">
        <f>'Données projet'!A152</f>
        <v>0</v>
      </c>
      <c r="B138" s="190">
        <f>'Données projet'!D152</f>
        <v>0</v>
      </c>
      <c r="C138" s="208"/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5">
      <c r="A139" s="45">
        <f>'Données projet'!A153</f>
        <v>0</v>
      </c>
      <c r="B139" s="190">
        <f>'Données projet'!D153</f>
        <v>0</v>
      </c>
      <c r="C139" s="208"/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5">
      <c r="A140" s="45">
        <f>'Données projet'!A154</f>
        <v>0</v>
      </c>
      <c r="B140" s="190">
        <f>'Données projet'!D154</f>
        <v>0</v>
      </c>
      <c r="C140" s="208"/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5">
      <c r="A141" s="45">
        <f>'Données projet'!A155</f>
        <v>0</v>
      </c>
      <c r="B141" s="190">
        <f>'Données projet'!D155</f>
        <v>0</v>
      </c>
      <c r="C141" s="208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5">
      <c r="A142" s="45">
        <f>'Données projet'!A156</f>
        <v>0</v>
      </c>
      <c r="B142" s="190">
        <f>'Données projet'!D156</f>
        <v>0</v>
      </c>
      <c r="C142" s="208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5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5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5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5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5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5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5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5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5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5">
      <c r="A152" s="195">
        <f>'Données projet'!A166</f>
        <v>0</v>
      </c>
      <c r="B152" s="196">
        <f>'Données projet'!D166</f>
        <v>0</v>
      </c>
      <c r="C152" s="210"/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5">
      <c r="A153" s="195">
        <f>'Données projet'!A167</f>
        <v>0</v>
      </c>
      <c r="B153" s="196">
        <f>'Données projet'!D167</f>
        <v>0</v>
      </c>
      <c r="C153" s="210"/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5">
      <c r="A154" s="195">
        <f>'Données projet'!A168</f>
        <v>0</v>
      </c>
      <c r="B154" s="196">
        <f>'Données projet'!D168</f>
        <v>0</v>
      </c>
      <c r="C154" s="210"/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5">
      <c r="A155" s="195">
        <f>'Données projet'!A169</f>
        <v>0</v>
      </c>
      <c r="B155" s="196">
        <f>'Données projet'!D169</f>
        <v>0</v>
      </c>
      <c r="C155" s="210"/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5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5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5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5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5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5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5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5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5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5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5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5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5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5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5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5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5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5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5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5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5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5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5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5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5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5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5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5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5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5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5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5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5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5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5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5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5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5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5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5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5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5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5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5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5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5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5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5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5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5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5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5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5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5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5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5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5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5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5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5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5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5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5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5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5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5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5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5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5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5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5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5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5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5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5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5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5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5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5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5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5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5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5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5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5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5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5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5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5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5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5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5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5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5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5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5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5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5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5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5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5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35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35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35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35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35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35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35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35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35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35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35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35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35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35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35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35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5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5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5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5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5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5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5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5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5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5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5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5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5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5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5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5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5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5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5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5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5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5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5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5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5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5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5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5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5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5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5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5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5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5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5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5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5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5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5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5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5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5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5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5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5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5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5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5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5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5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5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5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5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5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5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5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5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5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5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5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5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5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5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5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5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5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5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5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5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5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5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5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5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5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5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5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5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5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5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5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5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5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5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5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5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5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5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5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5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5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5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5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5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5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5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5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5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5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5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5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5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5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5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5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5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5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5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5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5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5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5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5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5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5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5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5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5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5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5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5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5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5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5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5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5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5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5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5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5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5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5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5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5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5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5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5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5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5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5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5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5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5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5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5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5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5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5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5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5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5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5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5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5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5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5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5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5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5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5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5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5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5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5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5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5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5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5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5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5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5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5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5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5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5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5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5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5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5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5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5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5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5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5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5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5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5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5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5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5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5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5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5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5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5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5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5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5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5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5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5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5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5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5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5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5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5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5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5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5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5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5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5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5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5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5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5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5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5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35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35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35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35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35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35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35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35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35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35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  <mergeCell ref="E42:F42"/>
    <mergeCell ref="J36:L36"/>
    <mergeCell ref="J33:L33"/>
    <mergeCell ref="J34:L34"/>
    <mergeCell ref="J35:L35"/>
    <mergeCell ref="I37:L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2021-10-12T10:37:03Z</dcterms:modified>
</cp:coreProperties>
</file>