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Gascogne-Pyrénées\Projet Beaupuy_082021\"/>
    </mc:Choice>
  </mc:AlternateContent>
  <bookViews>
    <workbookView xWindow="0" yWindow="0" windowWidth="28800" windowHeight="12710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6" l="1"/>
  <c r="J15" i="6"/>
  <c r="J14" i="6"/>
  <c r="J13" i="6"/>
  <c r="J12" i="6"/>
  <c r="HG5" i="2" l="1"/>
  <c r="HG6" i="2" s="1"/>
  <c r="HG7" i="2" s="1"/>
  <c r="HG8" i="2" s="1"/>
  <c r="HG9" i="2" s="1"/>
  <c r="HG10" i="2" s="1"/>
  <c r="HG11" i="2" s="1"/>
  <c r="HG12" i="2" s="1"/>
  <c r="HG13" i="2" s="1"/>
  <c r="HG14" i="2" s="1"/>
  <c r="HG15" i="2" s="1"/>
  <c r="HG16" i="2" s="1"/>
  <c r="HG17" i="2" s="1"/>
  <c r="HG18" i="2" s="1"/>
  <c r="HG19" i="2" s="1"/>
  <c r="HG20" i="2" s="1"/>
  <c r="HG21" i="2" s="1"/>
  <c r="HG22" i="2" s="1"/>
  <c r="HG23" i="2" s="1"/>
  <c r="HG24" i="2" s="1"/>
  <c r="HG25" i="2" s="1"/>
  <c r="HG26" i="2" s="1"/>
  <c r="HG27" i="2" s="1"/>
  <c r="HG28" i="2" s="1"/>
  <c r="HG29" i="2" s="1"/>
  <c r="HG30" i="2" s="1"/>
  <c r="HG31" i="2" s="1"/>
  <c r="HG32" i="2" s="1"/>
  <c r="HG33" i="2" s="1"/>
  <c r="HG34" i="2" s="1"/>
  <c r="HG35" i="2" s="1"/>
  <c r="HG36" i="2" s="1"/>
  <c r="HG37" i="2" s="1"/>
  <c r="HG38" i="2" s="1"/>
  <c r="HG39" i="2" s="1"/>
  <c r="HG40" i="2" s="1"/>
  <c r="HG41" i="2" s="1"/>
  <c r="HG42" i="2" s="1"/>
  <c r="HG43" i="2" s="1"/>
  <c r="HG44" i="2" s="1"/>
  <c r="HG45" i="2" s="1"/>
  <c r="HG46" i="2" s="1"/>
  <c r="HG47" i="2" s="1"/>
  <c r="HG48" i="2" s="1"/>
  <c r="HG49" i="2" s="1"/>
  <c r="HG50" i="2" s="1"/>
  <c r="HG51" i="2" s="1"/>
  <c r="HG52" i="2" s="1"/>
  <c r="HG53" i="2" s="1"/>
  <c r="HG54" i="2" s="1"/>
  <c r="HG55" i="2" s="1"/>
  <c r="HG56" i="2" s="1"/>
  <c r="HG57" i="2" s="1"/>
  <c r="HG58" i="2" s="1"/>
  <c r="HG59" i="2" s="1"/>
  <c r="HG60" i="2" s="1"/>
  <c r="HG61" i="2" s="1"/>
  <c r="HG62" i="2" s="1"/>
  <c r="HG63" i="2" s="1"/>
  <c r="HG64" i="2" s="1"/>
  <c r="HG65" i="2" s="1"/>
  <c r="HG66" i="2" s="1"/>
  <c r="HG67" i="2" s="1"/>
  <c r="HG68" i="2" s="1"/>
  <c r="HG69" i="2" s="1"/>
  <c r="HG70" i="2" s="1"/>
  <c r="HG71" i="2" s="1"/>
  <c r="HG72" i="2" s="1"/>
  <c r="HG73" i="2" s="1"/>
  <c r="HG74" i="2" s="1"/>
  <c r="HG75" i="2" s="1"/>
  <c r="HG76" i="2" s="1"/>
  <c r="HG77" i="2" s="1"/>
  <c r="HG78" i="2" s="1"/>
  <c r="HG79" i="2" s="1"/>
  <c r="HG80" i="2" s="1"/>
  <c r="HG81" i="2" s="1"/>
  <c r="HG82" i="2" s="1"/>
  <c r="HG83" i="2" s="1"/>
  <c r="HG84" i="2" s="1"/>
  <c r="HG85" i="2" s="1"/>
  <c r="HG86" i="2" s="1"/>
  <c r="HG87" i="2" s="1"/>
  <c r="HG88" i="2" s="1"/>
  <c r="HG89" i="2" s="1"/>
  <c r="HG90" i="2" s="1"/>
  <c r="HG91" i="2" s="1"/>
  <c r="HG92" i="2" s="1"/>
  <c r="HG93" i="2" s="1"/>
  <c r="HG94" i="2" s="1"/>
  <c r="HG95" i="2" s="1"/>
  <c r="HG96" i="2" s="1"/>
  <c r="HG97" i="2" s="1"/>
  <c r="HG98" i="2" s="1"/>
  <c r="HG99" i="2" s="1"/>
  <c r="HG100" i="2" s="1"/>
  <c r="HG101" i="2" s="1"/>
  <c r="HG102" i="2" s="1"/>
  <c r="HG103" i="2" s="1"/>
  <c r="HG104" i="2" s="1"/>
  <c r="HG105" i="2" s="1"/>
  <c r="HG106" i="2" s="1"/>
  <c r="HG107" i="2" s="1"/>
  <c r="HG108" i="2" s="1"/>
  <c r="HG109" i="2" s="1"/>
  <c r="HG110" i="2" s="1"/>
  <c r="HG111" i="2" s="1"/>
  <c r="HG112" i="2" s="1"/>
  <c r="HG113" i="2" s="1"/>
  <c r="HG114" i="2" s="1"/>
  <c r="HG115" i="2" s="1"/>
  <c r="HG116" i="2" s="1"/>
  <c r="HG117" i="2" s="1"/>
  <c r="HG118" i="2" s="1"/>
  <c r="HG119" i="2" s="1"/>
  <c r="HG120" i="2" s="1"/>
  <c r="HG121" i="2" s="1"/>
  <c r="HG122" i="2" s="1"/>
  <c r="HG123" i="2" s="1"/>
  <c r="HG124" i="2" s="1"/>
  <c r="HG125" i="2" s="1"/>
  <c r="HG126" i="2" s="1"/>
  <c r="HG127" i="2" s="1"/>
  <c r="HG128" i="2" s="1"/>
  <c r="HG129" i="2" s="1"/>
  <c r="HG130" i="2" s="1"/>
  <c r="HG131" i="2" s="1"/>
  <c r="HG132" i="2" s="1"/>
  <c r="HG133" i="2" s="1"/>
  <c r="HG134" i="2" s="1"/>
  <c r="HG135" i="2" s="1"/>
  <c r="HG136" i="2" s="1"/>
  <c r="HG137" i="2" s="1"/>
  <c r="HG138" i="2" s="1"/>
  <c r="HG139" i="2" s="1"/>
  <c r="HG140" i="2" s="1"/>
  <c r="HG141" i="2" s="1"/>
  <c r="HG142" i="2" s="1"/>
  <c r="HG143" i="2" s="1"/>
  <c r="HG144" i="2" s="1"/>
  <c r="HG145" i="2" s="1"/>
  <c r="HG146" i="2" s="1"/>
  <c r="HG147" i="2" s="1"/>
  <c r="HG148" i="2" s="1"/>
  <c r="HG149" i="2" s="1"/>
  <c r="HG150" i="2" s="1"/>
  <c r="HG151" i="2" s="1"/>
  <c r="HG152" i="2" s="1"/>
  <c r="HG153" i="2" s="1"/>
  <c r="HG154" i="2" s="1"/>
  <c r="HG155" i="2" s="1"/>
  <c r="HG156" i="2" s="1"/>
  <c r="HG157" i="2" s="1"/>
  <c r="HG158" i="2" s="1"/>
  <c r="HG159" i="2" s="1"/>
  <c r="HG160" i="2" s="1"/>
  <c r="HG161" i="2" s="1"/>
  <c r="HG162" i="2" s="1"/>
  <c r="HG163" i="2" s="1"/>
  <c r="HG164" i="2" s="1"/>
  <c r="HG165" i="2" s="1"/>
  <c r="HG166" i="2" s="1"/>
  <c r="HG167" i="2" s="1"/>
  <c r="HG168" i="2" s="1"/>
  <c r="HG169" i="2" s="1"/>
  <c r="HG170" i="2" s="1"/>
  <c r="HG171" i="2" s="1"/>
  <c r="HG172" i="2" s="1"/>
  <c r="HG173" i="2" s="1"/>
  <c r="HG174" i="2" s="1"/>
  <c r="HG175" i="2" s="1"/>
  <c r="HG176" i="2" s="1"/>
  <c r="HG177" i="2" s="1"/>
  <c r="HG178" i="2" s="1"/>
  <c r="HG179" i="2" s="1"/>
  <c r="HG180" i="2" s="1"/>
  <c r="HG181" i="2" s="1"/>
  <c r="HG182" i="2" s="1"/>
  <c r="HG183" i="2" s="1"/>
  <c r="HG184" i="2" s="1"/>
  <c r="HG185" i="2" s="1"/>
  <c r="HG186" i="2" s="1"/>
  <c r="HG187" i="2" s="1"/>
  <c r="HG188" i="2" s="1"/>
  <c r="HG189" i="2" s="1"/>
  <c r="HG190" i="2" s="1"/>
  <c r="HG191" i="2" s="1"/>
  <c r="HG192" i="2" s="1"/>
  <c r="HG193" i="2" s="1"/>
  <c r="HG194" i="2" s="1"/>
  <c r="HG195" i="2" s="1"/>
  <c r="HG196" i="2" s="1"/>
  <c r="HG197" i="2" s="1"/>
  <c r="HG198" i="2" s="1"/>
  <c r="HG199" i="2" s="1"/>
  <c r="HG200" i="2" s="1"/>
  <c r="HG201" i="2" s="1"/>
  <c r="HG202" i="2" s="1"/>
  <c r="HG203" i="2" s="1"/>
  <c r="HH5" i="2"/>
  <c r="HH6" i="2" s="1"/>
  <c r="HH7" i="2" s="1"/>
  <c r="HH8" i="2" s="1"/>
  <c r="HH9" i="2" s="1"/>
  <c r="HH10" i="2" s="1"/>
  <c r="HH11" i="2" s="1"/>
  <c r="HH12" i="2" s="1"/>
  <c r="HH13" i="2" s="1"/>
  <c r="HH14" i="2" s="1"/>
  <c r="HH15" i="2" s="1"/>
  <c r="HH16" i="2" s="1"/>
  <c r="HH17" i="2" s="1"/>
  <c r="HH18" i="2" s="1"/>
  <c r="HH19" i="2" s="1"/>
  <c r="HH20" i="2" s="1"/>
  <c r="HH21" i="2" s="1"/>
  <c r="HH22" i="2" s="1"/>
  <c r="HH23" i="2" s="1"/>
  <c r="HH24" i="2" s="1"/>
  <c r="HH25" i="2" s="1"/>
  <c r="HH26" i="2" s="1"/>
  <c r="HH27" i="2" s="1"/>
  <c r="HH28" i="2" s="1"/>
  <c r="HH29" i="2" s="1"/>
  <c r="HH30" i="2" s="1"/>
  <c r="HH31" i="2" s="1"/>
  <c r="HH32" i="2" s="1"/>
  <c r="HH33" i="2" s="1"/>
  <c r="HH34" i="2" s="1"/>
  <c r="HH35" i="2" s="1"/>
  <c r="HH36" i="2" s="1"/>
  <c r="HH37" i="2" s="1"/>
  <c r="HH38" i="2" s="1"/>
  <c r="HH39" i="2" s="1"/>
  <c r="HH40" i="2" s="1"/>
  <c r="HH41" i="2" s="1"/>
  <c r="HH42" i="2" s="1"/>
  <c r="HH43" i="2" s="1"/>
  <c r="HH44" i="2" s="1"/>
  <c r="HH45" i="2" s="1"/>
  <c r="HH46" i="2" s="1"/>
  <c r="HH47" i="2" s="1"/>
  <c r="HH48" i="2" s="1"/>
  <c r="HH49" i="2" s="1"/>
  <c r="HH50" i="2" s="1"/>
  <c r="HH51" i="2" s="1"/>
  <c r="HH52" i="2" s="1"/>
  <c r="HH53" i="2" s="1"/>
  <c r="HH54" i="2" s="1"/>
  <c r="HH55" i="2" s="1"/>
  <c r="HH56" i="2" s="1"/>
  <c r="HH57" i="2" s="1"/>
  <c r="HH58" i="2" s="1"/>
  <c r="HH59" i="2" s="1"/>
  <c r="HH60" i="2" s="1"/>
  <c r="HH61" i="2" s="1"/>
  <c r="HH62" i="2" s="1"/>
  <c r="HH63" i="2" s="1"/>
  <c r="HH64" i="2" s="1"/>
  <c r="HH65" i="2" s="1"/>
  <c r="HH66" i="2" s="1"/>
  <c r="HH67" i="2" s="1"/>
  <c r="HH68" i="2" s="1"/>
  <c r="HH69" i="2" s="1"/>
  <c r="HH70" i="2" s="1"/>
  <c r="HH71" i="2" s="1"/>
  <c r="HH72" i="2" s="1"/>
  <c r="HH73" i="2" s="1"/>
  <c r="HH74" i="2" s="1"/>
  <c r="HH75" i="2" s="1"/>
  <c r="HH76" i="2" s="1"/>
  <c r="HH77" i="2" s="1"/>
  <c r="HH78" i="2" s="1"/>
  <c r="HH79" i="2" s="1"/>
  <c r="HH80" i="2" s="1"/>
  <c r="HH81" i="2" s="1"/>
  <c r="HH82" i="2" s="1"/>
  <c r="HH83" i="2" s="1"/>
  <c r="HH84" i="2" s="1"/>
  <c r="HH85" i="2" s="1"/>
  <c r="HH86" i="2" s="1"/>
  <c r="HH87" i="2" s="1"/>
  <c r="HH88" i="2" s="1"/>
  <c r="HH89" i="2" s="1"/>
  <c r="HH90" i="2" s="1"/>
  <c r="HH91" i="2" s="1"/>
  <c r="HH92" i="2" s="1"/>
  <c r="HH93" i="2" s="1"/>
  <c r="HH94" i="2" s="1"/>
  <c r="HH95" i="2" s="1"/>
  <c r="HH96" i="2" s="1"/>
  <c r="HH97" i="2" s="1"/>
  <c r="HH98" i="2" s="1"/>
  <c r="HH99" i="2" s="1"/>
  <c r="HH100" i="2" s="1"/>
  <c r="HH101" i="2" s="1"/>
  <c r="HH102" i="2" s="1"/>
  <c r="HH103" i="2" s="1"/>
  <c r="HH104" i="2" s="1"/>
  <c r="HH105" i="2" s="1"/>
  <c r="HH106" i="2" s="1"/>
  <c r="HH107" i="2" s="1"/>
  <c r="HH108" i="2" s="1"/>
  <c r="HH109" i="2" s="1"/>
  <c r="HH110" i="2" s="1"/>
  <c r="HH111" i="2" s="1"/>
  <c r="HH112" i="2" s="1"/>
  <c r="HH113" i="2" s="1"/>
  <c r="HH114" i="2" s="1"/>
  <c r="HH115" i="2" s="1"/>
  <c r="HH116" i="2" s="1"/>
  <c r="HH117" i="2" s="1"/>
  <c r="HH118" i="2" s="1"/>
  <c r="HH119" i="2" s="1"/>
  <c r="HH120" i="2" s="1"/>
  <c r="HH121" i="2" s="1"/>
  <c r="HH122" i="2" s="1"/>
  <c r="HH123" i="2" s="1"/>
  <c r="HH124" i="2" s="1"/>
  <c r="HH125" i="2" s="1"/>
  <c r="HH126" i="2" s="1"/>
  <c r="HH127" i="2" s="1"/>
  <c r="HH128" i="2" s="1"/>
  <c r="HH129" i="2" s="1"/>
  <c r="HH130" i="2" s="1"/>
  <c r="HH131" i="2" s="1"/>
  <c r="HH132" i="2" s="1"/>
  <c r="HH133" i="2" s="1"/>
  <c r="HH134" i="2" s="1"/>
  <c r="HH135" i="2" s="1"/>
  <c r="HH136" i="2" s="1"/>
  <c r="HH137" i="2" s="1"/>
  <c r="HH138" i="2" s="1"/>
  <c r="HH139" i="2" s="1"/>
  <c r="HH140" i="2" s="1"/>
  <c r="HH141" i="2" s="1"/>
  <c r="HH142" i="2" s="1"/>
  <c r="HH143" i="2" s="1"/>
  <c r="HH144" i="2" s="1"/>
  <c r="HH145" i="2" s="1"/>
  <c r="HH146" i="2" s="1"/>
  <c r="HH147" i="2" s="1"/>
  <c r="HH148" i="2" s="1"/>
  <c r="HH149" i="2" s="1"/>
  <c r="HH150" i="2" s="1"/>
  <c r="HH151" i="2" s="1"/>
  <c r="HH152" i="2" s="1"/>
  <c r="HH153" i="2" s="1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HI5" i="2"/>
  <c r="HI6" i="2" s="1"/>
  <c r="HI7" i="2" s="1"/>
  <c r="HI8" i="2" s="1"/>
  <c r="HI9" i="2" s="1"/>
  <c r="HI10" i="2" s="1"/>
  <c r="HI11" i="2" s="1"/>
  <c r="HI12" i="2" s="1"/>
  <c r="HI13" i="2" s="1"/>
  <c r="HI14" i="2" s="1"/>
  <c r="HI15" i="2" s="1"/>
  <c r="HI16" i="2" s="1"/>
  <c r="HI17" i="2" s="1"/>
  <c r="HI18" i="2" s="1"/>
  <c r="HI19" i="2" s="1"/>
  <c r="HI20" i="2" s="1"/>
  <c r="HI21" i="2" s="1"/>
  <c r="HI22" i="2" s="1"/>
  <c r="HI23" i="2" s="1"/>
  <c r="HI24" i="2" s="1"/>
  <c r="HI25" i="2" s="1"/>
  <c r="HI26" i="2" s="1"/>
  <c r="HI27" i="2" s="1"/>
  <c r="HI28" i="2" s="1"/>
  <c r="HI29" i="2" s="1"/>
  <c r="HI30" i="2" s="1"/>
  <c r="HI31" i="2" s="1"/>
  <c r="HI32" i="2" s="1"/>
  <c r="HI33" i="2" s="1"/>
  <c r="HI34" i="2" s="1"/>
  <c r="HI35" i="2" s="1"/>
  <c r="HI36" i="2" s="1"/>
  <c r="HI37" i="2" s="1"/>
  <c r="HI38" i="2" s="1"/>
  <c r="HI39" i="2" s="1"/>
  <c r="HI40" i="2" s="1"/>
  <c r="HI41" i="2" s="1"/>
  <c r="HI42" i="2" s="1"/>
  <c r="HI43" i="2" s="1"/>
  <c r="HI44" i="2" s="1"/>
  <c r="HI45" i="2" s="1"/>
  <c r="HI46" i="2" s="1"/>
  <c r="HI47" i="2" s="1"/>
  <c r="HI48" i="2" s="1"/>
  <c r="HI49" i="2" s="1"/>
  <c r="HI50" i="2" s="1"/>
  <c r="HI51" i="2" s="1"/>
  <c r="HI52" i="2" s="1"/>
  <c r="HI53" i="2" s="1"/>
  <c r="HI54" i="2" s="1"/>
  <c r="HI55" i="2" s="1"/>
  <c r="HI56" i="2" s="1"/>
  <c r="HI57" i="2" s="1"/>
  <c r="HI58" i="2" s="1"/>
  <c r="HI59" i="2" s="1"/>
  <c r="HI60" i="2" s="1"/>
  <c r="HI61" i="2" s="1"/>
  <c r="HI62" i="2" s="1"/>
  <c r="HI63" i="2" s="1"/>
  <c r="HI64" i="2" s="1"/>
  <c r="HI65" i="2" s="1"/>
  <c r="HI66" i="2" s="1"/>
  <c r="HI67" i="2" s="1"/>
  <c r="HI68" i="2" s="1"/>
  <c r="HI69" i="2" s="1"/>
  <c r="HI70" i="2" s="1"/>
  <c r="HI71" i="2" s="1"/>
  <c r="HI72" i="2" s="1"/>
  <c r="HI73" i="2" s="1"/>
  <c r="HI74" i="2" s="1"/>
  <c r="HI75" i="2" s="1"/>
  <c r="HI76" i="2" s="1"/>
  <c r="HI77" i="2" s="1"/>
  <c r="HI78" i="2" s="1"/>
  <c r="HI79" i="2" s="1"/>
  <c r="HI80" i="2" s="1"/>
  <c r="HI81" i="2" s="1"/>
  <c r="HI82" i="2" s="1"/>
  <c r="HI83" i="2" s="1"/>
  <c r="HI84" i="2" s="1"/>
  <c r="HI85" i="2" s="1"/>
  <c r="HI86" i="2" s="1"/>
  <c r="HI87" i="2" s="1"/>
  <c r="HI88" i="2" s="1"/>
  <c r="HI89" i="2" s="1"/>
  <c r="HI90" i="2" s="1"/>
  <c r="HI91" i="2" s="1"/>
  <c r="HI92" i="2" s="1"/>
  <c r="HI93" i="2" s="1"/>
  <c r="HI94" i="2" s="1"/>
  <c r="HI95" i="2" s="1"/>
  <c r="HI96" i="2" s="1"/>
  <c r="HI97" i="2" s="1"/>
  <c r="HI98" i="2" s="1"/>
  <c r="HI99" i="2" s="1"/>
  <c r="HI100" i="2" s="1"/>
  <c r="HI101" i="2" s="1"/>
  <c r="HI102" i="2" s="1"/>
  <c r="HI103" i="2" s="1"/>
  <c r="HI104" i="2" s="1"/>
  <c r="HI105" i="2" s="1"/>
  <c r="HI106" i="2" s="1"/>
  <c r="HI107" i="2" s="1"/>
  <c r="HI108" i="2" s="1"/>
  <c r="HI109" i="2" s="1"/>
  <c r="HI110" i="2" s="1"/>
  <c r="HI111" i="2" s="1"/>
  <c r="HI112" i="2" s="1"/>
  <c r="HI113" i="2" s="1"/>
  <c r="HI114" i="2" s="1"/>
  <c r="HI115" i="2" s="1"/>
  <c r="HI116" i="2" s="1"/>
  <c r="HI117" i="2" s="1"/>
  <c r="HI118" i="2" s="1"/>
  <c r="HI119" i="2" s="1"/>
  <c r="HI120" i="2" s="1"/>
  <c r="HI121" i="2" s="1"/>
  <c r="HI122" i="2" s="1"/>
  <c r="HI123" i="2" s="1"/>
  <c r="HI124" i="2" s="1"/>
  <c r="HI125" i="2" s="1"/>
  <c r="HI126" i="2" s="1"/>
  <c r="HI127" i="2" s="1"/>
  <c r="HI128" i="2" s="1"/>
  <c r="HI129" i="2" s="1"/>
  <c r="HI130" i="2" s="1"/>
  <c r="HI131" i="2" s="1"/>
  <c r="HI132" i="2" s="1"/>
  <c r="HI133" i="2" s="1"/>
  <c r="HI134" i="2" s="1"/>
  <c r="HI135" i="2" s="1"/>
  <c r="HI136" i="2" s="1"/>
  <c r="HI137" i="2" s="1"/>
  <c r="HI138" i="2" s="1"/>
  <c r="HI139" i="2" s="1"/>
  <c r="HI140" i="2" s="1"/>
  <c r="HI141" i="2" s="1"/>
  <c r="HI142" i="2" s="1"/>
  <c r="HI143" i="2" s="1"/>
  <c r="HI144" i="2" s="1"/>
  <c r="HI145" i="2" s="1"/>
  <c r="HI146" i="2" s="1"/>
  <c r="HI147" i="2" s="1"/>
  <c r="HI148" i="2" s="1"/>
  <c r="HI149" i="2" s="1"/>
  <c r="HI150" i="2" s="1"/>
  <c r="HI151" i="2" s="1"/>
  <c r="HI152" i="2" s="1"/>
  <c r="HI153" i="2" s="1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HI4" i="2"/>
  <c r="HH4" i="2"/>
  <c r="HG4" i="2"/>
  <c r="GL5" i="2"/>
  <c r="GL6" i="2" s="1"/>
  <c r="GL7" i="2" s="1"/>
  <c r="GL8" i="2" s="1"/>
  <c r="GL9" i="2" s="1"/>
  <c r="GL10" i="2" s="1"/>
  <c r="GL11" i="2" s="1"/>
  <c r="GL12" i="2" s="1"/>
  <c r="GL13" i="2" s="1"/>
  <c r="GL14" i="2" s="1"/>
  <c r="GL15" i="2" s="1"/>
  <c r="GL16" i="2" s="1"/>
  <c r="GL17" i="2" s="1"/>
  <c r="GL18" i="2" s="1"/>
  <c r="GL19" i="2" s="1"/>
  <c r="GL20" i="2" s="1"/>
  <c r="GL21" i="2" s="1"/>
  <c r="GL22" i="2" s="1"/>
  <c r="GL23" i="2" s="1"/>
  <c r="GL24" i="2" s="1"/>
  <c r="GL25" i="2" s="1"/>
  <c r="GL26" i="2" s="1"/>
  <c r="GL27" i="2" s="1"/>
  <c r="GL28" i="2" s="1"/>
  <c r="GL29" i="2" s="1"/>
  <c r="GL30" i="2" s="1"/>
  <c r="GL31" i="2" s="1"/>
  <c r="GL32" i="2" s="1"/>
  <c r="GL33" i="2" s="1"/>
  <c r="GL34" i="2" s="1"/>
  <c r="GL35" i="2" s="1"/>
  <c r="GL36" i="2" s="1"/>
  <c r="GL37" i="2" s="1"/>
  <c r="GL38" i="2" s="1"/>
  <c r="GL39" i="2" s="1"/>
  <c r="GL40" i="2" s="1"/>
  <c r="GL41" i="2" s="1"/>
  <c r="GL42" i="2" s="1"/>
  <c r="GL43" i="2" s="1"/>
  <c r="GL44" i="2" s="1"/>
  <c r="GL45" i="2" s="1"/>
  <c r="GL46" i="2" s="1"/>
  <c r="GL47" i="2" s="1"/>
  <c r="GL48" i="2" s="1"/>
  <c r="GL49" i="2" s="1"/>
  <c r="GL50" i="2" s="1"/>
  <c r="GL51" i="2" s="1"/>
  <c r="GL52" i="2" s="1"/>
  <c r="GL53" i="2" s="1"/>
  <c r="GL54" i="2" s="1"/>
  <c r="GL55" i="2" s="1"/>
  <c r="GL56" i="2" s="1"/>
  <c r="GL57" i="2" s="1"/>
  <c r="GL58" i="2" s="1"/>
  <c r="GL59" i="2" s="1"/>
  <c r="GL60" i="2" s="1"/>
  <c r="GL61" i="2" s="1"/>
  <c r="GL62" i="2" s="1"/>
  <c r="GL63" i="2" s="1"/>
  <c r="GL64" i="2" s="1"/>
  <c r="GL65" i="2" s="1"/>
  <c r="GL66" i="2" s="1"/>
  <c r="GL67" i="2" s="1"/>
  <c r="GL68" i="2" s="1"/>
  <c r="GL69" i="2" s="1"/>
  <c r="GL70" i="2" s="1"/>
  <c r="GL71" i="2" s="1"/>
  <c r="GL72" i="2" s="1"/>
  <c r="GL73" i="2" s="1"/>
  <c r="GL74" i="2" s="1"/>
  <c r="GL75" i="2" s="1"/>
  <c r="GL76" i="2" s="1"/>
  <c r="GL77" i="2" s="1"/>
  <c r="GL78" i="2" s="1"/>
  <c r="GL79" i="2" s="1"/>
  <c r="GL80" i="2" s="1"/>
  <c r="GL81" i="2" s="1"/>
  <c r="GL82" i="2" s="1"/>
  <c r="GL83" i="2" s="1"/>
  <c r="GL84" i="2" s="1"/>
  <c r="GL85" i="2" s="1"/>
  <c r="GL86" i="2" s="1"/>
  <c r="GL87" i="2" s="1"/>
  <c r="GL88" i="2" s="1"/>
  <c r="GL89" i="2" s="1"/>
  <c r="GL90" i="2" s="1"/>
  <c r="GL91" i="2" s="1"/>
  <c r="GL92" i="2" s="1"/>
  <c r="GL93" i="2" s="1"/>
  <c r="GL94" i="2" s="1"/>
  <c r="GL95" i="2" s="1"/>
  <c r="GL96" i="2" s="1"/>
  <c r="GL97" i="2" s="1"/>
  <c r="GL98" i="2" s="1"/>
  <c r="GL99" i="2" s="1"/>
  <c r="GL100" i="2" s="1"/>
  <c r="GL101" i="2" s="1"/>
  <c r="GL102" i="2" s="1"/>
  <c r="GL103" i="2" s="1"/>
  <c r="GL104" i="2" s="1"/>
  <c r="GL105" i="2" s="1"/>
  <c r="GL106" i="2" s="1"/>
  <c r="GL107" i="2" s="1"/>
  <c r="GL108" i="2" s="1"/>
  <c r="GL109" i="2" s="1"/>
  <c r="GL110" i="2" s="1"/>
  <c r="GL111" i="2" s="1"/>
  <c r="GL112" i="2" s="1"/>
  <c r="GL113" i="2" s="1"/>
  <c r="GL114" i="2" s="1"/>
  <c r="GL115" i="2" s="1"/>
  <c r="GL116" i="2" s="1"/>
  <c r="GL117" i="2" s="1"/>
  <c r="GL118" i="2" s="1"/>
  <c r="GL119" i="2" s="1"/>
  <c r="GL120" i="2" s="1"/>
  <c r="GL121" i="2" s="1"/>
  <c r="GL122" i="2" s="1"/>
  <c r="GL123" i="2" s="1"/>
  <c r="GL124" i="2" s="1"/>
  <c r="GL125" i="2" s="1"/>
  <c r="GL126" i="2" s="1"/>
  <c r="GL127" i="2" s="1"/>
  <c r="GL128" i="2" s="1"/>
  <c r="GL129" i="2" s="1"/>
  <c r="GL130" i="2" s="1"/>
  <c r="GL131" i="2" s="1"/>
  <c r="GL132" i="2" s="1"/>
  <c r="GL133" i="2" s="1"/>
  <c r="GL134" i="2" s="1"/>
  <c r="GL135" i="2" s="1"/>
  <c r="GL136" i="2" s="1"/>
  <c r="GL137" i="2" s="1"/>
  <c r="GL138" i="2" s="1"/>
  <c r="GL139" i="2" s="1"/>
  <c r="GL140" i="2" s="1"/>
  <c r="GL141" i="2" s="1"/>
  <c r="GL142" i="2" s="1"/>
  <c r="GL143" i="2" s="1"/>
  <c r="GL144" i="2" s="1"/>
  <c r="GL145" i="2" s="1"/>
  <c r="GL146" i="2" s="1"/>
  <c r="GL147" i="2" s="1"/>
  <c r="GL148" i="2" s="1"/>
  <c r="GL149" i="2" s="1"/>
  <c r="GL150" i="2" s="1"/>
  <c r="GL151" i="2" s="1"/>
  <c r="GL152" i="2" s="1"/>
  <c r="GL153" i="2" s="1"/>
  <c r="GL154" i="2" s="1"/>
  <c r="GL155" i="2" s="1"/>
  <c r="GL156" i="2" s="1"/>
  <c r="GL157" i="2" s="1"/>
  <c r="GL158" i="2" s="1"/>
  <c r="GL159" i="2" s="1"/>
  <c r="GL160" i="2" s="1"/>
  <c r="GL161" i="2" s="1"/>
  <c r="GL162" i="2" s="1"/>
  <c r="GL163" i="2" s="1"/>
  <c r="GL164" i="2" s="1"/>
  <c r="GL165" i="2" s="1"/>
  <c r="GL166" i="2" s="1"/>
  <c r="GL167" i="2" s="1"/>
  <c r="GL168" i="2" s="1"/>
  <c r="GL169" i="2" s="1"/>
  <c r="GL170" i="2" s="1"/>
  <c r="GL171" i="2" s="1"/>
  <c r="GL172" i="2" s="1"/>
  <c r="GL173" i="2" s="1"/>
  <c r="GL174" i="2" s="1"/>
  <c r="GL175" i="2" s="1"/>
  <c r="GL176" i="2" s="1"/>
  <c r="GL177" i="2" s="1"/>
  <c r="GL178" i="2" s="1"/>
  <c r="GL179" i="2" s="1"/>
  <c r="GL180" i="2" s="1"/>
  <c r="GL181" i="2" s="1"/>
  <c r="GL182" i="2" s="1"/>
  <c r="GL183" i="2" s="1"/>
  <c r="GL184" i="2" s="1"/>
  <c r="GL185" i="2" s="1"/>
  <c r="GL186" i="2" s="1"/>
  <c r="GL187" i="2" s="1"/>
  <c r="GL188" i="2" s="1"/>
  <c r="GL189" i="2" s="1"/>
  <c r="GL190" i="2" s="1"/>
  <c r="GL191" i="2" s="1"/>
  <c r="GL192" i="2" s="1"/>
  <c r="GL193" i="2" s="1"/>
  <c r="GL194" i="2" s="1"/>
  <c r="GL195" i="2" s="1"/>
  <c r="GL196" i="2" s="1"/>
  <c r="GL197" i="2" s="1"/>
  <c r="GL198" i="2" s="1"/>
  <c r="GL199" i="2" s="1"/>
  <c r="GL200" i="2" s="1"/>
  <c r="GL201" i="2" s="1"/>
  <c r="GL202" i="2" s="1"/>
  <c r="GL203" i="2" s="1"/>
  <c r="GM5" i="2"/>
  <c r="GM6" i="2" s="1"/>
  <c r="GM7" i="2" s="1"/>
  <c r="GM8" i="2" s="1"/>
  <c r="GM9" i="2" s="1"/>
  <c r="GM10" i="2" s="1"/>
  <c r="GM11" i="2" s="1"/>
  <c r="GM12" i="2" s="1"/>
  <c r="GM13" i="2" s="1"/>
  <c r="GM14" i="2" s="1"/>
  <c r="GM15" i="2" s="1"/>
  <c r="GM16" i="2" s="1"/>
  <c r="GM17" i="2" s="1"/>
  <c r="GM18" i="2" s="1"/>
  <c r="GM19" i="2" s="1"/>
  <c r="GM20" i="2" s="1"/>
  <c r="GM21" i="2" s="1"/>
  <c r="GM22" i="2" s="1"/>
  <c r="GM23" i="2" s="1"/>
  <c r="GM24" i="2" s="1"/>
  <c r="GM25" i="2" s="1"/>
  <c r="GM26" i="2" s="1"/>
  <c r="GM27" i="2" s="1"/>
  <c r="GM28" i="2" s="1"/>
  <c r="GM29" i="2" s="1"/>
  <c r="GM30" i="2" s="1"/>
  <c r="GM31" i="2" s="1"/>
  <c r="GM32" i="2" s="1"/>
  <c r="GM33" i="2" s="1"/>
  <c r="GM34" i="2" s="1"/>
  <c r="GM35" i="2" s="1"/>
  <c r="GM36" i="2" s="1"/>
  <c r="GM37" i="2" s="1"/>
  <c r="GM38" i="2" s="1"/>
  <c r="GM39" i="2" s="1"/>
  <c r="GM40" i="2" s="1"/>
  <c r="GM41" i="2" s="1"/>
  <c r="GM42" i="2" s="1"/>
  <c r="GM43" i="2" s="1"/>
  <c r="GM44" i="2" s="1"/>
  <c r="GM45" i="2" s="1"/>
  <c r="GM46" i="2" s="1"/>
  <c r="GM47" i="2" s="1"/>
  <c r="GM48" i="2" s="1"/>
  <c r="GM49" i="2" s="1"/>
  <c r="GM50" i="2" s="1"/>
  <c r="GM51" i="2" s="1"/>
  <c r="GM52" i="2" s="1"/>
  <c r="GM53" i="2" s="1"/>
  <c r="GM54" i="2" s="1"/>
  <c r="GM55" i="2" s="1"/>
  <c r="GM56" i="2" s="1"/>
  <c r="GM57" i="2" s="1"/>
  <c r="GM58" i="2" s="1"/>
  <c r="GM59" i="2" s="1"/>
  <c r="GM60" i="2" s="1"/>
  <c r="GM61" i="2" s="1"/>
  <c r="GM62" i="2" s="1"/>
  <c r="GM63" i="2" s="1"/>
  <c r="GM64" i="2" s="1"/>
  <c r="GM65" i="2" s="1"/>
  <c r="GM66" i="2" s="1"/>
  <c r="GM67" i="2" s="1"/>
  <c r="GM68" i="2" s="1"/>
  <c r="GM69" i="2" s="1"/>
  <c r="GM70" i="2" s="1"/>
  <c r="GM71" i="2" s="1"/>
  <c r="GM72" i="2" s="1"/>
  <c r="GM73" i="2" s="1"/>
  <c r="GM74" i="2" s="1"/>
  <c r="GM75" i="2" s="1"/>
  <c r="GM76" i="2" s="1"/>
  <c r="GM77" i="2" s="1"/>
  <c r="GM78" i="2" s="1"/>
  <c r="GM79" i="2" s="1"/>
  <c r="GM80" i="2" s="1"/>
  <c r="GM81" i="2" s="1"/>
  <c r="GM82" i="2" s="1"/>
  <c r="GM83" i="2" s="1"/>
  <c r="GM84" i="2" s="1"/>
  <c r="GM85" i="2" s="1"/>
  <c r="GM86" i="2" s="1"/>
  <c r="GM87" i="2" s="1"/>
  <c r="GM88" i="2" s="1"/>
  <c r="GM89" i="2" s="1"/>
  <c r="GM90" i="2" s="1"/>
  <c r="GM91" i="2" s="1"/>
  <c r="GM92" i="2" s="1"/>
  <c r="GM93" i="2" s="1"/>
  <c r="GM94" i="2" s="1"/>
  <c r="GM95" i="2" s="1"/>
  <c r="GM96" i="2" s="1"/>
  <c r="GM97" i="2" s="1"/>
  <c r="GM98" i="2" s="1"/>
  <c r="GM99" i="2" s="1"/>
  <c r="GM100" i="2" s="1"/>
  <c r="GM101" i="2" s="1"/>
  <c r="GM102" i="2" s="1"/>
  <c r="GM103" i="2" s="1"/>
  <c r="GM104" i="2" s="1"/>
  <c r="GM105" i="2" s="1"/>
  <c r="GM106" i="2" s="1"/>
  <c r="GM107" i="2" s="1"/>
  <c r="GM108" i="2" s="1"/>
  <c r="GM109" i="2" s="1"/>
  <c r="GM110" i="2" s="1"/>
  <c r="GM111" i="2" s="1"/>
  <c r="GM112" i="2" s="1"/>
  <c r="GM113" i="2" s="1"/>
  <c r="GM114" i="2" s="1"/>
  <c r="GM115" i="2" s="1"/>
  <c r="GM116" i="2" s="1"/>
  <c r="GM117" i="2" s="1"/>
  <c r="GM118" i="2" s="1"/>
  <c r="GM119" i="2" s="1"/>
  <c r="GM120" i="2" s="1"/>
  <c r="GM121" i="2" s="1"/>
  <c r="GM122" i="2" s="1"/>
  <c r="GM123" i="2" s="1"/>
  <c r="GM124" i="2" s="1"/>
  <c r="GM125" i="2" s="1"/>
  <c r="GM126" i="2" s="1"/>
  <c r="GM127" i="2" s="1"/>
  <c r="GM128" i="2" s="1"/>
  <c r="GM129" i="2" s="1"/>
  <c r="GM130" i="2" s="1"/>
  <c r="GM131" i="2" s="1"/>
  <c r="GM132" i="2" s="1"/>
  <c r="GM133" i="2" s="1"/>
  <c r="GM134" i="2" s="1"/>
  <c r="GM135" i="2" s="1"/>
  <c r="GM136" i="2" s="1"/>
  <c r="GM137" i="2" s="1"/>
  <c r="GM138" i="2" s="1"/>
  <c r="GM139" i="2" s="1"/>
  <c r="GM140" i="2" s="1"/>
  <c r="GM141" i="2" s="1"/>
  <c r="GM142" i="2" s="1"/>
  <c r="GM143" i="2" s="1"/>
  <c r="GM144" i="2" s="1"/>
  <c r="GM145" i="2" s="1"/>
  <c r="GM146" i="2" s="1"/>
  <c r="GM147" i="2" s="1"/>
  <c r="GM148" i="2" s="1"/>
  <c r="GM149" i="2" s="1"/>
  <c r="GM150" i="2" s="1"/>
  <c r="GM151" i="2" s="1"/>
  <c r="GM152" i="2" s="1"/>
  <c r="GM153" i="2" s="1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GN5" i="2"/>
  <c r="GN6" i="2"/>
  <c r="GN7" i="2" s="1"/>
  <c r="GN8" i="2" s="1"/>
  <c r="GN9" i="2" s="1"/>
  <c r="GN10" i="2" s="1"/>
  <c r="GN11" i="2" s="1"/>
  <c r="GN12" i="2" s="1"/>
  <c r="GN13" i="2" s="1"/>
  <c r="GN14" i="2" s="1"/>
  <c r="GN15" i="2" s="1"/>
  <c r="GN16" i="2" s="1"/>
  <c r="GN17" i="2" s="1"/>
  <c r="GN18" i="2" s="1"/>
  <c r="GN19" i="2" s="1"/>
  <c r="GN20" i="2" s="1"/>
  <c r="GN21" i="2" s="1"/>
  <c r="GN22" i="2" s="1"/>
  <c r="GN23" i="2" s="1"/>
  <c r="GN24" i="2" s="1"/>
  <c r="GN25" i="2" s="1"/>
  <c r="GN26" i="2" s="1"/>
  <c r="GN27" i="2" s="1"/>
  <c r="GN28" i="2" s="1"/>
  <c r="GN29" i="2" s="1"/>
  <c r="GN30" i="2" s="1"/>
  <c r="GN31" i="2" s="1"/>
  <c r="GN32" i="2" s="1"/>
  <c r="GN33" i="2" s="1"/>
  <c r="GN34" i="2" s="1"/>
  <c r="GN35" i="2" s="1"/>
  <c r="GN36" i="2" s="1"/>
  <c r="GN37" i="2" s="1"/>
  <c r="GN38" i="2" s="1"/>
  <c r="GN39" i="2" s="1"/>
  <c r="GN40" i="2" s="1"/>
  <c r="GN41" i="2" s="1"/>
  <c r="GN42" i="2" s="1"/>
  <c r="GN43" i="2" s="1"/>
  <c r="GN44" i="2" s="1"/>
  <c r="GN45" i="2" s="1"/>
  <c r="GN46" i="2" s="1"/>
  <c r="GN47" i="2" s="1"/>
  <c r="GN48" i="2" s="1"/>
  <c r="GN49" i="2" s="1"/>
  <c r="GN50" i="2" s="1"/>
  <c r="GN51" i="2" s="1"/>
  <c r="GN52" i="2" s="1"/>
  <c r="GN53" i="2" s="1"/>
  <c r="GN54" i="2" s="1"/>
  <c r="GN55" i="2" s="1"/>
  <c r="GN56" i="2" s="1"/>
  <c r="GN57" i="2" s="1"/>
  <c r="GN58" i="2" s="1"/>
  <c r="GN59" i="2" s="1"/>
  <c r="GN60" i="2" s="1"/>
  <c r="GN61" i="2" s="1"/>
  <c r="GN62" i="2" s="1"/>
  <c r="GN63" i="2" s="1"/>
  <c r="GN64" i="2" s="1"/>
  <c r="GN65" i="2" s="1"/>
  <c r="GN66" i="2" s="1"/>
  <c r="GN67" i="2" s="1"/>
  <c r="GN68" i="2" s="1"/>
  <c r="GN69" i="2" s="1"/>
  <c r="GN70" i="2" s="1"/>
  <c r="GN71" i="2" s="1"/>
  <c r="GN72" i="2" s="1"/>
  <c r="GN73" i="2" s="1"/>
  <c r="GN74" i="2" s="1"/>
  <c r="GN75" i="2" s="1"/>
  <c r="GN76" i="2" s="1"/>
  <c r="GN77" i="2" s="1"/>
  <c r="GN78" i="2" s="1"/>
  <c r="GN79" i="2" s="1"/>
  <c r="GN80" i="2" s="1"/>
  <c r="GN81" i="2" s="1"/>
  <c r="GN82" i="2" s="1"/>
  <c r="GN83" i="2" s="1"/>
  <c r="GN84" i="2" s="1"/>
  <c r="GN85" i="2" s="1"/>
  <c r="GN86" i="2" s="1"/>
  <c r="GN87" i="2" s="1"/>
  <c r="GN88" i="2" s="1"/>
  <c r="GN89" i="2" s="1"/>
  <c r="GN90" i="2" s="1"/>
  <c r="GN91" i="2" s="1"/>
  <c r="GN92" i="2" s="1"/>
  <c r="GN93" i="2" s="1"/>
  <c r="GN94" i="2" s="1"/>
  <c r="GN95" i="2" s="1"/>
  <c r="GN96" i="2" s="1"/>
  <c r="GN97" i="2" s="1"/>
  <c r="GN98" i="2" s="1"/>
  <c r="GN99" i="2" s="1"/>
  <c r="GN100" i="2" s="1"/>
  <c r="GN101" i="2" s="1"/>
  <c r="GN102" i="2" s="1"/>
  <c r="GN103" i="2" s="1"/>
  <c r="GN104" i="2" s="1"/>
  <c r="GN105" i="2" s="1"/>
  <c r="GN106" i="2" s="1"/>
  <c r="GN107" i="2" s="1"/>
  <c r="GN108" i="2" s="1"/>
  <c r="GN109" i="2" s="1"/>
  <c r="GN110" i="2" s="1"/>
  <c r="GN111" i="2" s="1"/>
  <c r="GN112" i="2" s="1"/>
  <c r="GN113" i="2" s="1"/>
  <c r="GN114" i="2" s="1"/>
  <c r="GN115" i="2" s="1"/>
  <c r="GN116" i="2" s="1"/>
  <c r="GN117" i="2" s="1"/>
  <c r="GN118" i="2" s="1"/>
  <c r="GN119" i="2" s="1"/>
  <c r="GN120" i="2" s="1"/>
  <c r="GN121" i="2" s="1"/>
  <c r="GN122" i="2" s="1"/>
  <c r="GN123" i="2" s="1"/>
  <c r="GN124" i="2" s="1"/>
  <c r="GN125" i="2" s="1"/>
  <c r="GN126" i="2" s="1"/>
  <c r="GN127" i="2" s="1"/>
  <c r="GN128" i="2" s="1"/>
  <c r="GN129" i="2" s="1"/>
  <c r="GN130" i="2" s="1"/>
  <c r="GN131" i="2" s="1"/>
  <c r="GN132" i="2" s="1"/>
  <c r="GN133" i="2" s="1"/>
  <c r="GN134" i="2" s="1"/>
  <c r="GN135" i="2" s="1"/>
  <c r="GN136" i="2" s="1"/>
  <c r="GN137" i="2" s="1"/>
  <c r="GN138" i="2" s="1"/>
  <c r="GN139" i="2" s="1"/>
  <c r="GN140" i="2" s="1"/>
  <c r="GN141" i="2" s="1"/>
  <c r="GN142" i="2" s="1"/>
  <c r="GN143" i="2" s="1"/>
  <c r="GN144" i="2" s="1"/>
  <c r="GN145" i="2" s="1"/>
  <c r="GN146" i="2" s="1"/>
  <c r="GN147" i="2" s="1"/>
  <c r="GN148" i="2" s="1"/>
  <c r="GN149" i="2" s="1"/>
  <c r="GN150" i="2" s="1"/>
  <c r="GN151" i="2" s="1"/>
  <c r="GN152" i="2" s="1"/>
  <c r="GN153" i="2" s="1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N4" i="2"/>
  <c r="GM4" i="2"/>
  <c r="GL4" i="2"/>
  <c r="FQ5" i="2"/>
  <c r="FQ6" i="2" s="1"/>
  <c r="FQ7" i="2" s="1"/>
  <c r="FQ8" i="2" s="1"/>
  <c r="FQ9" i="2" s="1"/>
  <c r="FQ10" i="2" s="1"/>
  <c r="FQ11" i="2" s="1"/>
  <c r="FQ12" i="2" s="1"/>
  <c r="FQ13" i="2" s="1"/>
  <c r="FQ14" i="2" s="1"/>
  <c r="FQ15" i="2" s="1"/>
  <c r="FQ16" i="2" s="1"/>
  <c r="FQ17" i="2" s="1"/>
  <c r="FQ18" i="2" s="1"/>
  <c r="FQ19" i="2" s="1"/>
  <c r="FQ20" i="2" s="1"/>
  <c r="FQ21" i="2" s="1"/>
  <c r="FQ22" i="2" s="1"/>
  <c r="FQ23" i="2" s="1"/>
  <c r="FQ24" i="2" s="1"/>
  <c r="FQ25" i="2" s="1"/>
  <c r="FQ26" i="2" s="1"/>
  <c r="FQ27" i="2" s="1"/>
  <c r="FQ28" i="2" s="1"/>
  <c r="FQ29" i="2" s="1"/>
  <c r="FQ30" i="2" s="1"/>
  <c r="FQ31" i="2" s="1"/>
  <c r="FQ32" i="2" s="1"/>
  <c r="FQ33" i="2" s="1"/>
  <c r="FQ34" i="2" s="1"/>
  <c r="FQ35" i="2" s="1"/>
  <c r="FQ36" i="2" s="1"/>
  <c r="FQ37" i="2" s="1"/>
  <c r="FQ38" i="2" s="1"/>
  <c r="FQ39" i="2" s="1"/>
  <c r="FQ40" i="2" s="1"/>
  <c r="FQ41" i="2" s="1"/>
  <c r="FQ42" i="2" s="1"/>
  <c r="FQ43" i="2" s="1"/>
  <c r="FQ44" i="2" s="1"/>
  <c r="FQ45" i="2" s="1"/>
  <c r="FQ46" i="2" s="1"/>
  <c r="FQ47" i="2" s="1"/>
  <c r="FQ48" i="2" s="1"/>
  <c r="FQ49" i="2" s="1"/>
  <c r="FQ50" i="2" s="1"/>
  <c r="FQ51" i="2" s="1"/>
  <c r="FQ52" i="2" s="1"/>
  <c r="FQ53" i="2" s="1"/>
  <c r="FQ54" i="2" s="1"/>
  <c r="FQ55" i="2" s="1"/>
  <c r="FQ56" i="2" s="1"/>
  <c r="FQ57" i="2" s="1"/>
  <c r="FQ58" i="2" s="1"/>
  <c r="FQ59" i="2" s="1"/>
  <c r="FQ60" i="2" s="1"/>
  <c r="FQ61" i="2" s="1"/>
  <c r="FQ62" i="2" s="1"/>
  <c r="FQ63" i="2" s="1"/>
  <c r="FQ64" i="2" s="1"/>
  <c r="FQ65" i="2" s="1"/>
  <c r="FQ66" i="2" s="1"/>
  <c r="FQ67" i="2" s="1"/>
  <c r="FQ68" i="2" s="1"/>
  <c r="FQ69" i="2" s="1"/>
  <c r="FQ70" i="2" s="1"/>
  <c r="FQ71" i="2" s="1"/>
  <c r="FQ72" i="2" s="1"/>
  <c r="FQ73" i="2" s="1"/>
  <c r="FQ74" i="2" s="1"/>
  <c r="FQ75" i="2" s="1"/>
  <c r="FQ76" i="2" s="1"/>
  <c r="FQ77" i="2" s="1"/>
  <c r="FQ78" i="2" s="1"/>
  <c r="FQ79" i="2" s="1"/>
  <c r="FQ80" i="2" s="1"/>
  <c r="FQ81" i="2" s="1"/>
  <c r="FQ82" i="2" s="1"/>
  <c r="FQ83" i="2" s="1"/>
  <c r="FQ84" i="2" s="1"/>
  <c r="FQ85" i="2" s="1"/>
  <c r="FQ86" i="2" s="1"/>
  <c r="FQ87" i="2" s="1"/>
  <c r="FQ88" i="2" s="1"/>
  <c r="FQ89" i="2" s="1"/>
  <c r="FQ90" i="2" s="1"/>
  <c r="FQ91" i="2" s="1"/>
  <c r="FQ92" i="2" s="1"/>
  <c r="FQ93" i="2" s="1"/>
  <c r="FQ94" i="2" s="1"/>
  <c r="FQ95" i="2" s="1"/>
  <c r="FQ96" i="2" s="1"/>
  <c r="FQ97" i="2" s="1"/>
  <c r="FQ98" i="2" s="1"/>
  <c r="FQ99" i="2" s="1"/>
  <c r="FQ100" i="2" s="1"/>
  <c r="FQ101" i="2" s="1"/>
  <c r="FQ102" i="2" s="1"/>
  <c r="FQ103" i="2" s="1"/>
  <c r="FQ104" i="2" s="1"/>
  <c r="FQ105" i="2" s="1"/>
  <c r="FQ106" i="2" s="1"/>
  <c r="FQ107" i="2" s="1"/>
  <c r="FQ108" i="2" s="1"/>
  <c r="FQ109" i="2" s="1"/>
  <c r="FQ110" i="2" s="1"/>
  <c r="FQ111" i="2" s="1"/>
  <c r="FQ112" i="2" s="1"/>
  <c r="FQ113" i="2" s="1"/>
  <c r="FQ114" i="2" s="1"/>
  <c r="FQ115" i="2" s="1"/>
  <c r="FQ116" i="2" s="1"/>
  <c r="FQ117" i="2" s="1"/>
  <c r="FQ118" i="2" s="1"/>
  <c r="FQ119" i="2" s="1"/>
  <c r="FQ120" i="2" s="1"/>
  <c r="FQ121" i="2" s="1"/>
  <c r="FQ122" i="2" s="1"/>
  <c r="FQ123" i="2" s="1"/>
  <c r="FQ124" i="2" s="1"/>
  <c r="FQ125" i="2" s="1"/>
  <c r="FQ126" i="2" s="1"/>
  <c r="FQ127" i="2" s="1"/>
  <c r="FQ128" i="2" s="1"/>
  <c r="FQ129" i="2" s="1"/>
  <c r="FQ130" i="2" s="1"/>
  <c r="FQ131" i="2" s="1"/>
  <c r="FQ132" i="2" s="1"/>
  <c r="FQ133" i="2" s="1"/>
  <c r="FQ134" i="2" s="1"/>
  <c r="FQ135" i="2" s="1"/>
  <c r="FQ136" i="2" s="1"/>
  <c r="FQ137" i="2" s="1"/>
  <c r="FQ138" i="2" s="1"/>
  <c r="FQ139" i="2" s="1"/>
  <c r="FQ140" i="2" s="1"/>
  <c r="FQ141" i="2" s="1"/>
  <c r="FQ142" i="2" s="1"/>
  <c r="FQ143" i="2" s="1"/>
  <c r="FQ144" i="2" s="1"/>
  <c r="FQ145" i="2" s="1"/>
  <c r="FQ146" i="2" s="1"/>
  <c r="FQ147" i="2" s="1"/>
  <c r="FQ148" i="2" s="1"/>
  <c r="FQ149" i="2" s="1"/>
  <c r="FQ150" i="2" s="1"/>
  <c r="FQ151" i="2" s="1"/>
  <c r="FQ152" i="2" s="1"/>
  <c r="FQ153" i="2" s="1"/>
  <c r="FQ154" i="2" s="1"/>
  <c r="FQ155" i="2" s="1"/>
  <c r="FQ156" i="2" s="1"/>
  <c r="FQ157" i="2" s="1"/>
  <c r="FQ158" i="2" s="1"/>
  <c r="FQ159" i="2" s="1"/>
  <c r="FQ160" i="2" s="1"/>
  <c r="FQ161" i="2" s="1"/>
  <c r="FQ162" i="2" s="1"/>
  <c r="FQ163" i="2" s="1"/>
  <c r="FQ164" i="2" s="1"/>
  <c r="FQ165" i="2" s="1"/>
  <c r="FQ166" i="2" s="1"/>
  <c r="FQ167" i="2" s="1"/>
  <c r="FQ168" i="2" s="1"/>
  <c r="FQ169" i="2" s="1"/>
  <c r="FQ170" i="2" s="1"/>
  <c r="FQ171" i="2" s="1"/>
  <c r="FQ172" i="2" s="1"/>
  <c r="FQ173" i="2" s="1"/>
  <c r="FQ174" i="2" s="1"/>
  <c r="FQ175" i="2" s="1"/>
  <c r="FQ176" i="2" s="1"/>
  <c r="FQ177" i="2" s="1"/>
  <c r="FQ178" i="2" s="1"/>
  <c r="FQ179" i="2" s="1"/>
  <c r="FQ180" i="2" s="1"/>
  <c r="FQ181" i="2" s="1"/>
  <c r="FQ182" i="2" s="1"/>
  <c r="FQ183" i="2" s="1"/>
  <c r="FQ184" i="2" s="1"/>
  <c r="FQ185" i="2" s="1"/>
  <c r="FQ186" i="2" s="1"/>
  <c r="FQ187" i="2" s="1"/>
  <c r="FQ188" i="2" s="1"/>
  <c r="FQ189" i="2" s="1"/>
  <c r="FQ190" i="2" s="1"/>
  <c r="FQ191" i="2" s="1"/>
  <c r="FQ192" i="2" s="1"/>
  <c r="FQ193" i="2" s="1"/>
  <c r="FQ194" i="2" s="1"/>
  <c r="FQ195" i="2" s="1"/>
  <c r="FQ196" i="2" s="1"/>
  <c r="FQ197" i="2" s="1"/>
  <c r="FQ198" i="2" s="1"/>
  <c r="FQ199" i="2" s="1"/>
  <c r="FQ200" i="2" s="1"/>
  <c r="FQ201" i="2" s="1"/>
  <c r="FQ202" i="2" s="1"/>
  <c r="FQ203" i="2" s="1"/>
  <c r="FR5" i="2"/>
  <c r="FR6" i="2" s="1"/>
  <c r="FR7" i="2" s="1"/>
  <c r="FR8" i="2" s="1"/>
  <c r="FR9" i="2" s="1"/>
  <c r="FR10" i="2" s="1"/>
  <c r="FR11" i="2" s="1"/>
  <c r="FR12" i="2" s="1"/>
  <c r="FR13" i="2" s="1"/>
  <c r="FR14" i="2" s="1"/>
  <c r="FR15" i="2" s="1"/>
  <c r="FR16" i="2" s="1"/>
  <c r="FR17" i="2" s="1"/>
  <c r="FR18" i="2" s="1"/>
  <c r="FR19" i="2" s="1"/>
  <c r="FR20" i="2" s="1"/>
  <c r="FR21" i="2" s="1"/>
  <c r="FR22" i="2" s="1"/>
  <c r="FR23" i="2" s="1"/>
  <c r="FR24" i="2" s="1"/>
  <c r="FR25" i="2" s="1"/>
  <c r="FR26" i="2" s="1"/>
  <c r="FR27" i="2" s="1"/>
  <c r="FR28" i="2" s="1"/>
  <c r="FR29" i="2" s="1"/>
  <c r="FR30" i="2" s="1"/>
  <c r="FR31" i="2" s="1"/>
  <c r="FR32" i="2" s="1"/>
  <c r="FR33" i="2" s="1"/>
  <c r="FR34" i="2" s="1"/>
  <c r="FR35" i="2" s="1"/>
  <c r="FR36" i="2" s="1"/>
  <c r="FR37" i="2" s="1"/>
  <c r="FR38" i="2" s="1"/>
  <c r="FR39" i="2" s="1"/>
  <c r="FR40" i="2" s="1"/>
  <c r="FR41" i="2" s="1"/>
  <c r="FR42" i="2" s="1"/>
  <c r="FR43" i="2" s="1"/>
  <c r="FR44" i="2" s="1"/>
  <c r="FR45" i="2" s="1"/>
  <c r="FR46" i="2" s="1"/>
  <c r="FR47" i="2" s="1"/>
  <c r="FR48" i="2" s="1"/>
  <c r="FR49" i="2" s="1"/>
  <c r="FR50" i="2" s="1"/>
  <c r="FR51" i="2" s="1"/>
  <c r="FR52" i="2" s="1"/>
  <c r="FR53" i="2" s="1"/>
  <c r="FR54" i="2" s="1"/>
  <c r="FR55" i="2" s="1"/>
  <c r="FR56" i="2" s="1"/>
  <c r="FR57" i="2" s="1"/>
  <c r="FR58" i="2" s="1"/>
  <c r="FR59" i="2" s="1"/>
  <c r="FR60" i="2" s="1"/>
  <c r="FR61" i="2" s="1"/>
  <c r="FR62" i="2" s="1"/>
  <c r="FR63" i="2" s="1"/>
  <c r="FR64" i="2" s="1"/>
  <c r="FR65" i="2" s="1"/>
  <c r="FR66" i="2" s="1"/>
  <c r="FR67" i="2" s="1"/>
  <c r="FR68" i="2" s="1"/>
  <c r="FR69" i="2" s="1"/>
  <c r="FR70" i="2" s="1"/>
  <c r="FR71" i="2" s="1"/>
  <c r="FR72" i="2" s="1"/>
  <c r="FR73" i="2" s="1"/>
  <c r="FR74" i="2" s="1"/>
  <c r="FR75" i="2" s="1"/>
  <c r="FR76" i="2" s="1"/>
  <c r="FR77" i="2" s="1"/>
  <c r="FR78" i="2" s="1"/>
  <c r="FR79" i="2" s="1"/>
  <c r="FR80" i="2" s="1"/>
  <c r="FR81" i="2" s="1"/>
  <c r="FR82" i="2" s="1"/>
  <c r="FR83" i="2" s="1"/>
  <c r="FR84" i="2" s="1"/>
  <c r="FR85" i="2" s="1"/>
  <c r="FR86" i="2" s="1"/>
  <c r="FR87" i="2" s="1"/>
  <c r="FR88" i="2" s="1"/>
  <c r="FR89" i="2" s="1"/>
  <c r="FR90" i="2" s="1"/>
  <c r="FR91" i="2" s="1"/>
  <c r="FR92" i="2" s="1"/>
  <c r="FR93" i="2" s="1"/>
  <c r="FR94" i="2" s="1"/>
  <c r="FR95" i="2" s="1"/>
  <c r="FR96" i="2" s="1"/>
  <c r="FR97" i="2" s="1"/>
  <c r="FR98" i="2" s="1"/>
  <c r="FR99" i="2" s="1"/>
  <c r="FR100" i="2" s="1"/>
  <c r="FR101" i="2" s="1"/>
  <c r="FR102" i="2" s="1"/>
  <c r="FR103" i="2" s="1"/>
  <c r="FR104" i="2" s="1"/>
  <c r="FR105" i="2" s="1"/>
  <c r="FR106" i="2" s="1"/>
  <c r="FR107" i="2" s="1"/>
  <c r="FR108" i="2" s="1"/>
  <c r="FR109" i="2" s="1"/>
  <c r="FR110" i="2" s="1"/>
  <c r="FR111" i="2" s="1"/>
  <c r="FR112" i="2" s="1"/>
  <c r="FR113" i="2" s="1"/>
  <c r="FR114" i="2" s="1"/>
  <c r="FR115" i="2" s="1"/>
  <c r="FR116" i="2" s="1"/>
  <c r="FR117" i="2" s="1"/>
  <c r="FR118" i="2" s="1"/>
  <c r="FR119" i="2" s="1"/>
  <c r="FR120" i="2" s="1"/>
  <c r="FR121" i="2" s="1"/>
  <c r="FR122" i="2" s="1"/>
  <c r="FR123" i="2" s="1"/>
  <c r="FR124" i="2" s="1"/>
  <c r="FR125" i="2" s="1"/>
  <c r="FR126" i="2" s="1"/>
  <c r="FR127" i="2" s="1"/>
  <c r="FR128" i="2" s="1"/>
  <c r="FR129" i="2" s="1"/>
  <c r="FR130" i="2" s="1"/>
  <c r="FR131" i="2" s="1"/>
  <c r="FR132" i="2" s="1"/>
  <c r="FR133" i="2" s="1"/>
  <c r="FR134" i="2" s="1"/>
  <c r="FR135" i="2" s="1"/>
  <c r="FR136" i="2" s="1"/>
  <c r="FR137" i="2" s="1"/>
  <c r="FR138" i="2" s="1"/>
  <c r="FR139" i="2" s="1"/>
  <c r="FR140" i="2" s="1"/>
  <c r="FR141" i="2" s="1"/>
  <c r="FR142" i="2" s="1"/>
  <c r="FR143" i="2" s="1"/>
  <c r="FR144" i="2" s="1"/>
  <c r="FR145" i="2" s="1"/>
  <c r="FR146" i="2" s="1"/>
  <c r="FR147" i="2" s="1"/>
  <c r="FR148" i="2" s="1"/>
  <c r="FR149" i="2" s="1"/>
  <c r="FR150" i="2" s="1"/>
  <c r="FR151" i="2" s="1"/>
  <c r="FR152" i="2" s="1"/>
  <c r="FR153" i="2" s="1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FS5" i="2"/>
  <c r="FS6" i="2"/>
  <c r="FS7" i="2" s="1"/>
  <c r="FS8" i="2" s="1"/>
  <c r="FS9" i="2" s="1"/>
  <c r="FS10" i="2" s="1"/>
  <c r="FS11" i="2" s="1"/>
  <c r="FS12" i="2" s="1"/>
  <c r="FS13" i="2" s="1"/>
  <c r="FS14" i="2" s="1"/>
  <c r="FS15" i="2" s="1"/>
  <c r="FS16" i="2" s="1"/>
  <c r="FS17" i="2" s="1"/>
  <c r="FS18" i="2" s="1"/>
  <c r="FS19" i="2" s="1"/>
  <c r="FS20" i="2" s="1"/>
  <c r="FS21" i="2" s="1"/>
  <c r="FS22" i="2" s="1"/>
  <c r="FS23" i="2" s="1"/>
  <c r="FS24" i="2" s="1"/>
  <c r="FS25" i="2" s="1"/>
  <c r="FS26" i="2" s="1"/>
  <c r="FS27" i="2" s="1"/>
  <c r="FS28" i="2" s="1"/>
  <c r="FS29" i="2" s="1"/>
  <c r="FS30" i="2" s="1"/>
  <c r="FS31" i="2" s="1"/>
  <c r="FS32" i="2" s="1"/>
  <c r="FS33" i="2" s="1"/>
  <c r="FS34" i="2" s="1"/>
  <c r="FS35" i="2" s="1"/>
  <c r="FS36" i="2" s="1"/>
  <c r="FS37" i="2" s="1"/>
  <c r="FS38" i="2" s="1"/>
  <c r="FS39" i="2" s="1"/>
  <c r="FS40" i="2" s="1"/>
  <c r="FS41" i="2" s="1"/>
  <c r="FS42" i="2" s="1"/>
  <c r="FS43" i="2" s="1"/>
  <c r="FS44" i="2" s="1"/>
  <c r="FS45" i="2" s="1"/>
  <c r="FS46" i="2" s="1"/>
  <c r="FS47" i="2" s="1"/>
  <c r="FS48" i="2" s="1"/>
  <c r="FS49" i="2" s="1"/>
  <c r="FS50" i="2" s="1"/>
  <c r="FS51" i="2" s="1"/>
  <c r="FS52" i="2" s="1"/>
  <c r="FS53" i="2" s="1"/>
  <c r="FS54" i="2" s="1"/>
  <c r="FS55" i="2" s="1"/>
  <c r="FS56" i="2" s="1"/>
  <c r="FS57" i="2" s="1"/>
  <c r="FS58" i="2" s="1"/>
  <c r="FS59" i="2" s="1"/>
  <c r="FS60" i="2" s="1"/>
  <c r="FS61" i="2" s="1"/>
  <c r="FS62" i="2" s="1"/>
  <c r="FS63" i="2" s="1"/>
  <c r="FS64" i="2" s="1"/>
  <c r="FS65" i="2" s="1"/>
  <c r="FS66" i="2" s="1"/>
  <c r="FS67" i="2" s="1"/>
  <c r="FS68" i="2" s="1"/>
  <c r="FS69" i="2" s="1"/>
  <c r="FS70" i="2" s="1"/>
  <c r="FS71" i="2" s="1"/>
  <c r="FS72" i="2" s="1"/>
  <c r="FS73" i="2" s="1"/>
  <c r="FS74" i="2" s="1"/>
  <c r="FS75" i="2" s="1"/>
  <c r="FS76" i="2" s="1"/>
  <c r="FS77" i="2" s="1"/>
  <c r="FS78" i="2" s="1"/>
  <c r="FS79" i="2" s="1"/>
  <c r="FS80" i="2" s="1"/>
  <c r="FS81" i="2" s="1"/>
  <c r="FS82" i="2" s="1"/>
  <c r="FS83" i="2" s="1"/>
  <c r="FS84" i="2" s="1"/>
  <c r="FS85" i="2" s="1"/>
  <c r="FS86" i="2" s="1"/>
  <c r="FS87" i="2" s="1"/>
  <c r="FS88" i="2" s="1"/>
  <c r="FS89" i="2" s="1"/>
  <c r="FS90" i="2" s="1"/>
  <c r="FS91" i="2" s="1"/>
  <c r="FS92" i="2" s="1"/>
  <c r="FS93" i="2" s="1"/>
  <c r="FS94" i="2" s="1"/>
  <c r="FS95" i="2" s="1"/>
  <c r="FS96" i="2" s="1"/>
  <c r="FS97" i="2" s="1"/>
  <c r="FS98" i="2" s="1"/>
  <c r="FS99" i="2" s="1"/>
  <c r="FS100" i="2" s="1"/>
  <c r="FS101" i="2" s="1"/>
  <c r="FS102" i="2" s="1"/>
  <c r="FS103" i="2" s="1"/>
  <c r="FS104" i="2" s="1"/>
  <c r="FS105" i="2" s="1"/>
  <c r="FS106" i="2" s="1"/>
  <c r="FS107" i="2" s="1"/>
  <c r="FS108" i="2" s="1"/>
  <c r="FS109" i="2" s="1"/>
  <c r="FS110" i="2" s="1"/>
  <c r="FS111" i="2" s="1"/>
  <c r="FS112" i="2" s="1"/>
  <c r="FS113" i="2" s="1"/>
  <c r="FS114" i="2" s="1"/>
  <c r="FS115" i="2" s="1"/>
  <c r="FS116" i="2" s="1"/>
  <c r="FS117" i="2" s="1"/>
  <c r="FS118" i="2" s="1"/>
  <c r="FS119" i="2" s="1"/>
  <c r="FS120" i="2" s="1"/>
  <c r="FS121" i="2" s="1"/>
  <c r="FS122" i="2" s="1"/>
  <c r="FS123" i="2" s="1"/>
  <c r="FS124" i="2" s="1"/>
  <c r="FS125" i="2" s="1"/>
  <c r="FS126" i="2" s="1"/>
  <c r="FS127" i="2" s="1"/>
  <c r="FS128" i="2" s="1"/>
  <c r="FS129" i="2" s="1"/>
  <c r="FS130" i="2" s="1"/>
  <c r="FS131" i="2" s="1"/>
  <c r="FS132" i="2" s="1"/>
  <c r="FS133" i="2" s="1"/>
  <c r="FS134" i="2" s="1"/>
  <c r="FS135" i="2" s="1"/>
  <c r="FS136" i="2" s="1"/>
  <c r="FS137" i="2" s="1"/>
  <c r="FS138" i="2" s="1"/>
  <c r="FS139" i="2" s="1"/>
  <c r="FS140" i="2" s="1"/>
  <c r="FS141" i="2" s="1"/>
  <c r="FS142" i="2" s="1"/>
  <c r="FS143" i="2" s="1"/>
  <c r="FS144" i="2" s="1"/>
  <c r="FS145" i="2" s="1"/>
  <c r="FS146" i="2" s="1"/>
  <c r="FS147" i="2" s="1"/>
  <c r="FS148" i="2" s="1"/>
  <c r="FS149" i="2" s="1"/>
  <c r="FS150" i="2" s="1"/>
  <c r="FS151" i="2" s="1"/>
  <c r="FS152" i="2" s="1"/>
  <c r="FS153" i="2" s="1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FS4" i="2"/>
  <c r="FR4" i="2"/>
  <c r="FQ4" i="2"/>
  <c r="EV5" i="2"/>
  <c r="EV6" i="2" s="1"/>
  <c r="EV7" i="2" s="1"/>
  <c r="EV8" i="2" s="1"/>
  <c r="EV9" i="2" s="1"/>
  <c r="EV10" i="2" s="1"/>
  <c r="EV11" i="2" s="1"/>
  <c r="EV12" i="2" s="1"/>
  <c r="EV13" i="2" s="1"/>
  <c r="EV14" i="2" s="1"/>
  <c r="EV15" i="2" s="1"/>
  <c r="EV16" i="2" s="1"/>
  <c r="EV17" i="2" s="1"/>
  <c r="EV18" i="2" s="1"/>
  <c r="EV19" i="2" s="1"/>
  <c r="EV20" i="2" s="1"/>
  <c r="EV21" i="2" s="1"/>
  <c r="EV22" i="2" s="1"/>
  <c r="EV23" i="2" s="1"/>
  <c r="EV24" i="2" s="1"/>
  <c r="EV25" i="2" s="1"/>
  <c r="EV26" i="2" s="1"/>
  <c r="EV27" i="2" s="1"/>
  <c r="EV28" i="2" s="1"/>
  <c r="EV29" i="2" s="1"/>
  <c r="EV30" i="2" s="1"/>
  <c r="EV31" i="2" s="1"/>
  <c r="EV32" i="2" s="1"/>
  <c r="EV33" i="2" s="1"/>
  <c r="EV34" i="2" s="1"/>
  <c r="EV35" i="2" s="1"/>
  <c r="EV36" i="2" s="1"/>
  <c r="EV37" i="2" s="1"/>
  <c r="EV38" i="2" s="1"/>
  <c r="EV39" i="2" s="1"/>
  <c r="EV40" i="2" s="1"/>
  <c r="EV41" i="2" s="1"/>
  <c r="EV42" i="2" s="1"/>
  <c r="EV43" i="2" s="1"/>
  <c r="EV44" i="2" s="1"/>
  <c r="EV45" i="2" s="1"/>
  <c r="EV46" i="2" s="1"/>
  <c r="EV47" i="2" s="1"/>
  <c r="EV48" i="2" s="1"/>
  <c r="EV49" i="2" s="1"/>
  <c r="EV50" i="2" s="1"/>
  <c r="EV51" i="2" s="1"/>
  <c r="EV52" i="2" s="1"/>
  <c r="EV53" i="2" s="1"/>
  <c r="EV54" i="2" s="1"/>
  <c r="EV55" i="2" s="1"/>
  <c r="EV56" i="2" s="1"/>
  <c r="EV57" i="2" s="1"/>
  <c r="EV58" i="2" s="1"/>
  <c r="EV59" i="2" s="1"/>
  <c r="EV60" i="2" s="1"/>
  <c r="EV61" i="2" s="1"/>
  <c r="EV62" i="2" s="1"/>
  <c r="EV63" i="2" s="1"/>
  <c r="EV64" i="2" s="1"/>
  <c r="EV65" i="2" s="1"/>
  <c r="EV66" i="2" s="1"/>
  <c r="EV67" i="2" s="1"/>
  <c r="EV68" i="2" s="1"/>
  <c r="EV69" i="2" s="1"/>
  <c r="EV70" i="2" s="1"/>
  <c r="EV71" i="2" s="1"/>
  <c r="EV72" i="2" s="1"/>
  <c r="EV73" i="2" s="1"/>
  <c r="EV74" i="2" s="1"/>
  <c r="EV75" i="2" s="1"/>
  <c r="EV76" i="2" s="1"/>
  <c r="EV77" i="2" s="1"/>
  <c r="EV78" i="2" s="1"/>
  <c r="EV79" i="2" s="1"/>
  <c r="EV80" i="2" s="1"/>
  <c r="EV81" i="2" s="1"/>
  <c r="EV82" i="2" s="1"/>
  <c r="EV83" i="2" s="1"/>
  <c r="EV84" i="2" s="1"/>
  <c r="EV85" i="2" s="1"/>
  <c r="EV86" i="2" s="1"/>
  <c r="EV87" i="2" s="1"/>
  <c r="EV88" i="2" s="1"/>
  <c r="EV89" i="2" s="1"/>
  <c r="EV90" i="2" s="1"/>
  <c r="EV91" i="2" s="1"/>
  <c r="EV92" i="2" s="1"/>
  <c r="EV93" i="2" s="1"/>
  <c r="EV94" i="2" s="1"/>
  <c r="EV95" i="2" s="1"/>
  <c r="EV96" i="2" s="1"/>
  <c r="EV97" i="2" s="1"/>
  <c r="EV98" i="2" s="1"/>
  <c r="EV99" i="2" s="1"/>
  <c r="EV100" i="2" s="1"/>
  <c r="EV101" i="2" s="1"/>
  <c r="EV102" i="2" s="1"/>
  <c r="EV103" i="2" s="1"/>
  <c r="EV104" i="2" s="1"/>
  <c r="EV105" i="2" s="1"/>
  <c r="EV106" i="2" s="1"/>
  <c r="EV107" i="2" s="1"/>
  <c r="EV108" i="2" s="1"/>
  <c r="EV109" i="2" s="1"/>
  <c r="EV110" i="2" s="1"/>
  <c r="EV111" i="2" s="1"/>
  <c r="EV112" i="2" s="1"/>
  <c r="EV113" i="2" s="1"/>
  <c r="EV114" i="2" s="1"/>
  <c r="EV115" i="2" s="1"/>
  <c r="EV116" i="2" s="1"/>
  <c r="EV117" i="2" s="1"/>
  <c r="EV118" i="2" s="1"/>
  <c r="EV119" i="2" s="1"/>
  <c r="EV120" i="2" s="1"/>
  <c r="EV121" i="2" s="1"/>
  <c r="EV122" i="2" s="1"/>
  <c r="EV123" i="2" s="1"/>
  <c r="EV124" i="2" s="1"/>
  <c r="EV125" i="2" s="1"/>
  <c r="EV126" i="2" s="1"/>
  <c r="EV127" i="2" s="1"/>
  <c r="EV128" i="2" s="1"/>
  <c r="EV129" i="2" s="1"/>
  <c r="EV130" i="2" s="1"/>
  <c r="EV131" i="2" s="1"/>
  <c r="EV132" i="2" s="1"/>
  <c r="EV133" i="2" s="1"/>
  <c r="EV134" i="2" s="1"/>
  <c r="EV135" i="2" s="1"/>
  <c r="EV136" i="2" s="1"/>
  <c r="EV137" i="2" s="1"/>
  <c r="EV138" i="2" s="1"/>
  <c r="EV139" i="2" s="1"/>
  <c r="EV140" i="2" s="1"/>
  <c r="EV141" i="2" s="1"/>
  <c r="EV142" i="2" s="1"/>
  <c r="EV143" i="2" s="1"/>
  <c r="EV144" i="2" s="1"/>
  <c r="EV145" i="2" s="1"/>
  <c r="EV146" i="2" s="1"/>
  <c r="EV147" i="2" s="1"/>
  <c r="EV148" i="2" s="1"/>
  <c r="EV149" i="2" s="1"/>
  <c r="EV150" i="2" s="1"/>
  <c r="EV151" i="2" s="1"/>
  <c r="EV152" i="2" s="1"/>
  <c r="EV153" i="2" s="1"/>
  <c r="EV154" i="2" s="1"/>
  <c r="EV155" i="2" s="1"/>
  <c r="EV156" i="2" s="1"/>
  <c r="EV157" i="2" s="1"/>
  <c r="EV158" i="2" s="1"/>
  <c r="EV159" i="2" s="1"/>
  <c r="EV160" i="2" s="1"/>
  <c r="EV161" i="2" s="1"/>
  <c r="EV162" i="2" s="1"/>
  <c r="EV163" i="2" s="1"/>
  <c r="EV164" i="2" s="1"/>
  <c r="EV165" i="2" s="1"/>
  <c r="EV166" i="2" s="1"/>
  <c r="EV167" i="2" s="1"/>
  <c r="EV168" i="2" s="1"/>
  <c r="EV169" i="2" s="1"/>
  <c r="EV170" i="2" s="1"/>
  <c r="EV171" i="2" s="1"/>
  <c r="EV172" i="2" s="1"/>
  <c r="EV173" i="2" s="1"/>
  <c r="EV174" i="2" s="1"/>
  <c r="EV175" i="2" s="1"/>
  <c r="EV176" i="2" s="1"/>
  <c r="EV177" i="2" s="1"/>
  <c r="EV178" i="2" s="1"/>
  <c r="EV179" i="2" s="1"/>
  <c r="EV180" i="2" s="1"/>
  <c r="EV181" i="2" s="1"/>
  <c r="EV182" i="2" s="1"/>
  <c r="EV183" i="2" s="1"/>
  <c r="EV184" i="2" s="1"/>
  <c r="EV185" i="2" s="1"/>
  <c r="EV186" i="2" s="1"/>
  <c r="EV187" i="2" s="1"/>
  <c r="EV188" i="2" s="1"/>
  <c r="EV189" i="2" s="1"/>
  <c r="EV190" i="2" s="1"/>
  <c r="EV191" i="2" s="1"/>
  <c r="EV192" i="2" s="1"/>
  <c r="EV193" i="2" s="1"/>
  <c r="EV194" i="2" s="1"/>
  <c r="EV195" i="2" s="1"/>
  <c r="EV196" i="2" s="1"/>
  <c r="EV197" i="2" s="1"/>
  <c r="EV198" i="2" s="1"/>
  <c r="EV199" i="2" s="1"/>
  <c r="EV200" i="2" s="1"/>
  <c r="EV201" i="2" s="1"/>
  <c r="EV202" i="2" s="1"/>
  <c r="EV203" i="2" s="1"/>
  <c r="EW5" i="2"/>
  <c r="EW6" i="2" s="1"/>
  <c r="EW7" i="2" s="1"/>
  <c r="EW8" i="2" s="1"/>
  <c r="EW9" i="2" s="1"/>
  <c r="EW10" i="2" s="1"/>
  <c r="EW11" i="2" s="1"/>
  <c r="EX5" i="2"/>
  <c r="EX6" i="2"/>
  <c r="EX7" i="2" s="1"/>
  <c r="EX8" i="2" s="1"/>
  <c r="EX9" i="2" s="1"/>
  <c r="EX10" i="2" s="1"/>
  <c r="EX11" i="2" s="1"/>
  <c r="EX12" i="2" s="1"/>
  <c r="EX13" i="2" s="1"/>
  <c r="EX14" i="2" s="1"/>
  <c r="EX15" i="2" s="1"/>
  <c r="EX16" i="2" s="1"/>
  <c r="EX17" i="2" s="1"/>
  <c r="EX18" i="2" s="1"/>
  <c r="EX19" i="2" s="1"/>
  <c r="EX20" i="2" s="1"/>
  <c r="EX21" i="2" s="1"/>
  <c r="EX22" i="2" s="1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EX66" i="2" s="1"/>
  <c r="EX67" i="2" s="1"/>
  <c r="EX68" i="2" s="1"/>
  <c r="EX69" i="2" s="1"/>
  <c r="EX70" i="2" s="1"/>
  <c r="EX71" i="2" s="1"/>
  <c r="EX72" i="2" s="1"/>
  <c r="EX73" i="2" s="1"/>
  <c r="EX74" i="2" s="1"/>
  <c r="EX75" i="2" s="1"/>
  <c r="EX76" i="2" s="1"/>
  <c r="EX77" i="2" s="1"/>
  <c r="EX78" i="2" s="1"/>
  <c r="EX79" i="2" s="1"/>
  <c r="EX80" i="2" s="1"/>
  <c r="EX81" i="2" s="1"/>
  <c r="EX82" i="2" s="1"/>
  <c r="EX83" i="2" s="1"/>
  <c r="EX84" i="2" s="1"/>
  <c r="EX85" i="2" s="1"/>
  <c r="EX86" i="2" s="1"/>
  <c r="EX87" i="2" s="1"/>
  <c r="EX88" i="2" s="1"/>
  <c r="EX89" i="2" s="1"/>
  <c r="EX90" i="2" s="1"/>
  <c r="EX91" i="2" s="1"/>
  <c r="EX92" i="2" s="1"/>
  <c r="EX93" i="2" s="1"/>
  <c r="EX94" i="2" s="1"/>
  <c r="EX95" i="2" s="1"/>
  <c r="EX96" i="2" s="1"/>
  <c r="EX97" i="2" s="1"/>
  <c r="EX98" i="2" s="1"/>
  <c r="EX99" i="2" s="1"/>
  <c r="EX100" i="2" s="1"/>
  <c r="EX101" i="2" s="1"/>
  <c r="EX102" i="2" s="1"/>
  <c r="EX103" i="2" s="1"/>
  <c r="EX104" i="2" s="1"/>
  <c r="EX105" i="2" s="1"/>
  <c r="EX106" i="2" s="1"/>
  <c r="EX107" i="2" s="1"/>
  <c r="EX108" i="2" s="1"/>
  <c r="EX109" i="2" s="1"/>
  <c r="EX110" i="2" s="1"/>
  <c r="EX111" i="2" s="1"/>
  <c r="EX112" i="2" s="1"/>
  <c r="EX113" i="2" s="1"/>
  <c r="EX114" i="2" s="1"/>
  <c r="EX115" i="2" s="1"/>
  <c r="EX116" i="2" s="1"/>
  <c r="EX117" i="2" s="1"/>
  <c r="EX118" i="2" s="1"/>
  <c r="EX119" i="2" s="1"/>
  <c r="EX120" i="2" s="1"/>
  <c r="EX121" i="2" s="1"/>
  <c r="EX122" i="2" s="1"/>
  <c r="EX123" i="2" s="1"/>
  <c r="EX124" i="2" s="1"/>
  <c r="EX125" i="2" s="1"/>
  <c r="EX126" i="2" s="1"/>
  <c r="EX127" i="2" s="1"/>
  <c r="EX128" i="2" s="1"/>
  <c r="EX129" i="2" s="1"/>
  <c r="EX130" i="2" s="1"/>
  <c r="EX131" i="2" s="1"/>
  <c r="EX132" i="2" s="1"/>
  <c r="EX133" i="2" s="1"/>
  <c r="EX134" i="2" s="1"/>
  <c r="EX135" i="2" s="1"/>
  <c r="EX136" i="2" s="1"/>
  <c r="EX137" i="2" s="1"/>
  <c r="EX138" i="2" s="1"/>
  <c r="EX139" i="2" s="1"/>
  <c r="EX140" i="2" s="1"/>
  <c r="EX141" i="2" s="1"/>
  <c r="EX142" i="2" s="1"/>
  <c r="EX143" i="2" s="1"/>
  <c r="EX144" i="2" s="1"/>
  <c r="EX145" i="2" s="1"/>
  <c r="EX146" i="2" s="1"/>
  <c r="EX147" i="2" s="1"/>
  <c r="EX148" i="2" s="1"/>
  <c r="EX149" i="2" s="1"/>
  <c r="EX150" i="2" s="1"/>
  <c r="EX151" i="2" s="1"/>
  <c r="EX152" i="2" s="1"/>
  <c r="EX153" i="2" s="1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EW12" i="2"/>
  <c r="EW13" i="2" s="1"/>
  <c r="EW14" i="2" s="1"/>
  <c r="EW15" i="2" s="1"/>
  <c r="EW16" i="2" s="1"/>
  <c r="EW17" i="2" s="1"/>
  <c r="EW18" i="2" s="1"/>
  <c r="EW19" i="2" s="1"/>
  <c r="EW20" i="2" s="1"/>
  <c r="EW21" i="2" s="1"/>
  <c r="EW22" i="2" s="1"/>
  <c r="EW23" i="2" s="1"/>
  <c r="EW24" i="2" s="1"/>
  <c r="EW25" i="2" s="1"/>
  <c r="EW26" i="2" s="1"/>
  <c r="EW27" i="2" s="1"/>
  <c r="EW28" i="2" s="1"/>
  <c r="EW29" i="2" s="1"/>
  <c r="EW30" i="2" s="1"/>
  <c r="EW31" i="2" s="1"/>
  <c r="EW32" i="2" s="1"/>
  <c r="EW33" i="2" s="1"/>
  <c r="EW34" i="2" s="1"/>
  <c r="EW35" i="2" s="1"/>
  <c r="EW36" i="2" s="1"/>
  <c r="EW37" i="2" s="1"/>
  <c r="EW38" i="2" s="1"/>
  <c r="EW39" i="2" s="1"/>
  <c r="EW40" i="2" s="1"/>
  <c r="EW41" i="2" s="1"/>
  <c r="EW42" i="2" s="1"/>
  <c r="EW43" i="2" s="1"/>
  <c r="EW44" i="2" s="1"/>
  <c r="EW45" i="2" s="1"/>
  <c r="EW46" i="2" s="1"/>
  <c r="EW47" i="2" s="1"/>
  <c r="EW48" i="2" s="1"/>
  <c r="EW49" i="2" s="1"/>
  <c r="EW50" i="2" s="1"/>
  <c r="EW51" i="2" s="1"/>
  <c r="EW52" i="2" s="1"/>
  <c r="EW53" i="2" s="1"/>
  <c r="EW54" i="2" s="1"/>
  <c r="EW55" i="2" s="1"/>
  <c r="EW56" i="2" s="1"/>
  <c r="EW57" i="2" s="1"/>
  <c r="EW58" i="2" s="1"/>
  <c r="EW59" i="2" s="1"/>
  <c r="EW60" i="2" s="1"/>
  <c r="EW61" i="2" s="1"/>
  <c r="EW62" i="2" s="1"/>
  <c r="EW63" i="2" s="1"/>
  <c r="EW64" i="2" s="1"/>
  <c r="EW65" i="2" s="1"/>
  <c r="EW66" i="2" s="1"/>
  <c r="EW67" i="2" s="1"/>
  <c r="EW68" i="2" s="1"/>
  <c r="EW69" i="2" s="1"/>
  <c r="EW70" i="2" s="1"/>
  <c r="EW71" i="2" s="1"/>
  <c r="EW72" i="2" s="1"/>
  <c r="EW73" i="2" s="1"/>
  <c r="EW74" i="2" s="1"/>
  <c r="EW75" i="2" s="1"/>
  <c r="EW76" i="2" s="1"/>
  <c r="EW77" i="2" s="1"/>
  <c r="EW78" i="2" s="1"/>
  <c r="EW79" i="2" s="1"/>
  <c r="EW80" i="2" s="1"/>
  <c r="EW81" i="2" s="1"/>
  <c r="EW82" i="2" s="1"/>
  <c r="EW83" i="2" s="1"/>
  <c r="EW84" i="2" s="1"/>
  <c r="EW85" i="2" s="1"/>
  <c r="EW86" i="2" s="1"/>
  <c r="EW87" i="2" s="1"/>
  <c r="EW88" i="2" s="1"/>
  <c r="EW89" i="2" s="1"/>
  <c r="EW90" i="2" s="1"/>
  <c r="EW91" i="2" s="1"/>
  <c r="EW92" i="2" s="1"/>
  <c r="EW93" i="2" s="1"/>
  <c r="EW94" i="2" s="1"/>
  <c r="EW95" i="2" s="1"/>
  <c r="EW96" i="2" s="1"/>
  <c r="EW97" i="2" s="1"/>
  <c r="EW98" i="2" s="1"/>
  <c r="EW99" i="2" s="1"/>
  <c r="EW100" i="2" s="1"/>
  <c r="EW101" i="2" s="1"/>
  <c r="EW102" i="2" s="1"/>
  <c r="EW103" i="2" s="1"/>
  <c r="EW104" i="2" s="1"/>
  <c r="EW105" i="2" s="1"/>
  <c r="EW106" i="2" s="1"/>
  <c r="EW107" i="2" s="1"/>
  <c r="EW108" i="2" s="1"/>
  <c r="EW109" i="2" s="1"/>
  <c r="EW110" i="2" s="1"/>
  <c r="EW111" i="2" s="1"/>
  <c r="EW112" i="2" s="1"/>
  <c r="EW113" i="2" s="1"/>
  <c r="EW114" i="2" s="1"/>
  <c r="EW115" i="2" s="1"/>
  <c r="EW116" i="2" s="1"/>
  <c r="EW117" i="2" s="1"/>
  <c r="EW118" i="2" s="1"/>
  <c r="EW119" i="2" s="1"/>
  <c r="EW120" i="2" s="1"/>
  <c r="EW121" i="2" s="1"/>
  <c r="EW122" i="2" s="1"/>
  <c r="EW123" i="2" s="1"/>
  <c r="EW124" i="2" s="1"/>
  <c r="EW125" i="2" s="1"/>
  <c r="EW126" i="2" s="1"/>
  <c r="EW127" i="2" s="1"/>
  <c r="EW128" i="2" s="1"/>
  <c r="EW129" i="2" s="1"/>
  <c r="EW130" i="2" s="1"/>
  <c r="EW131" i="2" s="1"/>
  <c r="EW132" i="2" s="1"/>
  <c r="EW133" i="2" s="1"/>
  <c r="EW134" i="2" s="1"/>
  <c r="EW135" i="2" s="1"/>
  <c r="EW136" i="2" s="1"/>
  <c r="EW137" i="2" s="1"/>
  <c r="EW138" i="2" s="1"/>
  <c r="EW139" i="2" s="1"/>
  <c r="EW140" i="2" s="1"/>
  <c r="EW141" i="2" s="1"/>
  <c r="EW142" i="2" s="1"/>
  <c r="EW143" i="2" s="1"/>
  <c r="EW144" i="2" s="1"/>
  <c r="EW145" i="2" s="1"/>
  <c r="EW146" i="2" s="1"/>
  <c r="EW147" i="2" s="1"/>
  <c r="EW148" i="2" s="1"/>
  <c r="EW149" i="2" s="1"/>
  <c r="EW150" i="2" s="1"/>
  <c r="EW151" i="2" s="1"/>
  <c r="EW152" i="2" s="1"/>
  <c r="EW153" i="2" s="1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EX4" i="2"/>
  <c r="EW4" i="2"/>
  <c r="EV4" i="2"/>
  <c r="EA5" i="2"/>
  <c r="EA6" i="2" s="1"/>
  <c r="EA7" i="2" s="1"/>
  <c r="EA8" i="2" s="1"/>
  <c r="EA9" i="2" s="1"/>
  <c r="EA10" i="2" s="1"/>
  <c r="EA11" i="2" s="1"/>
  <c r="EA12" i="2" s="1"/>
  <c r="EA13" i="2" s="1"/>
  <c r="EA14" i="2" s="1"/>
  <c r="EA15" i="2" s="1"/>
  <c r="EA16" i="2" s="1"/>
  <c r="EA17" i="2" s="1"/>
  <c r="EA18" i="2" s="1"/>
  <c r="EA19" i="2" s="1"/>
  <c r="EA20" i="2" s="1"/>
  <c r="EA21" i="2" s="1"/>
  <c r="EA22" i="2" s="1"/>
  <c r="EA23" i="2" s="1"/>
  <c r="EA24" i="2" s="1"/>
  <c r="EA25" i="2" s="1"/>
  <c r="EA26" i="2" s="1"/>
  <c r="EA27" i="2" s="1"/>
  <c r="EA28" i="2" s="1"/>
  <c r="EA29" i="2" s="1"/>
  <c r="EA30" i="2" s="1"/>
  <c r="EA31" i="2" s="1"/>
  <c r="EA32" i="2" s="1"/>
  <c r="EA33" i="2" s="1"/>
  <c r="EA34" i="2" s="1"/>
  <c r="EA35" i="2" s="1"/>
  <c r="EA36" i="2" s="1"/>
  <c r="EA37" i="2" s="1"/>
  <c r="EA38" i="2" s="1"/>
  <c r="EA39" i="2" s="1"/>
  <c r="EA40" i="2" s="1"/>
  <c r="EA41" i="2" s="1"/>
  <c r="EA42" i="2" s="1"/>
  <c r="EA43" i="2" s="1"/>
  <c r="EA44" i="2" s="1"/>
  <c r="EA45" i="2" s="1"/>
  <c r="EA46" i="2" s="1"/>
  <c r="EA47" i="2" s="1"/>
  <c r="EA48" i="2" s="1"/>
  <c r="EA49" i="2" s="1"/>
  <c r="EA50" i="2" s="1"/>
  <c r="EA51" i="2" s="1"/>
  <c r="EA52" i="2" s="1"/>
  <c r="EA53" i="2" s="1"/>
  <c r="EA54" i="2" s="1"/>
  <c r="EA55" i="2" s="1"/>
  <c r="EA56" i="2" s="1"/>
  <c r="EA57" i="2" s="1"/>
  <c r="EA58" i="2" s="1"/>
  <c r="EA59" i="2" s="1"/>
  <c r="EA60" i="2" s="1"/>
  <c r="EA61" i="2" s="1"/>
  <c r="EA62" i="2" s="1"/>
  <c r="EA63" i="2" s="1"/>
  <c r="EA64" i="2" s="1"/>
  <c r="EA65" i="2" s="1"/>
  <c r="EA66" i="2" s="1"/>
  <c r="EA67" i="2" s="1"/>
  <c r="EA68" i="2" s="1"/>
  <c r="EA69" i="2" s="1"/>
  <c r="EA70" i="2" s="1"/>
  <c r="EA71" i="2" s="1"/>
  <c r="EA72" i="2" s="1"/>
  <c r="EA73" i="2" s="1"/>
  <c r="EA74" i="2" s="1"/>
  <c r="EA75" i="2" s="1"/>
  <c r="EA76" i="2" s="1"/>
  <c r="EA77" i="2" s="1"/>
  <c r="EA78" i="2" s="1"/>
  <c r="EA79" i="2" s="1"/>
  <c r="EA80" i="2" s="1"/>
  <c r="EA81" i="2" s="1"/>
  <c r="EA82" i="2" s="1"/>
  <c r="EA83" i="2" s="1"/>
  <c r="EA84" i="2" s="1"/>
  <c r="EA85" i="2" s="1"/>
  <c r="EA86" i="2" s="1"/>
  <c r="EA87" i="2" s="1"/>
  <c r="EA88" i="2" s="1"/>
  <c r="EA89" i="2" s="1"/>
  <c r="EA90" i="2" s="1"/>
  <c r="EA91" i="2" s="1"/>
  <c r="EA92" i="2" s="1"/>
  <c r="EA93" i="2" s="1"/>
  <c r="EA94" i="2" s="1"/>
  <c r="EA95" i="2" s="1"/>
  <c r="EA96" i="2" s="1"/>
  <c r="EA97" i="2" s="1"/>
  <c r="EA98" i="2" s="1"/>
  <c r="EA99" i="2" s="1"/>
  <c r="EA100" i="2" s="1"/>
  <c r="EA101" i="2" s="1"/>
  <c r="EA102" i="2" s="1"/>
  <c r="EA103" i="2" s="1"/>
  <c r="EA104" i="2" s="1"/>
  <c r="EA105" i="2" s="1"/>
  <c r="EA106" i="2" s="1"/>
  <c r="EA107" i="2" s="1"/>
  <c r="EA108" i="2" s="1"/>
  <c r="EA109" i="2" s="1"/>
  <c r="EA110" i="2" s="1"/>
  <c r="EA111" i="2" s="1"/>
  <c r="EA112" i="2" s="1"/>
  <c r="EA113" i="2" s="1"/>
  <c r="EA114" i="2" s="1"/>
  <c r="EA115" i="2" s="1"/>
  <c r="EA116" i="2" s="1"/>
  <c r="EA117" i="2" s="1"/>
  <c r="EA118" i="2" s="1"/>
  <c r="EA119" i="2" s="1"/>
  <c r="EA120" i="2" s="1"/>
  <c r="EA121" i="2" s="1"/>
  <c r="EA122" i="2" s="1"/>
  <c r="EA123" i="2" s="1"/>
  <c r="EA124" i="2" s="1"/>
  <c r="EA125" i="2" s="1"/>
  <c r="EA126" i="2" s="1"/>
  <c r="EA127" i="2" s="1"/>
  <c r="EA128" i="2" s="1"/>
  <c r="EA129" i="2" s="1"/>
  <c r="EA130" i="2" s="1"/>
  <c r="EA131" i="2" s="1"/>
  <c r="EA132" i="2" s="1"/>
  <c r="EA133" i="2" s="1"/>
  <c r="EA134" i="2" s="1"/>
  <c r="EA135" i="2" s="1"/>
  <c r="EA136" i="2" s="1"/>
  <c r="EA137" i="2" s="1"/>
  <c r="EA138" i="2" s="1"/>
  <c r="EA139" i="2" s="1"/>
  <c r="EA140" i="2" s="1"/>
  <c r="EA141" i="2" s="1"/>
  <c r="EA142" i="2" s="1"/>
  <c r="EA143" i="2" s="1"/>
  <c r="EA144" i="2" s="1"/>
  <c r="EA145" i="2" s="1"/>
  <c r="EA146" i="2" s="1"/>
  <c r="EA147" i="2" s="1"/>
  <c r="EA148" i="2" s="1"/>
  <c r="EA149" i="2" s="1"/>
  <c r="EA150" i="2" s="1"/>
  <c r="EA151" i="2" s="1"/>
  <c r="EA152" i="2" s="1"/>
  <c r="EA153" i="2" s="1"/>
  <c r="EA154" i="2" s="1"/>
  <c r="EA155" i="2" s="1"/>
  <c r="EA156" i="2" s="1"/>
  <c r="EA157" i="2" s="1"/>
  <c r="EA158" i="2" s="1"/>
  <c r="EA159" i="2" s="1"/>
  <c r="EA160" i="2" s="1"/>
  <c r="EA161" i="2" s="1"/>
  <c r="EA162" i="2" s="1"/>
  <c r="EA163" i="2" s="1"/>
  <c r="EA164" i="2" s="1"/>
  <c r="EA165" i="2" s="1"/>
  <c r="EA166" i="2" s="1"/>
  <c r="EA167" i="2" s="1"/>
  <c r="EA168" i="2" s="1"/>
  <c r="EA169" i="2" s="1"/>
  <c r="EA170" i="2" s="1"/>
  <c r="EA171" i="2" s="1"/>
  <c r="EA172" i="2" s="1"/>
  <c r="EA173" i="2" s="1"/>
  <c r="EA174" i="2" s="1"/>
  <c r="EA175" i="2" s="1"/>
  <c r="EA176" i="2" s="1"/>
  <c r="EA177" i="2" s="1"/>
  <c r="EA178" i="2" s="1"/>
  <c r="EA179" i="2" s="1"/>
  <c r="EA180" i="2" s="1"/>
  <c r="EA181" i="2" s="1"/>
  <c r="EA182" i="2" s="1"/>
  <c r="EA183" i="2" s="1"/>
  <c r="EA184" i="2" s="1"/>
  <c r="EA185" i="2" s="1"/>
  <c r="EA186" i="2" s="1"/>
  <c r="EA187" i="2" s="1"/>
  <c r="EA188" i="2" s="1"/>
  <c r="EA189" i="2" s="1"/>
  <c r="EA190" i="2" s="1"/>
  <c r="EA191" i="2" s="1"/>
  <c r="EA192" i="2" s="1"/>
  <c r="EA193" i="2" s="1"/>
  <c r="EA194" i="2" s="1"/>
  <c r="EA195" i="2" s="1"/>
  <c r="EA196" i="2" s="1"/>
  <c r="EA197" i="2" s="1"/>
  <c r="EA198" i="2" s="1"/>
  <c r="EA199" i="2" s="1"/>
  <c r="EA200" i="2" s="1"/>
  <c r="EA201" i="2" s="1"/>
  <c r="EA202" i="2" s="1"/>
  <c r="EA203" i="2" s="1"/>
  <c r="EB5" i="2"/>
  <c r="EB6" i="2" s="1"/>
  <c r="EB7" i="2" s="1"/>
  <c r="EB8" i="2" s="1"/>
  <c r="EB9" i="2" s="1"/>
  <c r="EB10" i="2" s="1"/>
  <c r="EB11" i="2" s="1"/>
  <c r="EB12" i="2" s="1"/>
  <c r="EB13" i="2" s="1"/>
  <c r="EB14" i="2" s="1"/>
  <c r="EB15" i="2" s="1"/>
  <c r="EB16" i="2" s="1"/>
  <c r="EB17" i="2" s="1"/>
  <c r="EB18" i="2" s="1"/>
  <c r="EB19" i="2" s="1"/>
  <c r="EB20" i="2" s="1"/>
  <c r="EB21" i="2" s="1"/>
  <c r="EB22" i="2" s="1"/>
  <c r="EB23" i="2" s="1"/>
  <c r="EB24" i="2" s="1"/>
  <c r="EB25" i="2" s="1"/>
  <c r="EB26" i="2" s="1"/>
  <c r="EB27" i="2" s="1"/>
  <c r="EB28" i="2" s="1"/>
  <c r="EB29" i="2" s="1"/>
  <c r="EB30" i="2" s="1"/>
  <c r="EB31" i="2" s="1"/>
  <c r="EB32" i="2" s="1"/>
  <c r="EB33" i="2" s="1"/>
  <c r="EB34" i="2" s="1"/>
  <c r="EB35" i="2" s="1"/>
  <c r="EB36" i="2" s="1"/>
  <c r="EB37" i="2" s="1"/>
  <c r="EB38" i="2" s="1"/>
  <c r="EB39" i="2" s="1"/>
  <c r="EB40" i="2" s="1"/>
  <c r="EB41" i="2" s="1"/>
  <c r="EB42" i="2" s="1"/>
  <c r="EB43" i="2" s="1"/>
  <c r="EB44" i="2" s="1"/>
  <c r="EB45" i="2" s="1"/>
  <c r="EB46" i="2" s="1"/>
  <c r="EB47" i="2" s="1"/>
  <c r="EB48" i="2" s="1"/>
  <c r="EB49" i="2" s="1"/>
  <c r="EB50" i="2" s="1"/>
  <c r="EB51" i="2" s="1"/>
  <c r="EB52" i="2" s="1"/>
  <c r="EB53" i="2" s="1"/>
  <c r="EB54" i="2" s="1"/>
  <c r="EB55" i="2" s="1"/>
  <c r="EB56" i="2" s="1"/>
  <c r="EB57" i="2" s="1"/>
  <c r="EB58" i="2" s="1"/>
  <c r="EB59" i="2" s="1"/>
  <c r="EB60" i="2" s="1"/>
  <c r="EB61" i="2" s="1"/>
  <c r="EB62" i="2" s="1"/>
  <c r="EB63" i="2" s="1"/>
  <c r="EB64" i="2" s="1"/>
  <c r="EB65" i="2" s="1"/>
  <c r="EB66" i="2" s="1"/>
  <c r="EB67" i="2" s="1"/>
  <c r="EB68" i="2" s="1"/>
  <c r="EB69" i="2" s="1"/>
  <c r="EB70" i="2" s="1"/>
  <c r="EB71" i="2" s="1"/>
  <c r="EB72" i="2" s="1"/>
  <c r="EB73" i="2" s="1"/>
  <c r="EB74" i="2" s="1"/>
  <c r="EB75" i="2" s="1"/>
  <c r="EB76" i="2" s="1"/>
  <c r="EB77" i="2" s="1"/>
  <c r="EB78" i="2" s="1"/>
  <c r="EB79" i="2" s="1"/>
  <c r="EB80" i="2" s="1"/>
  <c r="EB81" i="2" s="1"/>
  <c r="EB82" i="2" s="1"/>
  <c r="EB83" i="2" s="1"/>
  <c r="EB84" i="2" s="1"/>
  <c r="EB85" i="2" s="1"/>
  <c r="EB86" i="2" s="1"/>
  <c r="EB87" i="2" s="1"/>
  <c r="EB88" i="2" s="1"/>
  <c r="EB89" i="2" s="1"/>
  <c r="EB90" i="2" s="1"/>
  <c r="EB91" i="2" s="1"/>
  <c r="EB92" i="2" s="1"/>
  <c r="EB93" i="2" s="1"/>
  <c r="EB94" i="2" s="1"/>
  <c r="EB95" i="2" s="1"/>
  <c r="EB96" i="2" s="1"/>
  <c r="EB97" i="2" s="1"/>
  <c r="EB98" i="2" s="1"/>
  <c r="EB99" i="2" s="1"/>
  <c r="EB100" i="2" s="1"/>
  <c r="EB101" i="2" s="1"/>
  <c r="EB102" i="2" s="1"/>
  <c r="EB103" i="2" s="1"/>
  <c r="EB104" i="2" s="1"/>
  <c r="EB105" i="2" s="1"/>
  <c r="EB106" i="2" s="1"/>
  <c r="EB107" i="2" s="1"/>
  <c r="EB108" i="2" s="1"/>
  <c r="EB109" i="2" s="1"/>
  <c r="EB110" i="2" s="1"/>
  <c r="EB111" i="2" s="1"/>
  <c r="EB112" i="2" s="1"/>
  <c r="EB113" i="2" s="1"/>
  <c r="EB114" i="2" s="1"/>
  <c r="EB115" i="2" s="1"/>
  <c r="EB116" i="2" s="1"/>
  <c r="EB117" i="2" s="1"/>
  <c r="EB118" i="2" s="1"/>
  <c r="EB119" i="2" s="1"/>
  <c r="EB120" i="2" s="1"/>
  <c r="EB121" i="2" s="1"/>
  <c r="EB122" i="2" s="1"/>
  <c r="EB123" i="2" s="1"/>
  <c r="EB124" i="2" s="1"/>
  <c r="EB125" i="2" s="1"/>
  <c r="EB126" i="2" s="1"/>
  <c r="EB127" i="2" s="1"/>
  <c r="EB128" i="2" s="1"/>
  <c r="EB129" i="2" s="1"/>
  <c r="EB130" i="2" s="1"/>
  <c r="EB131" i="2" s="1"/>
  <c r="EB132" i="2" s="1"/>
  <c r="EB133" i="2" s="1"/>
  <c r="EB134" i="2" s="1"/>
  <c r="EB135" i="2" s="1"/>
  <c r="EB136" i="2" s="1"/>
  <c r="EB137" i="2" s="1"/>
  <c r="EB138" i="2" s="1"/>
  <c r="EB139" i="2" s="1"/>
  <c r="EB140" i="2" s="1"/>
  <c r="EB141" i="2" s="1"/>
  <c r="EB142" i="2" s="1"/>
  <c r="EB143" i="2" s="1"/>
  <c r="EB144" i="2" s="1"/>
  <c r="EB145" i="2" s="1"/>
  <c r="EB146" i="2" s="1"/>
  <c r="EB147" i="2" s="1"/>
  <c r="EB148" i="2" s="1"/>
  <c r="EB149" i="2" s="1"/>
  <c r="EB150" i="2" s="1"/>
  <c r="EB151" i="2" s="1"/>
  <c r="EB152" i="2" s="1"/>
  <c r="EB153" i="2" s="1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EC5" i="2"/>
  <c r="EC6" i="2" s="1"/>
  <c r="EC7" i="2" s="1"/>
  <c r="EC8" i="2" s="1"/>
  <c r="EC9" i="2" s="1"/>
  <c r="EC10" i="2" s="1"/>
  <c r="EC11" i="2" s="1"/>
  <c r="EC12" i="2" s="1"/>
  <c r="EC13" i="2" s="1"/>
  <c r="EC14" i="2" s="1"/>
  <c r="EC15" i="2" s="1"/>
  <c r="EC16" i="2" s="1"/>
  <c r="EC17" i="2" s="1"/>
  <c r="EC18" i="2" s="1"/>
  <c r="EC19" i="2" s="1"/>
  <c r="EC20" i="2" s="1"/>
  <c r="EC21" i="2" s="1"/>
  <c r="EC22" i="2" s="1"/>
  <c r="EC23" i="2" s="1"/>
  <c r="EC24" i="2" s="1"/>
  <c r="EC25" i="2" s="1"/>
  <c r="EC26" i="2" s="1"/>
  <c r="EC27" i="2" s="1"/>
  <c r="EC28" i="2" s="1"/>
  <c r="EC29" i="2" s="1"/>
  <c r="EC30" i="2" s="1"/>
  <c r="EC31" i="2" s="1"/>
  <c r="EC32" i="2" s="1"/>
  <c r="EC33" i="2" s="1"/>
  <c r="EC34" i="2" s="1"/>
  <c r="EC35" i="2" s="1"/>
  <c r="EC36" i="2" s="1"/>
  <c r="EC37" i="2" s="1"/>
  <c r="EC38" i="2" s="1"/>
  <c r="EC39" i="2" s="1"/>
  <c r="EC40" i="2" s="1"/>
  <c r="EC41" i="2" s="1"/>
  <c r="EC42" i="2" s="1"/>
  <c r="EC43" i="2" s="1"/>
  <c r="EC44" i="2" s="1"/>
  <c r="EC45" i="2" s="1"/>
  <c r="EC46" i="2" s="1"/>
  <c r="EC47" i="2" s="1"/>
  <c r="EC48" i="2" s="1"/>
  <c r="EC49" i="2" s="1"/>
  <c r="EC50" i="2" s="1"/>
  <c r="EC51" i="2" s="1"/>
  <c r="EC52" i="2" s="1"/>
  <c r="EC53" i="2" s="1"/>
  <c r="EC54" i="2" s="1"/>
  <c r="EC55" i="2" s="1"/>
  <c r="EC56" i="2" s="1"/>
  <c r="EC57" i="2" s="1"/>
  <c r="EC58" i="2" s="1"/>
  <c r="EC59" i="2" s="1"/>
  <c r="EC60" i="2" s="1"/>
  <c r="EC61" i="2" s="1"/>
  <c r="EC62" i="2" s="1"/>
  <c r="EC63" i="2" s="1"/>
  <c r="EC64" i="2" s="1"/>
  <c r="EC65" i="2" s="1"/>
  <c r="EC66" i="2" s="1"/>
  <c r="EC67" i="2" s="1"/>
  <c r="EC68" i="2" s="1"/>
  <c r="EC69" i="2" s="1"/>
  <c r="EC70" i="2" s="1"/>
  <c r="EC71" i="2" s="1"/>
  <c r="EC72" i="2" s="1"/>
  <c r="EC73" i="2" s="1"/>
  <c r="EC74" i="2" s="1"/>
  <c r="EC75" i="2" s="1"/>
  <c r="EC76" i="2" s="1"/>
  <c r="EC77" i="2" s="1"/>
  <c r="EC78" i="2" s="1"/>
  <c r="EC79" i="2" s="1"/>
  <c r="EC80" i="2" s="1"/>
  <c r="EC81" i="2" s="1"/>
  <c r="EC82" i="2" s="1"/>
  <c r="EC83" i="2" s="1"/>
  <c r="EC84" i="2" s="1"/>
  <c r="EC85" i="2" s="1"/>
  <c r="EC86" i="2" s="1"/>
  <c r="EC87" i="2" s="1"/>
  <c r="EC88" i="2" s="1"/>
  <c r="EC89" i="2" s="1"/>
  <c r="EC90" i="2" s="1"/>
  <c r="EC91" i="2" s="1"/>
  <c r="EC92" i="2" s="1"/>
  <c r="EC93" i="2" s="1"/>
  <c r="EC94" i="2" s="1"/>
  <c r="EC95" i="2" s="1"/>
  <c r="EC96" i="2" s="1"/>
  <c r="EC97" i="2" s="1"/>
  <c r="EC98" i="2" s="1"/>
  <c r="EC99" i="2" s="1"/>
  <c r="EC100" i="2" s="1"/>
  <c r="EC101" i="2" s="1"/>
  <c r="EC102" i="2" s="1"/>
  <c r="EC103" i="2" s="1"/>
  <c r="EC104" i="2" s="1"/>
  <c r="EC105" i="2" s="1"/>
  <c r="EC106" i="2" s="1"/>
  <c r="EC107" i="2" s="1"/>
  <c r="EC108" i="2" s="1"/>
  <c r="EC109" i="2" s="1"/>
  <c r="EC110" i="2" s="1"/>
  <c r="EC111" i="2" s="1"/>
  <c r="EC112" i="2" s="1"/>
  <c r="EC113" i="2" s="1"/>
  <c r="EC114" i="2" s="1"/>
  <c r="EC115" i="2" s="1"/>
  <c r="EC116" i="2" s="1"/>
  <c r="EC117" i="2" s="1"/>
  <c r="EC118" i="2" s="1"/>
  <c r="EC119" i="2" s="1"/>
  <c r="EC120" i="2" s="1"/>
  <c r="EC121" i="2" s="1"/>
  <c r="EC122" i="2" s="1"/>
  <c r="EC123" i="2" s="1"/>
  <c r="EC124" i="2" s="1"/>
  <c r="EC125" i="2" s="1"/>
  <c r="EC126" i="2" s="1"/>
  <c r="EC127" i="2" s="1"/>
  <c r="EC128" i="2" s="1"/>
  <c r="EC129" i="2" s="1"/>
  <c r="EC130" i="2" s="1"/>
  <c r="EC131" i="2" s="1"/>
  <c r="EC132" i="2" s="1"/>
  <c r="EC133" i="2" s="1"/>
  <c r="EC134" i="2" s="1"/>
  <c r="EC135" i="2" s="1"/>
  <c r="EC136" i="2" s="1"/>
  <c r="EC137" i="2" s="1"/>
  <c r="EC138" i="2" s="1"/>
  <c r="EC139" i="2" s="1"/>
  <c r="EC140" i="2" s="1"/>
  <c r="EC141" i="2" s="1"/>
  <c r="EC142" i="2" s="1"/>
  <c r="EC143" i="2" s="1"/>
  <c r="EC144" i="2" s="1"/>
  <c r="EC145" i="2" s="1"/>
  <c r="EC146" i="2" s="1"/>
  <c r="EC147" i="2" s="1"/>
  <c r="EC148" i="2" s="1"/>
  <c r="EC149" i="2" s="1"/>
  <c r="EC150" i="2" s="1"/>
  <c r="EC151" i="2" s="1"/>
  <c r="EC152" i="2" s="1"/>
  <c r="EC153" i="2" s="1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EC4" i="2"/>
  <c r="EB4" i="2"/>
  <c r="EA4" i="2"/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L3" i="2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GF3" i="2" s="1"/>
  <c r="FX3" i="2"/>
  <c r="FU1" i="2"/>
  <c r="GO3" i="2"/>
  <c r="FP3" i="2"/>
  <c r="FM3" i="2"/>
  <c r="FL3" i="2"/>
  <c r="FF3" i="2"/>
  <c r="FH3" i="2" s="1"/>
  <c r="FI3" i="2" s="1"/>
  <c r="FK3" i="2" s="1"/>
  <c r="FC3" i="2"/>
  <c r="EZ1" i="2"/>
  <c r="FT3" i="2"/>
  <c r="EU3" i="2"/>
  <c r="ER3" i="2"/>
  <c r="EQ3" i="2"/>
  <c r="EK3" i="2"/>
  <c r="EM3" i="2" s="1"/>
  <c r="EN3" i="2" s="1"/>
  <c r="EP3" i="2" s="1"/>
  <c r="EH3" i="2"/>
  <c r="EE1" i="2"/>
  <c r="EY3" i="2"/>
  <c r="DZ3" i="2"/>
  <c r="DW3" i="2"/>
  <c r="DV3" i="2"/>
  <c r="DP3" i="2"/>
  <c r="DR3" i="2" s="1"/>
  <c r="DS3" i="2" s="1"/>
  <c r="DU3" i="2" s="1"/>
  <c r="DM3" i="2"/>
  <c r="DJ1" i="2"/>
  <c r="ED3" i="2"/>
  <c r="CJ3" i="2"/>
  <c r="DE3" i="2"/>
  <c r="DB3" i="2"/>
  <c r="DA3" i="2"/>
  <c r="CU3" i="2"/>
  <c r="CW3" i="2" s="1"/>
  <c r="CX3" i="2" s="1"/>
  <c r="CZ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HA3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S63" i="6" l="1"/>
  <c r="H19" i="2"/>
  <c r="D20" i="2"/>
  <c r="G20" i="2" s="1"/>
  <c r="J33" i="6"/>
  <c r="S36" i="6"/>
  <c r="S64" i="6" l="1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DF4" i="2" s="1"/>
  <c r="BM4" i="2"/>
  <c r="DD4" i="2"/>
  <c r="DG4" i="2" s="1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CM4" i="2" s="1"/>
  <c r="BO4" i="2"/>
  <c r="BB4" i="2"/>
  <c r="BA4" i="2"/>
  <c r="AT4" i="2"/>
  <c r="A5" i="2"/>
  <c r="AQ4" i="2"/>
  <c r="AF4" i="2"/>
  <c r="AG4" i="2"/>
  <c r="AP4" i="2"/>
  <c r="Y4" i="2"/>
  <c r="U4" i="2"/>
  <c r="V4" i="2"/>
  <c r="DH4" i="2" l="1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DF5" i="2" s="1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DH5" i="2" l="1"/>
  <c r="DG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DF6" i="2" l="1"/>
  <c r="DH6" i="2"/>
  <c r="DG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DH7" i="2" l="1"/>
  <c r="DF7" i="2"/>
  <c r="DG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DH8" i="2" l="1"/>
  <c r="DF8" i="2"/>
  <c r="DG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DG9" i="2" l="1"/>
  <c r="DH9" i="2"/>
  <c r="DF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DH10" i="2" s="1"/>
  <c r="EU10" i="2"/>
  <c r="CF10" i="2"/>
  <c r="BL10" i="2"/>
  <c r="CG10" i="2"/>
  <c r="CM10" i="2" s="1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DF10" i="2" l="1"/>
  <c r="DG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H11" i="2" s="1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CM11" i="2" l="1"/>
  <c r="DF11" i="2"/>
  <c r="DG11" i="2"/>
  <c r="AU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DH12" i="2" s="1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AU12" i="2" l="1"/>
  <c r="DF12" i="2"/>
  <c r="DG12" i="2"/>
  <c r="AW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U13" i="2" s="1"/>
  <c r="AG13" i="2"/>
  <c r="AP13" i="2"/>
  <c r="AF13" i="2"/>
  <c r="V13" i="2"/>
  <c r="A14" i="2"/>
  <c r="Y13" i="2"/>
  <c r="U13" i="2"/>
  <c r="AX9" i="2"/>
  <c r="Z12" i="2"/>
  <c r="AC11" i="2"/>
  <c r="DH13" i="2" l="1"/>
  <c r="DF13" i="2"/>
  <c r="DG13" i="2"/>
  <c r="CM13" i="2"/>
  <c r="CK13" i="2"/>
  <c r="CL13" i="2"/>
  <c r="AV13" i="2"/>
  <c r="AW13" i="2"/>
  <c r="AW14" i="2" s="1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CK14" i="2" l="1"/>
  <c r="DH14" i="2"/>
  <c r="DG14" i="2"/>
  <c r="DF14" i="2"/>
  <c r="CM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DH15" i="2" l="1"/>
  <c r="DG15" i="2"/>
  <c r="DF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DH16" i="2" l="1"/>
  <c r="DF16" i="2"/>
  <c r="DG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DH17" i="2" l="1"/>
  <c r="DF17" i="2"/>
  <c r="DG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CM18" i="2" l="1"/>
  <c r="DH18" i="2"/>
  <c r="DG18" i="2"/>
  <c r="DF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DH19" i="2" l="1"/>
  <c r="DG19" i="2"/>
  <c r="DF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CM20" i="2" l="1"/>
  <c r="AW20" i="2"/>
  <c r="DH20" i="2"/>
  <c r="DG20" i="2"/>
  <c r="DF20" i="2"/>
  <c r="AV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DG21" i="2" l="1"/>
  <c r="BR21" i="2"/>
  <c r="DF21" i="2"/>
  <c r="DH21" i="2"/>
  <c r="CM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DH22" i="2" l="1"/>
  <c r="DF22" i="2"/>
  <c r="DG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DF23" i="2" l="1"/>
  <c r="DH23" i="2"/>
  <c r="DG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DH24" i="2" l="1"/>
  <c r="DF24" i="2"/>
  <c r="DG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DH25" i="2" s="1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DF25" i="2" l="1"/>
  <c r="DG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DF26" i="2" s="1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DH26" i="2" l="1"/>
  <c r="DG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CM27" i="2" s="1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DH27" i="2" l="1"/>
  <c r="DF27" i="2"/>
  <c r="DG27" i="2"/>
  <c r="AW27" i="2"/>
  <c r="AV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CM28" i="2" s="1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DH28" i="2" l="1"/>
  <c r="DF28" i="2"/>
  <c r="DG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H29" i="2" s="1"/>
  <c r="DZ29" i="2"/>
  <c r="CR29" i="2"/>
  <c r="CQ29" i="2"/>
  <c r="DE29" i="2"/>
  <c r="CG29" i="2"/>
  <c r="CM29" i="2" s="1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DG29" i="2" l="1"/>
  <c r="DF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DH30" i="2" s="1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CM30" i="2" l="1"/>
  <c r="DG30" i="2"/>
  <c r="DF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CM31" i="2" s="1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H31" i="2" l="1"/>
  <c r="DF31" i="2"/>
  <c r="DG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DF32" i="2" l="1"/>
  <c r="CM32" i="2"/>
  <c r="DH32" i="2"/>
  <c r="DG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DF33" i="2" l="1"/>
  <c r="DG33" i="2"/>
  <c r="DH33" i="2"/>
  <c r="DH34" i="2" s="1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DF34" i="2" s="1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DG34" i="2" l="1"/>
  <c r="CM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DG35" i="2" s="1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DH35" i="2" l="1"/>
  <c r="CM35" i="2"/>
  <c r="DF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DH36" i="2" l="1"/>
  <c r="DG36" i="2"/>
  <c r="DF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DH37" i="2" l="1"/>
  <c r="DG37" i="2"/>
  <c r="DF37" i="2"/>
  <c r="AV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CM38" i="2" l="1"/>
  <c r="DH38" i="2"/>
  <c r="DF38" i="2"/>
  <c r="DG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CM39" i="2" s="1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DF39" i="2" l="1"/>
  <c r="DH39" i="2"/>
  <c r="DG39" i="2"/>
  <c r="AW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DF40" i="2" s="1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CM40" i="2" l="1"/>
  <c r="DH40" i="2"/>
  <c r="DG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DF41" i="2" s="1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CM41" i="2" s="1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DH41" i="2" l="1"/>
  <c r="DG41" i="2"/>
  <c r="AW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DH42" i="2" s="1"/>
  <c r="EU42" i="2"/>
  <c r="CQ42" i="2"/>
  <c r="CR42" i="2"/>
  <c r="CF42" i="2"/>
  <c r="BB42" i="2"/>
  <c r="CG42" i="2"/>
  <c r="CM42" i="2" s="1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DF42" i="2" l="1"/>
  <c r="DG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H43" i="2" s="1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F43" i="2" l="1"/>
  <c r="CM43" i="2"/>
  <c r="DG43" i="2"/>
  <c r="AW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DH44" i="2" s="1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CM44" i="2" l="1"/>
  <c r="DG44" i="2"/>
  <c r="DF44" i="2"/>
  <c r="AU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H45" i="2" s="1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DF45" i="2" l="1"/>
  <c r="CM45" i="2"/>
  <c r="DG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DH46" i="2" s="1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CM46" i="2" l="1"/>
  <c r="DF46" i="2"/>
  <c r="DG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CM47" i="2" s="1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DH47" i="2" l="1"/>
  <c r="DF47" i="2"/>
  <c r="DG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CM48" i="2" s="1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DH48" i="2" l="1"/>
  <c r="DG48" i="2"/>
  <c r="DF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H49" i="2" s="1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CM49" i="2" l="1"/>
  <c r="DG49" i="2"/>
  <c r="DF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DH50" i="2" l="1"/>
  <c r="DG50" i="2"/>
  <c r="DF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DH51" i="2" s="1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DF51" i="2" l="1"/>
  <c r="DG51" i="2"/>
  <c r="A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DH52" i="2" l="1"/>
  <c r="DG52" i="2"/>
  <c r="DF52" i="2"/>
  <c r="BR52" i="2"/>
  <c r="AU52" i="2"/>
  <c r="CM52" i="2"/>
  <c r="AV52" i="2"/>
  <c r="AW52" i="2"/>
  <c r="AW53" i="2" s="1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DH53" i="2" l="1"/>
  <c r="DG53" i="2"/>
  <c r="DF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DH54" i="2" l="1"/>
  <c r="DG54" i="2"/>
  <c r="DF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H55" i="2" s="1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DG55" i="2" l="1"/>
  <c r="DF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DH56" i="2" l="1"/>
  <c r="DF56" i="2"/>
  <c r="DG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DF57" i="2" s="1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DH57" i="2" l="1"/>
  <c r="DG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DH58" i="2" l="1"/>
  <c r="DG58" i="2"/>
  <c r="DF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H59" i="2" s="1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DF59" i="2" l="1"/>
  <c r="DG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DH60" i="2" s="1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DG60" i="2" l="1"/>
  <c r="DF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DH61" i="2" l="1"/>
  <c r="DF61" i="2"/>
  <c r="DG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DF62" i="2" l="1"/>
  <c r="DH62" i="2"/>
  <c r="DG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F63" i="2" s="1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DG63" i="2" l="1"/>
  <c r="DH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DG64" i="2" l="1"/>
  <c r="DF64" i="2"/>
  <c r="DH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H65" i="2" s="1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DF65" i="2" l="1"/>
  <c r="DG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DH66" i="2" l="1"/>
  <c r="DG66" i="2"/>
  <c r="DF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DH67" i="2" s="1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DF67" i="2" l="1"/>
  <c r="DG67" i="2"/>
  <c r="CM67" i="2"/>
  <c r="BR67" i="2"/>
  <c r="AV67" i="2"/>
  <c r="AW67" i="2"/>
  <c r="AU67" i="2"/>
  <c r="AU68" i="2" s="1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DH68" i="2" s="1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DG68" i="2" l="1"/>
  <c r="DF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G69" i="2" s="1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DH69" i="2" l="1"/>
  <c r="DF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DH70" i="2" s="1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DF70" i="2" l="1"/>
  <c r="DG70" i="2"/>
  <c r="AU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DH71" i="2" l="1"/>
  <c r="DF71" i="2"/>
  <c r="DG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DF72" i="2" l="1"/>
  <c r="DH72" i="2"/>
  <c r="DG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DF73" i="2" s="1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DH73" i="2" l="1"/>
  <c r="DG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DH74" i="2" s="1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DF74" i="2" l="1"/>
  <c r="DG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H75" i="2" s="1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DG75" i="2" l="1"/>
  <c r="DF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DH76" i="2" l="1"/>
  <c r="DF76" i="2"/>
  <c r="DG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DF77" i="2" l="1"/>
  <c r="DG77" i="2"/>
  <c r="DH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DH78" i="2" s="1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DF78" i="2" l="1"/>
  <c r="DG78" i="2"/>
  <c r="AU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DH79" i="2" l="1"/>
  <c r="DG79" i="2"/>
  <c r="DF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H80" i="2" s="1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DG80" i="2" l="1"/>
  <c r="DF80" i="2"/>
  <c r="AU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H81" i="2" s="1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DF81" i="2" l="1"/>
  <c r="DG81" i="2"/>
  <c r="AW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DG82" i="2" l="1"/>
  <c r="DH82" i="2"/>
  <c r="DF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DH83" i="2" l="1"/>
  <c r="DG83" i="2"/>
  <c r="DF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DH84" i="2" s="1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DF84" i="2" l="1"/>
  <c r="DG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DH85" i="2" s="1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DF85" i="2" l="1"/>
  <c r="DG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F86" i="2" s="1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DH86" i="2" s="1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DG86" i="2" l="1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H87" i="2" s="1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DG87" i="2" l="1"/>
  <c r="DF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G88" i="2" s="1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DH88" i="2" l="1"/>
  <c r="DF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DH89" i="2" l="1"/>
  <c r="DG89" i="2"/>
  <c r="DF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BR90" i="2" l="1"/>
  <c r="DF90" i="2"/>
  <c r="DH90" i="2"/>
  <c r="DG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DG91" i="2" l="1"/>
  <c r="DH91" i="2"/>
  <c r="DF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DH92" i="2" l="1"/>
  <c r="DG92" i="2"/>
  <c r="DF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DG93" i="2" s="1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DH93" i="2" l="1"/>
  <c r="DF93" i="2"/>
  <c r="AW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DF94" i="2" s="1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DH94" i="2" s="1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DG94" i="2" l="1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DH95" i="2" l="1"/>
  <c r="DG95" i="2"/>
  <c r="DF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DH96" i="2" l="1"/>
  <c r="DG96" i="2"/>
  <c r="DF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DF97" i="2" l="1"/>
  <c r="DH97" i="2"/>
  <c r="DG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DH98" i="2" l="1"/>
  <c r="DG98" i="2"/>
  <c r="DF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DH99" i="2" s="1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DG99" i="2" l="1"/>
  <c r="DF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DH100" i="2" s="1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DG100" i="2" l="1"/>
  <c r="DF100" i="2"/>
  <c r="AU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DH101" i="2" l="1"/>
  <c r="DF101" i="2"/>
  <c r="DG101" i="2"/>
  <c r="AW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DF102" i="2" s="1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DH102" i="2" s="1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DG102" i="2" l="1"/>
  <c r="BR102" i="2"/>
  <c r="AU102" i="2"/>
  <c r="CM102" i="2"/>
  <c r="AV102" i="2"/>
  <c r="AW102" i="2"/>
  <c r="AW103" i="2" s="1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DH103" i="2" l="1"/>
  <c r="DF103" i="2"/>
  <c r="DG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H104" i="2" s="1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DG104" i="2" l="1"/>
  <c r="DF104" i="2"/>
  <c r="AU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DH105" i="2" l="1"/>
  <c r="DG105" i="2"/>
  <c r="DF105" i="2"/>
  <c r="CM105" i="2"/>
  <c r="BP105" i="2"/>
  <c r="AV105" i="2"/>
  <c r="AW105" i="2"/>
  <c r="AU105" i="2"/>
  <c r="AU106" i="2" s="1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BP106" i="2" l="1"/>
  <c r="DH106" i="2"/>
  <c r="DF106" i="2"/>
  <c r="DG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H107" i="2" s="1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DF107" i="2" l="1"/>
  <c r="DG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DF108" i="2" l="1"/>
  <c r="DH108" i="2"/>
  <c r="DG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DH109" i="2" l="1"/>
  <c r="DG109" i="2"/>
  <c r="DF109" i="2"/>
  <c r="CM109" i="2"/>
  <c r="BQ109" i="2"/>
  <c r="AV109" i="2"/>
  <c r="AW109" i="2"/>
  <c r="AU109" i="2"/>
  <c r="AU110" i="2" s="1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DH110" i="2" s="1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DF110" i="2" l="1"/>
  <c r="DG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DH111" i="2" l="1"/>
  <c r="DF111" i="2"/>
  <c r="DG111" i="2"/>
  <c r="AW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DH112" i="2" l="1"/>
  <c r="DF112" i="2"/>
  <c r="DG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DG113" i="2" l="1"/>
  <c r="DH113" i="2"/>
  <c r="DF113" i="2"/>
  <c r="AW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DG114" i="2" s="1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DH114" i="2" l="1"/>
  <c r="DF114" i="2"/>
  <c r="AU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DH115" i="2" s="1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AW115" i="2" l="1"/>
  <c r="DG115" i="2"/>
  <c r="DF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DH116" i="2" l="1"/>
  <c r="DG116" i="2"/>
  <c r="DF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DH117" i="2" s="1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DF117" i="2" l="1"/>
  <c r="DG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DH118" i="2" s="1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DF118" i="2" l="1"/>
  <c r="DG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DH119" i="2" l="1"/>
  <c r="DG119" i="2"/>
  <c r="DF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DH120" i="2" l="1"/>
  <c r="DF120" i="2"/>
  <c r="DG120" i="2"/>
  <c r="AU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DH121" i="2" l="1"/>
  <c r="DF121" i="2"/>
  <c r="DG121" i="2"/>
  <c r="AW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DH122" i="2" s="1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DF122" i="2" l="1"/>
  <c r="DG122" i="2"/>
  <c r="AU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DH123" i="2" l="1"/>
  <c r="DF123" i="2"/>
  <c r="DG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F124" i="2" s="1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DH124" i="2" l="1"/>
  <c r="DG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DF125" i="2" s="1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DH125" i="2" l="1"/>
  <c r="DG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F126" i="2" s="1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DH126" i="2" l="1"/>
  <c r="DG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DH127" i="2" l="1"/>
  <c r="DF127" i="2"/>
  <c r="DG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BR128" i="2" l="1"/>
  <c r="DH128" i="2"/>
  <c r="DG128" i="2"/>
  <c r="DF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BR129" i="2" s="1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DH129" i="2" l="1"/>
  <c r="DF129" i="2"/>
  <c r="DG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DH130" i="2" s="1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DG130" i="2" l="1"/>
  <c r="DF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DH131" i="2" s="1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DF131" i="2" l="1"/>
  <c r="DG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DH132" i="2" l="1"/>
  <c r="DF132" i="2"/>
  <c r="DG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DH133" i="2" s="1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DG133" i="2" l="1"/>
  <c r="DF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DH134" i="2" l="1"/>
  <c r="DG134" i="2"/>
  <c r="DF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DH135" i="2" l="1"/>
  <c r="DG135" i="2"/>
  <c r="DF135" i="2"/>
  <c r="CM135" i="2"/>
  <c r="BR135" i="2"/>
  <c r="AV135" i="2"/>
  <c r="AW135" i="2"/>
  <c r="AU135" i="2"/>
  <c r="AU136" i="2" s="1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DG136" i="2" l="1"/>
  <c r="DH136" i="2"/>
  <c r="DF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G137" i="2" s="1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DH137" i="2" l="1"/>
  <c r="DF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DH138" i="2" s="1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DF138" i="2" l="1"/>
  <c r="DG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F139" i="2" s="1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DH139" i="2" l="1"/>
  <c r="DG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DF140" i="2" s="1"/>
  <c r="ET140" i="2"/>
  <c r="DD140" i="2"/>
  <c r="DG140" i="2" s="1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DH140" i="2" l="1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H141" i="2" s="1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DF141" i="2" l="1"/>
  <c r="DG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DH142" i="2" s="1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DG142" i="2" l="1"/>
  <c r="DF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H143" i="2" s="1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DG143" i="2" l="1"/>
  <c r="DF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DH144" i="2" l="1"/>
  <c r="DG144" i="2"/>
  <c r="DF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DH145" i="2" l="1"/>
  <c r="DG145" i="2"/>
  <c r="DF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DH146" i="2" l="1"/>
  <c r="DF146" i="2"/>
  <c r="DG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DH147" i="2" s="1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DF147" i="2" l="1"/>
  <c r="DG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DF148" i="2" l="1"/>
  <c r="DH148" i="2"/>
  <c r="DG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DF149" i="2" s="1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DG149" i="2" l="1"/>
  <c r="DH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DH150" i="2" l="1"/>
  <c r="DF150" i="2"/>
  <c r="DG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DF151" i="2" s="1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H151" i="2" s="1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BQ151" i="2" l="1"/>
  <c r="AW151" i="2"/>
  <c r="DG151" i="2"/>
  <c r="BR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DH152" i="2" l="1"/>
  <c r="DG152" i="2"/>
  <c r="DF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DH153" i="2" l="1"/>
  <c r="DF153" i="2"/>
  <c r="DG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Z154" i="2" s="1"/>
  <c r="AC152" i="2"/>
  <c r="AA154" i="2" l="1"/>
  <c r="AC154" i="2" s="1"/>
  <c r="DH154" i="2"/>
  <c r="DF154" i="2"/>
  <c r="DG154" i="2"/>
  <c r="DI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GO154" i="2"/>
  <c r="FT154" i="2"/>
  <c r="D194" i="2"/>
  <c r="G194" i="2" s="1"/>
  <c r="DI153" i="2"/>
  <c r="FT153" i="2"/>
  <c r="CN153" i="2"/>
  <c r="HJ153" i="2"/>
  <c r="GO153" i="2"/>
  <c r="EY153" i="2"/>
  <c r="ED153" i="2"/>
  <c r="AC153" i="2"/>
  <c r="AX151" i="2"/>
  <c r="DF155" i="2" l="1"/>
  <c r="DH155" i="2"/>
  <c r="DG155" i="2"/>
  <c r="DI155" i="2" s="1"/>
  <c r="AW155" i="2"/>
  <c r="Z155" i="2"/>
  <c r="CN154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GO155" i="2"/>
  <c r="ED155" i="2"/>
  <c r="AX152" i="2"/>
  <c r="AB156" i="2" l="1"/>
  <c r="DF156" i="2"/>
  <c r="DH156" i="2"/>
  <c r="DG156" i="2"/>
  <c r="CN155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H157" i="2" s="1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DG157" i="2" l="1"/>
  <c r="DF157" i="2"/>
  <c r="DI157" i="2" s="1"/>
  <c r="CN156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DG158" i="2" s="1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DH158" i="2" l="1"/>
  <c r="DF158" i="2"/>
  <c r="DI158" i="2" s="1"/>
  <c r="AU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DG159" i="2" s="1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ED158" i="2"/>
  <c r="D198" i="2"/>
  <c r="G198" i="2" s="1"/>
  <c r="DH159" i="2" l="1"/>
  <c r="DF159" i="2"/>
  <c r="DI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ED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DH160" i="2" s="1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DF160" i="2" l="1"/>
  <c r="AU160" i="2"/>
  <c r="CM160" i="2"/>
  <c r="BR160" i="2"/>
  <c r="AV160" i="2"/>
  <c r="AW160" i="2"/>
  <c r="AW161" i="2" s="1"/>
  <c r="BQ160" i="2"/>
  <c r="BP160" i="2"/>
  <c r="CL160" i="2"/>
  <c r="CK160" i="2"/>
  <c r="CN159" i="2"/>
  <c r="FT159" i="2"/>
  <c r="GO159" i="2"/>
  <c r="Z160" i="2"/>
  <c r="AC159" i="2"/>
  <c r="HJ159" i="2"/>
  <c r="ED160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DG161" i="2" s="1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DF161" i="2" l="1"/>
  <c r="DI161" i="2" s="1"/>
  <c r="DH161" i="2"/>
  <c r="AB161" i="2"/>
  <c r="CN160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DG162" i="2" s="1"/>
  <c r="CJ162" i="2"/>
  <c r="DM162" i="2"/>
  <c r="DE162" i="2"/>
  <c r="DX162" i="2"/>
  <c r="DC162" i="2"/>
  <c r="DF162" i="2" s="1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ED161" i="2"/>
  <c r="DH162" i="2" l="1"/>
  <c r="AU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DH163" i="2" s="1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DG163" i="2" l="1"/>
  <c r="DF163" i="2"/>
  <c r="DI163" i="2" s="1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DG164" i="2" s="1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F164" i="2" l="1"/>
  <c r="DI164" i="2" s="1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DH165" i="2" s="1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DF165" i="2" l="1"/>
  <c r="DG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DF166" i="2" s="1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DG166" i="2" s="1"/>
  <c r="CI166" i="2"/>
  <c r="BB166" i="2"/>
  <c r="CJ166" i="2"/>
  <c r="X166" i="2"/>
  <c r="BK166" i="2"/>
  <c r="U166" i="2"/>
  <c r="BN166" i="2"/>
  <c r="W166" i="2"/>
  <c r="L166" i="2"/>
  <c r="EY165" i="2"/>
  <c r="AX163" i="2"/>
  <c r="DH166" i="2" l="1"/>
  <c r="CN165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DF167" i="2" s="1"/>
  <c r="BW167" i="2"/>
  <c r="AT167" i="2"/>
  <c r="X167" i="2"/>
  <c r="CI167" i="2"/>
  <c r="AX164" i="2"/>
  <c r="DI166" i="2"/>
  <c r="DH167" i="2" l="1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DF168" i="2" s="1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/>
  <c r="DH168" i="2" l="1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DF169" i="2" s="1"/>
  <c r="CI169" i="2"/>
  <c r="ET169" i="2"/>
  <c r="DL169" i="2"/>
  <c r="DD169" i="2"/>
  <c r="DG169" i="2" s="1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DI168" i="2"/>
  <c r="DH169" i="2" l="1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DH170" i="2" s="1"/>
  <c r="BN170" i="2"/>
  <c r="BO170" i="2"/>
  <c r="X170" i="2"/>
  <c r="CF170" i="2"/>
  <c r="Y170" i="2"/>
  <c r="AQ170" i="2"/>
  <c r="AX167" i="2"/>
  <c r="DF170" i="2" l="1"/>
  <c r="DG170" i="2"/>
  <c r="CN169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DH171" i="2" s="1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DI170" i="2" l="1"/>
  <c r="DF171" i="2"/>
  <c r="DG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DG172" i="2" l="1"/>
  <c r="DH172" i="2"/>
  <c r="DF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DG173" i="2" s="1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CL173" i="2" s="1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DF173" i="2" l="1"/>
  <c r="DH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DH174" i="2" s="1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DI173" i="2" l="1"/>
  <c r="DG174" i="2"/>
  <c r="DF174" i="2"/>
  <c r="DI174" i="2" s="1"/>
  <c r="CL174" i="2"/>
  <c r="CM174" i="2"/>
  <c r="BR174" i="2"/>
  <c r="AV174" i="2"/>
  <c r="AU174" i="2"/>
  <c r="AW174" i="2"/>
  <c r="BQ174" i="2"/>
  <c r="BP174" i="2"/>
  <c r="CK174" i="2"/>
  <c r="CN174" i="2" s="1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G175" i="2" s="1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DF175" i="2" l="1"/>
  <c r="DH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DH176" i="2" l="1"/>
  <c r="DF176" i="2"/>
  <c r="DG176" i="2"/>
  <c r="DI175" i="2"/>
  <c r="CN175" i="2"/>
  <c r="AU176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DH177" i="2" l="1"/>
  <c r="DF177" i="2"/>
  <c r="DG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7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DH178" i="2" s="1"/>
  <c r="CH178" i="2"/>
  <c r="BM178" i="2"/>
  <c r="BA178" i="2"/>
  <c r="DC178" i="2"/>
  <c r="DF178" i="2" s="1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DG178" i="2" l="1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H179" i="2" s="1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G179" i="2" l="1"/>
  <c r="DF179" i="2"/>
  <c r="AW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DG180" i="2" l="1"/>
  <c r="DI179" i="2"/>
  <c r="DF180" i="2"/>
  <c r="DH180" i="2"/>
  <c r="CN179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AU181" i="2" l="1"/>
  <c r="DI180" i="2"/>
  <c r="DG181" i="2"/>
  <c r="DH181" i="2"/>
  <c r="DF181" i="2"/>
  <c r="CN180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AW182" i="2" l="1"/>
  <c r="DG182" i="2"/>
  <c r="DF182" i="2"/>
  <c r="DH182" i="2"/>
  <c r="DI182" i="2" s="1"/>
  <c r="AB182" i="2"/>
  <c r="CN181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DG183" i="2" s="1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DF183" i="2" s="1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DH183" i="2" l="1"/>
  <c r="DI183" i="2" s="1"/>
  <c r="CM183" i="2"/>
  <c r="AV183" i="2"/>
  <c r="AU183" i="2"/>
  <c r="AW183" i="2"/>
  <c r="AW184" i="2" s="1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DF184" i="2" l="1"/>
  <c r="DH184" i="2"/>
  <c r="DG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DI184" i="2" l="1"/>
  <c r="DH185" i="2"/>
  <c r="DG185" i="2"/>
  <c r="DF185" i="2"/>
  <c r="AU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ED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DH186" i="2" l="1"/>
  <c r="DI185" i="2"/>
  <c r="DF186" i="2"/>
  <c r="DG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DH187" i="2" s="1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B187" i="2" s="1"/>
  <c r="EY186" i="2"/>
  <c r="AX184" i="2"/>
  <c r="DI186" i="2" l="1"/>
  <c r="DF187" i="2"/>
  <c r="DG187" i="2"/>
  <c r="CM187" i="2"/>
  <c r="BQ187" i="2"/>
  <c r="BR187" i="2"/>
  <c r="AV187" i="2"/>
  <c r="AU187" i="2"/>
  <c r="AW187" i="2"/>
  <c r="BP187" i="2"/>
  <c r="CK187" i="2"/>
  <c r="CL187" i="2"/>
  <c r="CN186" i="2"/>
  <c r="ED187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DH188" i="2" s="1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DF188" i="2" l="1"/>
  <c r="DI187" i="2"/>
  <c r="DG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DF189" i="2" s="1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DH189" i="2" l="1"/>
  <c r="DG189" i="2"/>
  <c r="CM189" i="2"/>
  <c r="AV189" i="2"/>
  <c r="AU189" i="2"/>
  <c r="AW189" i="2"/>
  <c r="BR189" i="2"/>
  <c r="BP189" i="2"/>
  <c r="BQ189" i="2"/>
  <c r="CL189" i="2"/>
  <c r="CK189" i="2"/>
  <c r="CN189" i="2" s="1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DH190" i="2" l="1"/>
  <c r="DG190" i="2"/>
  <c r="DF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DF191" i="2" l="1"/>
  <c r="DG191" i="2"/>
  <c r="DH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DG192" i="2" s="1"/>
  <c r="CF192" i="2"/>
  <c r="BB192" i="2"/>
  <c r="BL192" i="2"/>
  <c r="CG192" i="2"/>
  <c r="U192" i="2"/>
  <c r="V192" i="2"/>
  <c r="EY191" i="2"/>
  <c r="AX189" i="2"/>
  <c r="AW192" i="2" l="1"/>
  <c r="DI191" i="2"/>
  <c r="DH192" i="2"/>
  <c r="DF192" i="2"/>
  <c r="DI192" i="2" s="1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H193" i="2" l="1"/>
  <c r="CN192" i="2"/>
  <c r="DF193" i="2"/>
  <c r="DG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DH194" i="2" s="1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DI193" i="2" l="1"/>
  <c r="DG194" i="2"/>
  <c r="DF194" i="2"/>
  <c r="CN193" i="2"/>
  <c r="AW194" i="2"/>
  <c r="CM194" i="2"/>
  <c r="AV194" i="2"/>
  <c r="AU194" i="2"/>
  <c r="BR194" i="2"/>
  <c r="BQ194" i="2"/>
  <c r="BP194" i="2"/>
  <c r="CL194" i="2"/>
  <c r="CK194" i="2"/>
  <c r="FT193" i="2"/>
  <c r="GO193" i="2"/>
  <c r="HJ193" i="2"/>
  <c r="EY194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DF195" i="2" l="1"/>
  <c r="DG195" i="2"/>
  <c r="CN194" i="2"/>
  <c r="AU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DG196" i="2" l="1"/>
  <c r="DH196" i="2"/>
  <c r="DF196" i="2"/>
  <c r="DI196" i="2" s="1"/>
  <c r="AW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DG197" i="2" s="1"/>
  <c r="AQ197" i="2"/>
  <c r="AA196" i="2"/>
  <c r="AX194" i="2"/>
  <c r="ED196" i="2"/>
  <c r="AA197" i="2" l="1"/>
  <c r="DH197" i="2"/>
  <c r="DF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DH198" i="2" s="1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DG198" i="2" s="1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AW198" i="2" l="1"/>
  <c r="DF198" i="2"/>
  <c r="DI198" i="2" s="1"/>
  <c r="AC197" i="2"/>
  <c r="Z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H199" i="2" s="1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DF199" i="2" l="1"/>
  <c r="DG199" i="2"/>
  <c r="AU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BX4" i="2" a="1"/>
  <c r="BX4" i="2" s="1"/>
  <c r="BY4" i="2" s="1"/>
  <c r="AA199" i="2"/>
  <c r="AX197" i="2"/>
  <c r="DG200" i="2" l="1"/>
  <c r="DH200" i="2"/>
  <c r="DF200" i="2"/>
  <c r="DI200" i="2" s="1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CM201" i="2" s="1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ED200" i="2"/>
  <c r="DH201" i="2" l="1"/>
  <c r="DF201" i="2"/>
  <c r="DG201" i="2"/>
  <c r="AC200" i="2"/>
  <c r="CN200" i="2"/>
  <c r="CL201" i="2"/>
  <c r="CK201" i="2"/>
  <c r="CN201" i="2" s="1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DH202" i="2" s="1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CM202" i="2" l="1"/>
  <c r="DF202" i="2"/>
  <c r="DG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67" i="2" s="1" a="1"/>
  <c r="BX67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2" i="2" s="1" a="1"/>
  <c r="CS52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CM203" i="2" s="1"/>
  <c r="U203" i="2"/>
  <c r="CJ203" i="2"/>
  <c r="AG203" i="2"/>
  <c r="AH136" i="2" s="1" a="1"/>
  <c r="AH136" i="2" s="1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155" i="2" a="1"/>
  <c r="AH155" i="2" s="1"/>
  <c r="AH198" i="2" a="1"/>
  <c r="AH198" i="2" s="1"/>
  <c r="AH83" i="2" a="1"/>
  <c r="AH83" i="2" s="1"/>
  <c r="CS27" i="2" a="1"/>
  <c r="CS27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196" i="2" a="1"/>
  <c r="BC196" i="2" s="1"/>
  <c r="BC15" i="2" a="1"/>
  <c r="BC15" i="2" s="1"/>
  <c r="BC146" i="2" a="1"/>
  <c r="BC146" i="2" s="1"/>
  <c r="BC68" i="2" a="1"/>
  <c r="BC68" i="2" s="1"/>
  <c r="BC71" i="2" a="1"/>
  <c r="BC71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BX163" i="2" a="1"/>
  <c r="BX163" i="2" s="1"/>
  <c r="BX158" i="2" a="1"/>
  <c r="BX158" i="2" s="1"/>
  <c r="BX125" i="2" a="1"/>
  <c r="BX125" i="2" s="1"/>
  <c r="BX73" i="2" a="1"/>
  <c r="BX73" i="2" s="1"/>
  <c r="BX142" i="2" a="1"/>
  <c r="BX142" i="2" s="1"/>
  <c r="BX96" i="2" a="1"/>
  <c r="BX96" i="2" s="1"/>
  <c r="AH157" i="2" a="1"/>
  <c r="AH157" i="2" s="1"/>
  <c r="DN103" i="2" a="1"/>
  <c r="DN103" i="2" s="1"/>
  <c r="DN114" i="2" a="1"/>
  <c r="DN114" i="2" s="1"/>
  <c r="BX8" i="2" a="1"/>
  <c r="BX8" i="2" s="1"/>
  <c r="AH90" i="2" a="1"/>
  <c r="AH90" i="2" s="1"/>
  <c r="AH89" i="2" a="1"/>
  <c r="AH89" i="2" s="1"/>
  <c r="AH146" i="2" a="1"/>
  <c r="AH146" i="2" s="1"/>
  <c r="AH144" i="2" a="1"/>
  <c r="AH144" i="2" s="1"/>
  <c r="AH166" i="2" a="1"/>
  <c r="AH166" i="2" s="1"/>
  <c r="AH199" i="2" a="1"/>
  <c r="AH199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72" i="2" a="1"/>
  <c r="BX72" i="2" s="1"/>
  <c r="BX66" i="2" a="1"/>
  <c r="BX66" i="2" s="1"/>
  <c r="BX58" i="2" a="1"/>
  <c r="BX58" i="2" s="1"/>
  <c r="BX155" i="2" a="1"/>
  <c r="BX155" i="2" s="1"/>
  <c r="BX159" i="2" a="1"/>
  <c r="BX159" i="2" s="1"/>
  <c r="BX36" i="2" a="1"/>
  <c r="BX36" i="2" s="1"/>
  <c r="BX80" i="2" a="1"/>
  <c r="BX80" i="2" s="1"/>
  <c r="BX51" i="2" a="1"/>
  <c r="BX51" i="2" s="1"/>
  <c r="FD82" i="2" a="1"/>
  <c r="FD82" i="2" s="1"/>
  <c r="DN187" i="2" a="1"/>
  <c r="DN187" i="2" s="1"/>
  <c r="HJ202" i="2"/>
  <c r="EY202" i="2"/>
  <c r="AX200" i="2"/>
  <c r="CS114" i="2" l="1" a="1"/>
  <c r="CS114" i="2" s="1"/>
  <c r="CS133" i="2" a="1"/>
  <c r="CS133" i="2" s="1"/>
  <c r="CS58" i="2" a="1"/>
  <c r="CS58" i="2" s="1"/>
  <c r="CS77" i="2" a="1"/>
  <c r="CS77" i="2" s="1"/>
  <c r="CS120" i="2" a="1"/>
  <c r="CS120" i="2" s="1"/>
  <c r="BQ203" i="2"/>
  <c r="BX65" i="2" a="1"/>
  <c r="BX65" i="2" s="1"/>
  <c r="BX50" i="2" a="1"/>
  <c r="BX50" i="2" s="1"/>
  <c r="BX76" i="2" a="1"/>
  <c r="BX76" i="2" s="1"/>
  <c r="BX41" i="2" a="1"/>
  <c r="BX41" i="2" s="1"/>
  <c r="BX117" i="2" a="1"/>
  <c r="BX117" i="2" s="1"/>
  <c r="BX29" i="2" a="1"/>
  <c r="BX29" i="2" s="1"/>
  <c r="BX146" i="2" a="1"/>
  <c r="BX146" i="2" s="1"/>
  <c r="BX63" i="2" a="1"/>
  <c r="BX63" i="2" s="1"/>
  <c r="BX79" i="2" a="1"/>
  <c r="BX79" i="2" s="1"/>
  <c r="BX177" i="2" a="1"/>
  <c r="BX177" i="2" s="1"/>
  <c r="BX157" i="2" a="1"/>
  <c r="BX157" i="2" s="1"/>
  <c r="BX136" i="2" a="1"/>
  <c r="BX136" i="2" s="1"/>
  <c r="BX59" i="2" a="1"/>
  <c r="BX59" i="2" s="1"/>
  <c r="BX100" i="2" a="1"/>
  <c r="BX100" i="2" s="1"/>
  <c r="BX182" i="2" a="1"/>
  <c r="BX182" i="2" s="1"/>
  <c r="BX110" i="2" a="1"/>
  <c r="BX110" i="2" s="1"/>
  <c r="BX197" i="2" a="1"/>
  <c r="BX197" i="2" s="1"/>
  <c r="BX54" i="2" a="1"/>
  <c r="BX54" i="2" s="1"/>
  <c r="BX7" i="2" a="1"/>
  <c r="BX7" i="2" s="1"/>
  <c r="BX174" i="2" a="1"/>
  <c r="BX174" i="2" s="1"/>
  <c r="BX113" i="2" a="1"/>
  <c r="BX113" i="2" s="1"/>
  <c r="BX9" i="2" a="1"/>
  <c r="BX9" i="2" s="1"/>
  <c r="BX17" i="2" a="1"/>
  <c r="BX17" i="2" s="1"/>
  <c r="BX171" i="2" a="1"/>
  <c r="BX171" i="2" s="1"/>
  <c r="BX201" i="2" a="1"/>
  <c r="BX201" i="2" s="1"/>
  <c r="BX119" i="2" a="1"/>
  <c r="BX119" i="2" s="1"/>
  <c r="BX176" i="2" a="1"/>
  <c r="BX176" i="2" s="1"/>
  <c r="BX55" i="2" a="1"/>
  <c r="BX55" i="2" s="1"/>
  <c r="BX150" i="2" a="1"/>
  <c r="BX150" i="2" s="1"/>
  <c r="BX107" i="2" a="1"/>
  <c r="BX107" i="2" s="1"/>
  <c r="BX152" i="2" a="1"/>
  <c r="BX152" i="2" s="1"/>
  <c r="BX12" i="2" a="1"/>
  <c r="BX12" i="2" s="1"/>
  <c r="AH56" i="2" a="1"/>
  <c r="AH56" i="2" s="1"/>
  <c r="AH37" i="2" a="1"/>
  <c r="AH37" i="2" s="1"/>
  <c r="AH163" i="2" a="1"/>
  <c r="AH163" i="2" s="1"/>
  <c r="AH186" i="2" a="1"/>
  <c r="AH186" i="2" s="1"/>
  <c r="AH201" i="2" a="1"/>
  <c r="AH201" i="2" s="1"/>
  <c r="AH17" i="2" a="1"/>
  <c r="AH17" i="2" s="1"/>
  <c r="AH19" i="2" a="1"/>
  <c r="AH19" i="2" s="1"/>
  <c r="AH79" i="2" a="1"/>
  <c r="AH79" i="2" s="1"/>
  <c r="AH143" i="2" a="1"/>
  <c r="AH143" i="2" s="1"/>
  <c r="AH14" i="2" a="1"/>
  <c r="AH14" i="2" s="1"/>
  <c r="AH38" i="2" a="1"/>
  <c r="AH38" i="2" s="1"/>
  <c r="AH140" i="2" a="1"/>
  <c r="AH140" i="2" s="1"/>
  <c r="AH151" i="2" a="1"/>
  <c r="AH151" i="2" s="1"/>
  <c r="AH92" i="2" a="1"/>
  <c r="AH92" i="2" s="1"/>
  <c r="AH162" i="2" a="1"/>
  <c r="AH162" i="2" s="1"/>
  <c r="AH185" i="2" a="1"/>
  <c r="AH185" i="2" s="1"/>
  <c r="AH197" i="2" a="1"/>
  <c r="AH197" i="2" s="1"/>
  <c r="DH203" i="2"/>
  <c r="DG203" i="2"/>
  <c r="DF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0" i="4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1" i="4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T34" i="2"/>
  <c r="CU33" i="2"/>
  <c r="CV33" i="2" s="1"/>
  <c r="CW33" i="2" s="1"/>
  <c r="CX33" i="2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CY172" i="2"/>
  <c r="CY21" i="2"/>
  <c r="CY130" i="2"/>
  <c r="CY74" i="2"/>
  <c r="CY93" i="2"/>
  <c r="CY26" i="2"/>
  <c r="CY80" i="2"/>
  <c r="CY47" i="2"/>
  <c r="CY85" i="2"/>
  <c r="CY201" i="2"/>
  <c r="CY175" i="2"/>
  <c r="CY176" i="2"/>
  <c r="CY70" i="2"/>
  <c r="CY62" i="2"/>
  <c r="CY4" i="2"/>
  <c r="CY164" i="2"/>
  <c r="CY7" i="2"/>
  <c r="CY168" i="2"/>
  <c r="CY51" i="2"/>
  <c r="CY66" i="2"/>
  <c r="CY69" i="2"/>
  <c r="CY10" i="2"/>
  <c r="CY39" i="2"/>
  <c r="CY68" i="2"/>
  <c r="CY73" i="2"/>
  <c r="CY60" i="2"/>
  <c r="CY107" i="2"/>
  <c r="CY6" i="2"/>
  <c r="CY117" i="2"/>
  <c r="CY13" i="2"/>
  <c r="CY109" i="2"/>
  <c r="CY24" i="2"/>
  <c r="CY152" i="2"/>
  <c r="CY44" i="2"/>
  <c r="CY137" i="2"/>
  <c r="CY91" i="2"/>
  <c r="CY174" i="2"/>
  <c r="CY18" i="2"/>
  <c r="CY81" i="2"/>
  <c r="CY187" i="2"/>
  <c r="CY75" i="2"/>
  <c r="CY194" i="2"/>
  <c r="CY9" i="2"/>
  <c r="CY193" i="2"/>
  <c r="CY22" i="2"/>
  <c r="CY101" i="2"/>
  <c r="CY147" i="2"/>
  <c r="CY203" i="2"/>
  <c r="CY40" i="2"/>
  <c r="CY195" i="2"/>
  <c r="CY83" i="2"/>
  <c r="CY77" i="2"/>
  <c r="CY45" i="2"/>
  <c r="CY36" i="2"/>
  <c r="CY127" i="2"/>
  <c r="CY88" i="2"/>
  <c r="CY119" i="2"/>
  <c r="CY25" i="2"/>
  <c r="CY183" i="2"/>
  <c r="CY196" i="2"/>
  <c r="CY184" i="2"/>
  <c r="CY54" i="2"/>
  <c r="CY160" i="2"/>
  <c r="CY78" i="2"/>
  <c r="CY67" i="2"/>
  <c r="CY171" i="2"/>
  <c r="CY169" i="2"/>
  <c r="CY163" i="2"/>
  <c r="CY14" i="2"/>
  <c r="CY65" i="2"/>
  <c r="CY82" i="2"/>
  <c r="CY84" i="2"/>
  <c r="CY113" i="2"/>
  <c r="CY8" i="2"/>
  <c r="CY118" i="2"/>
  <c r="CY5" i="2"/>
  <c r="CY42" i="2"/>
  <c r="CY157" i="2"/>
  <c r="CY178" i="2"/>
  <c r="CY140" i="2"/>
  <c r="CY202" i="2"/>
  <c r="CY182" i="2"/>
  <c r="CY29" i="2"/>
  <c r="CY129" i="2"/>
  <c r="CY71" i="2"/>
  <c r="CY188" i="2"/>
  <c r="CY49" i="2"/>
  <c r="CY27" i="2"/>
  <c r="CY106" i="2"/>
  <c r="CY53" i="2"/>
  <c r="CY35" i="2"/>
  <c r="CY34" i="2"/>
  <c r="CY23" i="2"/>
  <c r="CY185" i="2"/>
  <c r="CY167" i="2"/>
  <c r="CY165" i="2"/>
  <c r="CY30" i="2"/>
  <c r="CY156" i="2"/>
  <c r="CY112" i="2"/>
  <c r="CY64" i="2"/>
  <c r="CY161" i="2"/>
  <c r="CY132" i="2"/>
  <c r="CY20" i="2"/>
  <c r="CY170" i="2"/>
  <c r="CY55" i="2"/>
  <c r="CY57" i="2"/>
  <c r="CY148" i="2"/>
  <c r="CY136" i="2"/>
  <c r="CY124" i="2"/>
  <c r="CY145" i="2"/>
  <c r="CY151" i="2"/>
  <c r="CY58" i="2"/>
  <c r="CY121" i="2"/>
  <c r="CY159" i="2"/>
  <c r="CY126" i="2"/>
  <c r="CY115" i="2"/>
  <c r="CY33" i="2"/>
  <c r="CY97" i="2"/>
  <c r="CY192" i="2"/>
  <c r="CY153" i="2"/>
  <c r="CY134" i="2"/>
  <c r="CY197" i="2"/>
  <c r="CY38" i="2"/>
  <c r="CY138" i="2"/>
  <c r="CY86" i="2"/>
  <c r="CY162" i="2"/>
  <c r="CY122" i="2"/>
  <c r="CY15" i="2"/>
  <c r="CY41" i="2"/>
  <c r="CY158" i="2"/>
  <c r="CY48" i="2"/>
  <c r="CY180" i="2"/>
  <c r="CY11" i="2"/>
  <c r="CY16" i="2"/>
  <c r="CY63" i="2"/>
  <c r="CY87" i="2"/>
  <c r="CY155" i="2"/>
  <c r="CY149" i="2"/>
  <c r="CY79" i="2"/>
  <c r="CY125" i="2"/>
  <c r="CY111" i="2"/>
  <c r="CY173" i="2"/>
  <c r="CY56" i="2"/>
  <c r="CY141" i="2"/>
  <c r="CY181" i="2"/>
  <c r="CY144" i="2"/>
  <c r="CY99" i="2"/>
  <c r="CY96" i="2"/>
  <c r="CY95" i="2"/>
  <c r="CY94" i="2"/>
  <c r="CY72" i="2"/>
  <c r="CY116" i="2"/>
  <c r="CY19" i="2"/>
  <c r="CY59" i="2"/>
  <c r="CY100" i="2"/>
  <c r="CY108" i="2"/>
  <c r="CY139" i="2"/>
  <c r="CY32" i="2"/>
  <c r="CY166" i="2"/>
  <c r="CY103" i="2"/>
  <c r="CY190" i="2"/>
  <c r="CY186" i="2"/>
  <c r="CY135" i="2"/>
  <c r="CY150" i="2"/>
  <c r="CY179" i="2"/>
  <c r="CY52" i="2"/>
  <c r="CY37" i="2"/>
  <c r="CY102" i="2"/>
  <c r="CY131" i="2"/>
  <c r="CY46" i="2"/>
  <c r="CY114" i="2"/>
  <c r="CY50" i="2"/>
  <c r="CY123" i="2"/>
  <c r="CY142" i="2"/>
  <c r="CY200" i="2"/>
  <c r="CY31" i="2"/>
  <c r="CY105" i="2"/>
  <c r="CY12" i="2"/>
  <c r="CY143" i="2"/>
  <c r="CY98" i="2"/>
  <c r="CY177" i="2"/>
  <c r="CY198" i="2"/>
  <c r="CY133" i="2"/>
  <c r="CY110" i="2"/>
  <c r="CY92" i="2"/>
  <c r="CY154" i="2"/>
  <c r="CY28" i="2"/>
  <c r="CY191" i="2"/>
  <c r="CY146" i="2"/>
  <c r="CY104" i="2"/>
  <c r="CY76" i="2"/>
  <c r="CY90" i="2"/>
  <c r="CY189" i="2"/>
  <c r="CY61" i="2"/>
  <c r="CY120" i="2"/>
  <c r="CY17" i="2"/>
  <c r="CY199" i="2"/>
  <c r="CY43" i="2"/>
  <c r="CY89" i="2"/>
  <c r="CY128" i="2"/>
  <c r="CY3" i="2"/>
  <c r="C10" i="4" s="1"/>
  <c r="E10" i="4" s="1"/>
  <c r="F10" i="4" s="1"/>
  <c r="G10" i="4" s="1"/>
  <c r="L10" i="4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CD131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CD83" i="2" l="1"/>
  <c r="CD172" i="2"/>
  <c r="CD115" i="2"/>
  <c r="CD149" i="2"/>
  <c r="CD54" i="2"/>
  <c r="CD63" i="2"/>
  <c r="CD7" i="2"/>
  <c r="CD187" i="2"/>
  <c r="CD202" i="2"/>
  <c r="CD135" i="2"/>
  <c r="CD64" i="2"/>
  <c r="CD21" i="2"/>
  <c r="CD107" i="2"/>
  <c r="CD29" i="2"/>
  <c r="CD72" i="2"/>
  <c r="CD161" i="2"/>
  <c r="CD118" i="2"/>
  <c r="CD165" i="2"/>
  <c r="CD4" i="2"/>
  <c r="CD143" i="2"/>
  <c r="CD195" i="2"/>
  <c r="CD125" i="2"/>
  <c r="CD12" i="2"/>
  <c r="CD57" i="2"/>
  <c r="CD81" i="2"/>
  <c r="CD194" i="2"/>
  <c r="CD48" i="2"/>
  <c r="CD61" i="2"/>
  <c r="CD35" i="2"/>
  <c r="CD17" i="2"/>
  <c r="CD179" i="2"/>
  <c r="CD85" i="2"/>
  <c r="CD47" i="2"/>
  <c r="CD24" i="2"/>
  <c r="CD91" i="2"/>
  <c r="CD23" i="2"/>
  <c r="CD169" i="2"/>
  <c r="CD56" i="2"/>
  <c r="CD27" i="2"/>
  <c r="CD44" i="2"/>
  <c r="CD26" i="2"/>
  <c r="CD178" i="2"/>
  <c r="CD78" i="2"/>
  <c r="CD126" i="2"/>
  <c r="CD5" i="2"/>
  <c r="CD136" i="2"/>
  <c r="CD203" i="2"/>
  <c r="CD99" i="2"/>
  <c r="CD141" i="2"/>
  <c r="CD31" i="2"/>
  <c r="CD10" i="2"/>
  <c r="CD148" i="2"/>
  <c r="CD67" i="2"/>
  <c r="CD30" i="2"/>
  <c r="CD197" i="2"/>
  <c r="CD130" i="2"/>
  <c r="CD94" i="2"/>
  <c r="CD138" i="2"/>
  <c r="CD55" i="2"/>
  <c r="CD150" i="2"/>
  <c r="CD77" i="2"/>
  <c r="CD154" i="2"/>
  <c r="CD133" i="2"/>
  <c r="CD170" i="2"/>
  <c r="CD168" i="2"/>
  <c r="CD142" i="2"/>
  <c r="CD74" i="2"/>
  <c r="CD60" i="2"/>
  <c r="CD174" i="2"/>
  <c r="CD177" i="2"/>
  <c r="CD185" i="2"/>
  <c r="CD65" i="2"/>
  <c r="CD86" i="2"/>
  <c r="CD166" i="2"/>
  <c r="CD97" i="2"/>
  <c r="CD103" i="2"/>
  <c r="CD100" i="2"/>
  <c r="CD37" i="2"/>
  <c r="CD68" i="2"/>
  <c r="CD164" i="2"/>
  <c r="CD171" i="2"/>
  <c r="CD92" i="2"/>
  <c r="CD124" i="2"/>
  <c r="CD193" i="2"/>
  <c r="CD113" i="2"/>
  <c r="CD46" i="2"/>
  <c r="CD123" i="2"/>
  <c r="CD111" i="2"/>
  <c r="CD3" i="2"/>
  <c r="C9" i="4" s="1"/>
  <c r="E9" i="4" s="1"/>
  <c r="F9" i="4" s="1"/>
  <c r="G9" i="4" s="1"/>
  <c r="L9" i="4" s="1"/>
  <c r="CD93" i="2"/>
  <c r="CD184" i="2"/>
  <c r="CD162" i="2"/>
  <c r="CD42" i="2"/>
  <c r="CD112" i="2"/>
  <c r="CD95" i="2"/>
  <c r="CD43" i="2"/>
  <c r="CD109" i="2"/>
  <c r="CD79" i="2"/>
  <c r="CD160" i="2"/>
  <c r="CD8" i="2"/>
  <c r="CD137" i="2"/>
  <c r="CD116" i="2"/>
  <c r="CD76" i="2"/>
  <c r="CD11" i="2"/>
  <c r="CD45" i="2"/>
  <c r="CD14" i="2"/>
  <c r="CD201" i="2"/>
  <c r="CD199" i="2"/>
  <c r="CD181" i="2"/>
  <c r="CD53" i="2"/>
  <c r="CD121" i="2"/>
  <c r="CD157" i="2"/>
  <c r="CD6" i="2"/>
  <c r="CD90" i="2"/>
  <c r="CD122" i="2"/>
  <c r="CD189" i="2"/>
  <c r="CD75" i="2"/>
  <c r="CD176" i="2"/>
  <c r="CD15" i="2"/>
  <c r="CD73" i="2"/>
  <c r="CD134" i="2"/>
  <c r="CD25" i="2"/>
  <c r="CD188" i="2"/>
  <c r="CD52" i="2"/>
  <c r="CD18" i="2"/>
  <c r="CD51" i="2"/>
  <c r="CD191" i="2"/>
  <c r="CD82" i="2"/>
  <c r="CD89" i="2"/>
  <c r="CD71" i="2"/>
  <c r="CD147" i="2"/>
  <c r="CD66" i="2"/>
  <c r="CD59" i="2"/>
  <c r="CD110" i="2"/>
  <c r="CD19" i="2"/>
  <c r="CD167" i="2"/>
  <c r="CD62" i="2"/>
  <c r="CD105" i="2"/>
  <c r="CD108" i="2"/>
  <c r="CD186" i="2"/>
  <c r="CD96" i="2"/>
  <c r="CD33" i="2"/>
  <c r="CD87" i="2"/>
  <c r="CD40" i="2"/>
  <c r="CD200" i="2"/>
  <c r="CD80" i="2"/>
  <c r="CD41" i="2"/>
  <c r="CD120" i="2"/>
  <c r="CD28" i="2"/>
  <c r="CD153" i="2"/>
  <c r="CD20" i="2"/>
  <c r="CD182" i="2"/>
  <c r="CD159" i="2"/>
  <c r="CD163" i="2"/>
  <c r="CD152" i="2"/>
  <c r="CD183" i="2"/>
  <c r="CD16" i="2"/>
  <c r="CD114" i="2"/>
  <c r="CD50" i="2"/>
  <c r="CD104" i="2"/>
  <c r="CD129" i="2"/>
  <c r="CD101" i="2"/>
  <c r="CD155" i="2"/>
  <c r="CD156" i="2"/>
  <c r="CD22" i="2"/>
  <c r="CD173" i="2"/>
  <c r="CD102" i="2"/>
  <c r="CD192" i="2"/>
  <c r="CD132" i="2"/>
  <c r="CD140" i="2"/>
  <c r="CD190" i="2"/>
  <c r="CD70" i="2"/>
  <c r="CD127" i="2"/>
  <c r="CD180" i="2"/>
  <c r="CD88" i="2"/>
  <c r="CD36" i="2"/>
  <c r="CD32" i="2"/>
  <c r="CD9" i="2"/>
  <c r="CD119" i="2"/>
  <c r="CD34" i="2"/>
  <c r="CD145" i="2"/>
  <c r="CD139" i="2"/>
  <c r="CD158" i="2"/>
  <c r="CD128" i="2"/>
  <c r="CD196" i="2"/>
  <c r="CD58" i="2"/>
  <c r="CD198" i="2"/>
  <c r="CD13" i="2"/>
  <c r="CD144" i="2"/>
  <c r="CD151" i="2"/>
  <c r="CD84" i="2"/>
  <c r="CD146" i="2"/>
  <c r="CD49" i="2"/>
  <c r="CD69" i="2"/>
  <c r="CD98" i="2"/>
  <c r="CD106" i="2"/>
  <c r="CD38" i="2"/>
  <c r="CD117" i="2"/>
  <c r="CD175" i="2"/>
  <c r="CD39" i="2"/>
  <c r="FE131" i="2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I117" i="2" l="1"/>
  <c r="BI81" i="2"/>
  <c r="BI30" i="2"/>
  <c r="BI96" i="2"/>
  <c r="BI179" i="2"/>
  <c r="BI39" i="2"/>
  <c r="BI145" i="2"/>
  <c r="BI190" i="2"/>
  <c r="BI143" i="2"/>
  <c r="BI153" i="2"/>
  <c r="BI169" i="2"/>
  <c r="BI116" i="2"/>
  <c r="BF129" i="2"/>
  <c r="BG129" i="2" s="1"/>
  <c r="BH129" i="2" s="1"/>
  <c r="BI80" i="2" s="1"/>
  <c r="BE130" i="2"/>
  <c r="BS128" i="2"/>
  <c r="BI130" i="2" l="1"/>
  <c r="BI11" i="2"/>
  <c r="BI150" i="2"/>
  <c r="BI35" i="2"/>
  <c r="BI147" i="2"/>
  <c r="BI137" i="2"/>
  <c r="BI178" i="2"/>
  <c r="BI187" i="2"/>
  <c r="BI66" i="2"/>
  <c r="BI64" i="2"/>
  <c r="BI186" i="2"/>
  <c r="BI12" i="2"/>
  <c r="BI133" i="2"/>
  <c r="BI44" i="2"/>
  <c r="BI140" i="2"/>
  <c r="BI127" i="2"/>
  <c r="BI166" i="2"/>
  <c r="BI52" i="2"/>
  <c r="BI102" i="2"/>
  <c r="BI129" i="2"/>
  <c r="BI77" i="2"/>
  <c r="BI119" i="2"/>
  <c r="BI188" i="2"/>
  <c r="BI108" i="2"/>
  <c r="BI16" i="2"/>
  <c r="BI107" i="2"/>
  <c r="BI9" i="2"/>
  <c r="BI146" i="2"/>
  <c r="BI126" i="2"/>
  <c r="BI138" i="2"/>
  <c r="BI141" i="2"/>
  <c r="BI38" i="2"/>
  <c r="BI71" i="2"/>
  <c r="BI131" i="2"/>
  <c r="BI161" i="2"/>
  <c r="BI69" i="2"/>
  <c r="BI75" i="2"/>
  <c r="BI79" i="2"/>
  <c r="BI6" i="2"/>
  <c r="BI106" i="2"/>
  <c r="BI45" i="2"/>
  <c r="BI37" i="2"/>
  <c r="BI31" i="2"/>
  <c r="BI98" i="2"/>
  <c r="BI13" i="2"/>
  <c r="BI7" i="2"/>
  <c r="BI26" i="2"/>
  <c r="BI199" i="2"/>
  <c r="BI54" i="2"/>
  <c r="BI203" i="2"/>
  <c r="BI94" i="2"/>
  <c r="BI67" i="2"/>
  <c r="BI43" i="2"/>
  <c r="BI158" i="2"/>
  <c r="BI125" i="2"/>
  <c r="BI111" i="2"/>
  <c r="BI27" i="2"/>
  <c r="BI101" i="2"/>
  <c r="BI33" i="2"/>
  <c r="BI185" i="2"/>
  <c r="BI48" i="2"/>
  <c r="BI100" i="2"/>
  <c r="BI135" i="2"/>
  <c r="BI36" i="2"/>
  <c r="BI72" i="2"/>
  <c r="BI40" i="2"/>
  <c r="BI134" i="2"/>
  <c r="BI118" i="2"/>
  <c r="BI51" i="2"/>
  <c r="BI89" i="2"/>
  <c r="BI165" i="2"/>
  <c r="BI151" i="2"/>
  <c r="BI168" i="2"/>
  <c r="BI8" i="2"/>
  <c r="BI85" i="2"/>
  <c r="BI82" i="2"/>
  <c r="BI60" i="2"/>
  <c r="BI193" i="2"/>
  <c r="BI18" i="2"/>
  <c r="BI122" i="2"/>
  <c r="BI183" i="2"/>
  <c r="BI59" i="2"/>
  <c r="BI42" i="2"/>
  <c r="BI34" i="2"/>
  <c r="BI196" i="2"/>
  <c r="BI76" i="2"/>
  <c r="BI202" i="2"/>
  <c r="BI139" i="2"/>
  <c r="BI24" i="2"/>
  <c r="BI55" i="2"/>
  <c r="BI177" i="2"/>
  <c r="BI28" i="2"/>
  <c r="BI58" i="2"/>
  <c r="BI10" i="2"/>
  <c r="BI200" i="2"/>
  <c r="BI62" i="2"/>
  <c r="BI112" i="2"/>
  <c r="BI29" i="2"/>
  <c r="BI114" i="2"/>
  <c r="BI198" i="2"/>
  <c r="BI83" i="2"/>
  <c r="BI74" i="2"/>
  <c r="BI142" i="2"/>
  <c r="BI84" i="2"/>
  <c r="BI57" i="2"/>
  <c r="BI4" i="2"/>
  <c r="BI184" i="2"/>
  <c r="BI149" i="2"/>
  <c r="BI201" i="2"/>
  <c r="BI5" i="2"/>
  <c r="BI154" i="2"/>
  <c r="BI95" i="2"/>
  <c r="BI97" i="2"/>
  <c r="BI167" i="2"/>
  <c r="BI46" i="2"/>
  <c r="BI86" i="2"/>
  <c r="BI132" i="2"/>
  <c r="BI191" i="2"/>
  <c r="BI15" i="2"/>
  <c r="BI194" i="2"/>
  <c r="BI53" i="2"/>
  <c r="BI160" i="2"/>
  <c r="BI99" i="2"/>
  <c r="BI47" i="2"/>
  <c r="BI128" i="2"/>
  <c r="BI87" i="2"/>
  <c r="BI61" i="2"/>
  <c r="BI3" i="2"/>
  <c r="C8" i="4" s="1"/>
  <c r="E8" i="4" s="1"/>
  <c r="F8" i="4" s="1"/>
  <c r="G8" i="4" s="1"/>
  <c r="L8" i="4" s="1"/>
  <c r="BI70" i="2"/>
  <c r="BI78" i="2"/>
  <c r="BI181" i="2"/>
  <c r="BI103" i="2"/>
  <c r="BI159" i="2"/>
  <c r="BI189" i="2"/>
  <c r="BI180" i="2"/>
  <c r="BI113" i="2"/>
  <c r="BI50" i="2"/>
  <c r="BI65" i="2"/>
  <c r="BI121" i="2"/>
  <c r="BI136" i="2"/>
  <c r="BI93" i="2"/>
  <c r="BI172" i="2"/>
  <c r="BI175" i="2"/>
  <c r="BI156" i="2"/>
  <c r="BI115" i="2"/>
  <c r="BI56" i="2"/>
  <c r="BI120" i="2"/>
  <c r="BI14" i="2"/>
  <c r="BI164" i="2"/>
  <c r="BI20" i="2"/>
  <c r="BI195" i="2"/>
  <c r="BI123" i="2"/>
  <c r="BI91" i="2"/>
  <c r="BI152" i="2"/>
  <c r="BI192" i="2"/>
  <c r="BI162" i="2"/>
  <c r="BI73" i="2"/>
  <c r="BI163" i="2"/>
  <c r="BI155" i="2"/>
  <c r="BI173" i="2"/>
  <c r="BI144" i="2"/>
  <c r="BI197" i="2"/>
  <c r="BI170" i="2"/>
  <c r="BI41" i="2"/>
  <c r="BI22" i="2"/>
  <c r="BI171" i="2"/>
  <c r="BI124" i="2"/>
  <c r="BI182" i="2"/>
  <c r="BI109" i="2"/>
  <c r="BI88" i="2"/>
  <c r="BI68" i="2"/>
  <c r="BI49" i="2"/>
  <c r="BI25" i="2"/>
  <c r="BI92" i="2"/>
  <c r="BI21" i="2"/>
  <c r="BI19" i="2"/>
  <c r="BI148" i="2"/>
  <c r="BI110" i="2"/>
  <c r="BI90" i="2"/>
  <c r="BI32" i="2"/>
  <c r="BI63" i="2"/>
  <c r="BI157" i="2"/>
  <c r="BI174" i="2"/>
  <c r="BI17" i="2"/>
  <c r="BI105" i="2"/>
  <c r="BI23" i="2"/>
  <c r="BI176" i="2"/>
  <c r="BI104" i="2"/>
  <c r="BF130" i="2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<sst xmlns="http://schemas.openxmlformats.org/spreadsheetml/2006/main" count="1005" uniqueCount="316">
  <si>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</si>
  <si>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</si>
  <si>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</si>
  <si>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</si>
  <si>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</si>
  <si>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</si>
  <si>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</si>
  <si>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</si>
  <si>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</si>
  <si>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</si>
  <si>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</si>
  <si>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</si>
  <si>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</si>
  <si>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</si>
  <si>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</si>
  <si>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</si>
  <si>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</si>
  <si>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</si>
  <si>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</si>
  <si>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</si>
  <si>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</si>
  <si>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</si>
  <si>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</si>
  <si>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</si>
  <si>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</si>
  <si>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</si>
  <si>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</si>
  <si>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</si>
  <si>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</si>
  <si>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</si>
  <si>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</si>
  <si>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</si>
  <si>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</si>
  <si>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</si>
  <si>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</si>
  <si>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</si>
  <si>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</si>
  <si>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</si>
  <si>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</si>
  <si>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</si>
  <si>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</si>
  <si>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</si>
  <si>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</si>
  <si>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</si>
  <si>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</si>
  <si>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</si>
  <si>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</si>
  <si>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</si>
  <si>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</si>
  <si>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</si>
  <si>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</si>
  <si>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</si>
  <si>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</si>
  <si>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</si>
  <si>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</si>
  <si>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</si>
  <si>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</si>
  <si>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</si>
  <si>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</si>
  <si>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</si>
  <si>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</si>
  <si>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</si>
  <si>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</si>
  <si>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</si>
  <si>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</si>
  <si>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</si>
  <si>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</si>
  <si>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</si>
  <si>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</si>
  <si>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</si>
  <si>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</si>
  <si>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</si>
  <si>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</si>
  <si>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</si>
  <si>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</si>
  <si>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</si>
  <si>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</si>
  <si>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</si>
  <si>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</si>
  <si>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</si>
  <si>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</si>
  <si>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</si>
  <si>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</si>
  <si>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</si>
  <si>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</si>
  <si>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</si>
  <si>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</si>
  <si>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</si>
  <si>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</si>
  <si>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</si>
  <si>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</si>
  <si>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</si>
  <si>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</si>
  <si>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</si>
  <si>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</si>
  <si>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</si>
  <si>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</si>
  <si>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</si>
  <si>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</si>
  <si>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</si>
  <si>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</si>
  <si>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</si>
  <si>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</si>
  <si>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</si>
  <si>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</si>
  <si>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</si>
  <si>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</si>
  <si>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</si>
  <si>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</si>
  <si>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</si>
  <si>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</si>
  <si>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</si>
  <si>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</si>
  <si>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</si>
  <si>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</si>
  <si>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</si>
  <si>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</si>
  <si>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</si>
  <si>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</si>
  <si>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</si>
  <si>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</si>
  <si>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</si>
  <si>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</si>
  <si>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</si>
  <si>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</si>
  <si>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</si>
  <si>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</si>
  <si>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</si>
  <si>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</si>
  <si>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</si>
  <si>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</si>
  <si>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</si>
  <si>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</si>
  <si>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</si>
  <si>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</si>
  <si>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</si>
  <si>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</si>
  <si>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</si>
  <si>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</si>
  <si>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</si>
  <si>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</si>
  <si>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</si>
  <si>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</si>
  <si>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</si>
  <si>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</si>
  <si>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</si>
  <si>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</si>
  <si>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</si>
  <si>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</si>
  <si>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</si>
  <si>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</si>
  <si>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</si>
  <si>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</si>
  <si>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</si>
  <si>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</si>
  <si>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</si>
  <si>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</si>
  <si>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</si>
  <si>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</si>
  <si>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</si>
  <si>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</si>
  <si>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</si>
  <si>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</si>
  <si>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</si>
  <si>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</si>
  <si>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</si>
  <si>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</si>
  <si>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</si>
  <si>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</si>
  <si>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</si>
  <si>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</si>
  <si>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</si>
  <si>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</si>
  <si>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</si>
  <si>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</si>
  <si>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</si>
  <si>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</si>
  <si>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</si>
  <si>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</si>
  <si>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</si>
  <si>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</si>
  <si>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</si>
  <si>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</si>
  <si>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</si>
  <si>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</si>
  <si>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</si>
  <si>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</si>
  <si>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</si>
  <si>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</si>
  <si>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</si>
  <si>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</si>
  <si>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</si>
  <si>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</si>
  <si>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</si>
  <si>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</si>
  <si>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</si>
  <si>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</si>
  <si>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</si>
  <si>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</si>
  <si>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</si>
  <si>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</si>
  <si>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</si>
  <si>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</si>
  <si>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</si>
  <si>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</si>
  <si>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</si>
  <si>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</si>
  <si>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</si>
  <si>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</si>
  <si>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</si>
  <si>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</si>
  <si>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</si>
  <si>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</si>
  <si>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</si>
  <si>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</si>
  <si>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</si>
  <si>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</si>
  <si>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</si>
  <si>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</si>
  <si>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</si>
  <si>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</si>
  <si>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</si>
  <si>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</si>
  <si>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</si>
  <si>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</si>
  <si>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</si>
  <si>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</si>
  <si>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</si>
  <si>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</si>
  <si>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</si>
  <si>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</si>
  <si>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</si>
  <si>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</si>
  <si>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</si>
  <si>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</si>
  <si>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</si>
  <si>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</si>
  <si>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</si>
  <si>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</si>
  <si>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</si>
  <si>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</si>
  <si>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</si>
  <si>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</si>
  <si>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</si>
  <si>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</si>
  <si>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</si>
  <si>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</si>
  <si>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</si>
  <si>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</si>
  <si>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</si>
  <si>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</si>
  <si>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</si>
  <si>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</si>
  <si>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</si>
  <si>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</si>
  <si>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</si>
  <si>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</si>
  <si>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</si>
  <si>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</si>
  <si>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</si>
  <si>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</si>
  <si>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</si>
  <si>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</si>
  <si>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</si>
  <si>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</si>
  <si>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</si>
  <si>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</si>
  <si>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</si>
  <si>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</si>
  <si>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</si>
  <si>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</si>
  <si>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</si>
  <si>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</si>
  <si>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</si>
  <si>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</si>
  <si>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</si>
  <si>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</si>
  <si>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</si>
  <si>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</si>
  <si>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</si>
  <si>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</si>
  <si>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</si>
  <si>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</si>
  <si>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</si>
  <si>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</si>
  <si>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</si>
  <si>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</si>
  <si>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</si>
  <si>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</si>
  <si>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</si>
  <si>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</si>
  <si>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</si>
  <si>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</si>
  <si>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</si>
  <si>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</si>
  <si>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</si>
  <si>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</si>
  <si>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</si>
  <si>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</si>
  <si>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</si>
  <si>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</si>
  <si>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</si>
  <si>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</si>
  <si>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</si>
  <si>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</si>
  <si>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</si>
  <si>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</si>
  <si>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</si>
  <si>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</si>
  <si>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</si>
  <si>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</si>
  <si>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</si>
  <si>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</si>
  <si>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</si>
  <si>
    <t>Pas de revenu car gyrobroyage simple annuel</t>
  </si>
  <si>
    <t>Coût HT qui inclus la préparation du sol, les plants, la plantation, les entretiens,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</si>
</sst>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6.00148160343565</c:v>
                </c:pt>
                <c:pt idx="2">
                  <c:v>11.729857801718786</c:v>
                </c:pt>
                <c:pt idx="3">
                  <c:v>17.370034663171413</c:v>
                </c:pt>
                <c:pt idx="4">
                  <c:v>22.955843401229529</c:v>
                </c:pt>
                <c:pt idx="5">
                  <c:v>28.502617430882832</c:v>
                </c:pt>
                <c:pt idx="6">
                  <c:v>34.019103572229398</c:v>
                </c:pt>
                <c:pt idx="7">
                  <c:v>39.510940561985755</c:v>
                </c:pt>
                <c:pt idx="8">
                  <c:v>44.982056002892115</c:v>
                </c:pt>
                <c:pt idx="9">
                  <c:v>50.435336732925691</c:v>
                </c:pt>
                <c:pt idx="10">
                  <c:v>55.872990435685118</c:v>
                </c:pt>
                <c:pt idx="11">
                  <c:v>61.296757707499445</c:v>
                </c:pt>
                <c:pt idx="12">
                  <c:v>66.708044520841597</c:v>
                </c:pt>
                <c:pt idx="13">
                  <c:v>72.108009157025222</c:v>
                </c:pt>
                <c:pt idx="14">
                  <c:v>77.497621577495494</c:v>
                </c:pt>
                <c:pt idx="15">
                  <c:v>82.877705325978226</c:v>
                </c:pt>
                <c:pt idx="16">
                  <c:v>88.248967928146428</c:v>
                </c:pt>
                <c:pt idx="17">
                  <c:v>93.61202347027897</c:v>
                </c:pt>
                <c:pt idx="18">
                  <c:v>98.96740971201227</c:v>
                </c:pt>
                <c:pt idx="19">
                  <c:v>104.31560128723459</c:v>
                </c:pt>
                <c:pt idx="20">
                  <c:v>109.65702004656204</c:v>
                </c:pt>
                <c:pt idx="21">
                  <c:v>114.99204327253635</c:v>
                </c:pt>
                <c:pt idx="22">
                  <c:v>120.32101028568674</c:v>
                </c:pt>
                <c:pt idx="23">
                  <c:v>125.64422781553765</c:v>
                </c:pt>
                <c:pt idx="24">
                  <c:v>130.9619744111707</c:v>
                </c:pt>
                <c:pt idx="25">
                  <c:v>136.27450409597938</c:v>
                </c:pt>
                <c:pt idx="26">
                  <c:v>141.58204942120318</c:v>
                </c:pt>
                <c:pt idx="27">
                  <c:v>146.88482403647276</c:v>
                </c:pt>
                <c:pt idx="28">
                  <c:v>152.18302486882931</c:v>
                </c:pt>
                <c:pt idx="29">
                  <c:v>157.47683398170673</c:v>
                </c:pt>
                <c:pt idx="30">
                  <c:v>162.76642017029977</c:v>
                </c:pt>
                <c:pt idx="31">
                  <c:v>168.05194033823986</c:v>
                </c:pt>
                <c:pt idx="32">
                  <c:v>173.33354069164636</c:v>
                </c:pt>
                <c:pt idx="33">
                  <c:v>178.6113577797278</c:v>
                </c:pt>
                <c:pt idx="34">
                  <c:v>183.88551940570605</c:v>
                </c:pt>
                <c:pt idx="35">
                  <c:v>189.1561454275616</c:v>
                </c:pt>
                <c:pt idx="36">
                  <c:v>194.42334846469248</c:v>
                </c:pt>
                <c:pt idx="37">
                  <c:v>199.68723452384862</c:v>
                </c:pt>
                <c:pt idx="38">
                  <c:v>204.94790355549432</c:v>
                </c:pt>
                <c:pt idx="39">
                  <c:v>210.20544994995885</c:v>
                </c:pt>
                <c:pt idx="40">
                  <c:v>215.45996298126826</c:v>
                </c:pt>
                <c:pt idx="41">
                  <c:v>220.71152720534405</c:v>
                </c:pt>
                <c:pt idx="42">
                  <c:v>225.96022281826015</c:v>
                </c:pt>
                <c:pt idx="43">
                  <c:v>179.35836102345846</c:v>
                </c:pt>
                <c:pt idx="44">
                  <c:v>191.44056779171277</c:v>
                </c:pt>
                <c:pt idx="45">
                  <c:v>203.5050258813136</c:v>
                </c:pt>
                <c:pt idx="46">
                  <c:v>215.55293641173822</c:v>
                </c:pt>
                <c:pt idx="47">
                  <c:v>227.5853551413918</c:v>
                </c:pt>
                <c:pt idx="48">
                  <c:v>239.60321698163887</c:v>
                </c:pt>
                <c:pt idx="49">
                  <c:v>196.17057600271923</c:v>
                </c:pt>
                <c:pt idx="50">
                  <c:v>207.41421566911529</c:v>
                </c:pt>
                <c:pt idx="51">
                  <c:v>218.64378008490459</c:v>
                </c:pt>
                <c:pt idx="52">
                  <c:v>229.86009453547467</c:v>
                </c:pt>
                <c:pt idx="53">
                  <c:v>241.06389711567908</c:v>
                </c:pt>
                <c:pt idx="54">
                  <c:v>252.25585165357404</c:v>
                </c:pt>
                <c:pt idx="55">
                  <c:v>263.43655821796295</c:v>
                </c:pt>
                <c:pt idx="56">
                  <c:v>274.60656174697812</c:v>
                </c:pt>
                <c:pt idx="57">
                  <c:v>217.42383107628061</c:v>
                </c:pt>
                <c:pt idx="58">
                  <c:v>230.34747151073736</c:v>
                </c:pt>
                <c:pt idx="59">
                  <c:v>243.2545399668592</c:v>
                </c:pt>
                <c:pt idx="60">
                  <c:v>256.14603997721747</c:v>
                </c:pt>
                <c:pt idx="61">
                  <c:v>269.02286575262457</c:v>
                </c:pt>
                <c:pt idx="62">
                  <c:v>281.88581886622069</c:v>
                </c:pt>
                <c:pt idx="63">
                  <c:v>294.73562173020292</c:v>
                </c:pt>
                <c:pt idx="64">
                  <c:v>307.57292859760338</c:v>
                </c:pt>
                <c:pt idx="65">
                  <c:v>239.11627858664042</c:v>
                </c:pt>
                <c:pt idx="66">
                  <c:v>250.3102488763225</c:v>
                </c:pt>
                <c:pt idx="67">
                  <c:v>261.49287101457111</c:v>
                </c:pt>
                <c:pt idx="68">
                  <c:v>272.6646989766358</c:v>
                </c:pt>
                <c:pt idx="69">
                  <c:v>283.82623760553963</c:v>
                </c:pt>
                <c:pt idx="70">
                  <c:v>294.97794877206235</c:v>
                </c:pt>
                <c:pt idx="71">
                  <c:v>306.12025655381473</c:v>
                </c:pt>
                <c:pt idx="72">
                  <c:v>317.25355162035777</c:v>
                </c:pt>
                <c:pt idx="73">
                  <c:v>264.89411110617533</c:v>
                </c:pt>
                <c:pt idx="74">
                  <c:v>274.60656174697812</c:v>
                </c:pt>
                <c:pt idx="75">
                  <c:v>284.31129577048597</c:v>
                </c:pt>
                <c:pt idx="76">
                  <c:v>294.00861390700948</c:v>
                </c:pt>
                <c:pt idx="77">
                  <c:v>303.69879541443919</c:v>
                </c:pt>
                <c:pt idx="78">
                  <c:v>313.38210026249629</c:v>
                </c:pt>
                <c:pt idx="79">
                  <c:v>323.0587710327315</c:v>
                </c:pt>
                <c:pt idx="80">
                  <c:v>332.72903457884451</c:v>
                </c:pt>
                <c:pt idx="81">
                  <c:v>342.393103483792</c:v>
                </c:pt>
                <c:pt idx="82">
                  <c:v>291.42337137490063</c:v>
                </c:pt>
                <c:pt idx="83">
                  <c:v>300.46951144831678</c:v>
                </c:pt>
                <c:pt idx="84">
                  <c:v>309.50958762804527</c:v>
                </c:pt>
                <c:pt idx="85">
                  <c:v>318.54380213639161</c:v>
                </c:pt>
                <c:pt idx="86">
                  <c:v>327.57234478031751</c:v>
                </c:pt>
                <c:pt idx="87">
                  <c:v>336.59539404232521</c:v>
                </c:pt>
                <c:pt idx="88">
                  <c:v>345.61311804819155</c:v>
                </c:pt>
                <c:pt idx="89">
                  <c:v>354.62567542837041</c:v>
                </c:pt>
                <c:pt idx="90">
                  <c:v>363.63321608721009</c:v>
                </c:pt>
                <c:pt idx="91">
                  <c:v>314.83401808651024</c:v>
                </c:pt>
                <c:pt idx="92">
                  <c:v>324.02608209744523</c:v>
                </c:pt>
                <c:pt idx="93">
                  <c:v>333.21238343704937</c:v>
                </c:pt>
                <c:pt idx="94">
                  <c:v>342.39310348379189</c:v>
                </c:pt>
                <c:pt idx="95">
                  <c:v>351.56841308920212</c:v>
                </c:pt>
                <c:pt idx="96">
                  <c:v>360.73847345360628</c:v>
                </c:pt>
                <c:pt idx="97">
                  <c:v>369.90343690812443</c:v>
                </c:pt>
                <c:pt idx="98">
                  <c:v>379.06344761508899</c:v>
                </c:pt>
                <c:pt idx="99">
                  <c:v>388.21864219719714</c:v>
                </c:pt>
                <c:pt idx="100">
                  <c:v>397.36915030419732</c:v>
                </c:pt>
                <c:pt idx="101">
                  <c:v>406.51509512463485</c:v>
                </c:pt>
                <c:pt idx="102">
                  <c:v>415.65659384912652</c:v>
                </c:pt>
                <c:pt idx="103">
                  <c:v>345.45213302786465</c:v>
                </c:pt>
                <c:pt idx="104">
                  <c:v>354.30388563085967</c:v>
                </c:pt>
                <c:pt idx="105">
                  <c:v>363.15079407733782</c:v>
                </c:pt>
                <c:pt idx="106">
                  <c:v>371.99299309375618</c:v>
                </c:pt>
                <c:pt idx="107">
                  <c:v>380.83061047520181</c:v>
                </c:pt>
                <c:pt idx="108">
                  <c:v>389.66376759807389</c:v>
                </c:pt>
                <c:pt idx="109">
                  <c:v>398.49257988383368</c:v>
                </c:pt>
                <c:pt idx="110">
                  <c:v>407.31715721949678</c:v>
                </c:pt>
                <c:pt idx="111">
                  <c:v>416.13760433977217</c:v>
                </c:pt>
                <c:pt idx="112">
                  <c:v>424.95402117510031</c:v>
                </c:pt>
                <c:pt idx="113">
                  <c:v>433.76650316929613</c:v>
                </c:pt>
                <c:pt idx="114">
                  <c:v>442.57514157002373</c:v>
                </c:pt>
                <c:pt idx="115">
                  <c:v>380.34867469944055</c:v>
                </c:pt>
                <c:pt idx="116">
                  <c:v>389.34263869060379</c:v>
                </c:pt>
                <c:pt idx="117">
                  <c:v>398.33209414857441</c:v>
                </c:pt>
                <c:pt idx="118">
                  <c:v>407.31715721949678</c:v>
                </c:pt>
                <c:pt idx="119">
                  <c:v>416.29793850480019</c:v>
                </c:pt>
                <c:pt idx="120">
                  <c:v>425.27454344239959</c:v>
                </c:pt>
                <c:pt idx="121">
                  <c:v>434.24707265402532</c:v>
                </c:pt>
                <c:pt idx="122">
                  <c:v>443.21562226234187</c:v>
                </c:pt>
                <c:pt idx="123">
                  <c:v>452.18028418105376</c:v>
                </c:pt>
                <c:pt idx="124">
                  <c:v>461.141146380804</c:v>
                </c:pt>
                <c:pt idx="125">
                  <c:v>470.09829313332102</c:v>
                </c:pt>
                <c:pt idx="126">
                  <c:v>479.05180523598892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2986016"/>
        <c:axId val="512998528"/>
      </c:scatterChart>
      <c:valAx>
        <c:axId val="512986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2998528"/>
        <c:crosses val="autoZero"/>
        <c:crossBetween val="midCat"/>
      </c:valAx>
      <c:valAx>
        <c:axId val="512998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2986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337200"/>
        <c:axId val="612339920"/>
      </c:scatterChart>
      <c:valAx>
        <c:axId val="612337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2339920"/>
        <c:crosses val="autoZero"/>
        <c:crossBetween val="midCat"/>
      </c:valAx>
      <c:valAx>
        <c:axId val="612339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2337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6.6997860972548038</c:v>
                </c:pt>
                <c:pt idx="2">
                  <c:v>13.097538383622366</c:v>
                </c:pt>
                <c:pt idx="3">
                  <c:v>19.397748910222237</c:v>
                </c:pt>
                <c:pt idx="4">
                  <c:v>25.637832426554898</c:v>
                </c:pt>
                <c:pt idx="5">
                  <c:v>31.834746523630582</c:v>
                </c:pt>
                <c:pt idx="6">
                  <c:v>37.998164519360706</c:v>
                </c:pt>
                <c:pt idx="7">
                  <c:v>44.134322427778478</c:v>
                </c:pt>
                <c:pt idx="8">
                  <c:v>50.247563878855722</c:v>
                </c:pt>
                <c:pt idx="9">
                  <c:v>56.341081495877127</c:v>
                </c:pt>
                <c:pt idx="10">
                  <c:v>62.417316809028286</c:v>
                </c:pt>
                <c:pt idx="11">
                  <c:v>68.478194785492434</c:v>
                </c:pt>
                <c:pt idx="12">
                  <c:v>74.525270323913048</c:v>
                </c:pt>
                <c:pt idx="13">
                  <c:v>80.559824395346126</c:v>
                </c:pt>
                <c:pt idx="14">
                  <c:v>86.582929703393233</c:v>
                </c:pt>
                <c:pt idx="15">
                  <c:v>92.595497024791982</c:v>
                </c:pt>
                <c:pt idx="16">
                  <c:v>98.598308829135718</c:v>
                </c:pt>
                <c:pt idx="17">
                  <c:v>104.59204424915316</c:v>
                </c:pt>
                <c:pt idx="18">
                  <c:v>110.57729800611047</c:v>
                </c:pt>
                <c:pt idx="19">
                  <c:v>116.55459500899632</c:v>
                </c:pt>
                <c:pt idx="20">
                  <c:v>122.52440179251424</c:v>
                </c:pt>
                <c:pt idx="21">
                  <c:v>128.48713560246634</c:v>
                </c:pt>
                <c:pt idx="22">
                  <c:v>134.44317170155583</c:v>
                </c:pt>
                <c:pt idx="23">
                  <c:v>140.39284930931262</c:v>
                </c:pt>
                <c:pt idx="24">
                  <c:v>146.33647647983977</c:v>
                </c:pt>
                <c:pt idx="25">
                  <c:v>152.27433414369443</c:v>
                </c:pt>
                <c:pt idx="26">
                  <c:v>158.20667948486386</c:v>
                </c:pt>
                <c:pt idx="27">
                  <c:v>164.1337487835936</c:v>
                </c:pt>
                <c:pt idx="28">
                  <c:v>170.05575982621656</c:v>
                </c:pt>
                <c:pt idx="29">
                  <c:v>175.97291396104652</c:v>
                </c:pt>
                <c:pt idx="30">
                  <c:v>181.88539786273327</c:v>
                </c:pt>
                <c:pt idx="31">
                  <c:v>187.79338505476224</c:v>
                </c:pt>
                <c:pt idx="32">
                  <c:v>193.69703722998369</c:v>
                </c:pt>
                <c:pt idx="33">
                  <c:v>199.59650540143889</c:v>
                </c:pt>
                <c:pt idx="34">
                  <c:v>205.49193090977312</c:v>
                </c:pt>
                <c:pt idx="35">
                  <c:v>211.38344630879848</c:v>
                </c:pt>
                <c:pt idx="36">
                  <c:v>217.27117614700566</c:v>
                </c:pt>
                <c:pt idx="37">
                  <c:v>223.15523765979904</c:v>
                </c:pt>
                <c:pt idx="38">
                  <c:v>229.03574138479192</c:v>
                </c:pt>
                <c:pt idx="39">
                  <c:v>234.9127917105111</c:v>
                </c:pt>
                <c:pt idx="40">
                  <c:v>240.78648736724048</c:v>
                </c:pt>
                <c:pt idx="41">
                  <c:v>246.65692186739997</c:v>
                </c:pt>
                <c:pt idx="42">
                  <c:v>252.52418390174861</c:v>
                </c:pt>
                <c:pt idx="43">
                  <c:v>200.43149844135633</c:v>
                </c:pt>
                <c:pt idx="44">
                  <c:v>213.93699051541526</c:v>
                </c:pt>
                <c:pt idx="45">
                  <c:v>227.42285390051089</c:v>
                </c:pt>
                <c:pt idx="46">
                  <c:v>240.89041694345076</c:v>
                </c:pt>
                <c:pt idx="47">
                  <c:v>254.34084723275001</c:v>
                </c:pt>
                <c:pt idx="48">
                  <c:v>267.77517870928637</c:v>
                </c:pt>
                <c:pt idx="49">
                  <c:v>219.22425254131755</c:v>
                </c:pt>
                <c:pt idx="50">
                  <c:v>231.79265788705015</c:v>
                </c:pt>
                <c:pt idx="51">
                  <c:v>244.34549707590796</c:v>
                </c:pt>
                <c:pt idx="52">
                  <c:v>256.88368281077419</c:v>
                </c:pt>
                <c:pt idx="53">
                  <c:v>269.40803136843112</c:v>
                </c:pt>
                <c:pt idx="54">
                  <c:v>281.91927689223098</c:v>
                </c:pt>
                <c:pt idx="55">
                  <c:v>294.41808301264047</c:v>
                </c:pt>
                <c:pt idx="56">
                  <c:v>306.90505238979614</c:v>
                </c:pt>
                <c:pt idx="57">
                  <c:v>242.98178331978389</c:v>
                </c:pt>
                <c:pt idx="58">
                  <c:v>257.42850185227354</c:v>
                </c:pt>
                <c:pt idx="59">
                  <c:v>271.85689303687468</c:v>
                </c:pt>
                <c:pt idx="60">
                  <c:v>286.26806670430182</c:v>
                </c:pt>
                <c:pt idx="61">
                  <c:v>300.66301178371663</c:v>
                </c:pt>
                <c:pt idx="62">
                  <c:v>315.04261475405968</c:v>
                </c:pt>
                <c:pt idx="63">
                  <c:v>329.40767454828807</c:v>
                </c:pt>
                <c:pt idx="64">
                  <c:v>343.75891472050535</c:v>
                </c:pt>
                <c:pt idx="65">
                  <c:v>267.23084470420918</c:v>
                </c:pt>
                <c:pt idx="66">
                  <c:v>279.74431949620583</c:v>
                </c:pt>
                <c:pt idx="67">
                  <c:v>292.24524409564179</c:v>
                </c:pt>
                <c:pt idx="68">
                  <c:v>304.73423115701871</c:v>
                </c:pt>
                <c:pt idx="69">
                  <c:v>317.21183899833085</c:v>
                </c:pt>
                <c:pt idx="70">
                  <c:v>329.6785784135397</c:v>
                </c:pt>
                <c:pt idx="71">
                  <c:v>342.13491840023556</c:v>
                </c:pt>
                <c:pt idx="72">
                  <c:v>354.58129100924572</c:v>
                </c:pt>
                <c:pt idx="73">
                  <c:v>296.04747717569848</c:v>
                </c:pt>
                <c:pt idx="74">
                  <c:v>306.90505238979614</c:v>
                </c:pt>
                <c:pt idx="75">
                  <c:v>317.75409361194505</c:v>
                </c:pt>
                <c:pt idx="76">
                  <c:v>328.59493342700091</c:v>
                </c:pt>
                <c:pt idx="77">
                  <c:v>339.42788067295515</c:v>
                </c:pt>
                <c:pt idx="78">
                  <c:v>350.25322285655176</c:v>
                </c:pt>
                <c:pt idx="79">
                  <c:v>361.07122825453939</c:v>
                </c:pt>
                <c:pt idx="80">
                  <c:v>371.88214774985948</c:v>
                </c:pt>
                <c:pt idx="81">
                  <c:v>382.68621644309741</c:v>
                </c:pt>
                <c:pt idx="82">
                  <c:v>325.70482687762802</c:v>
                </c:pt>
                <c:pt idx="83">
                  <c:v>335.81775704779619</c:v>
                </c:pt>
                <c:pt idx="84">
                  <c:v>345.92398101265053</c:v>
                </c:pt>
                <c:pt idx="85">
                  <c:v>356.02372241468356</c:v>
                </c:pt>
                <c:pt idx="86">
                  <c:v>366.11719116596186</c:v>
                </c:pt>
                <c:pt idx="87">
                  <c:v>376.20458465456113</c:v>
                </c:pt>
                <c:pt idx="88">
                  <c:v>386.28608881480568</c:v>
                </c:pt>
                <c:pt idx="89">
                  <c:v>396.36187907991547</c:v>
                </c:pt>
                <c:pt idx="90">
                  <c:v>406.43212123270069</c:v>
                </c:pt>
                <c:pt idx="91">
                  <c:v>351.87638506710238</c:v>
                </c:pt>
                <c:pt idx="92">
                  <c:v>362.15263507179503</c:v>
                </c:pt>
                <c:pt idx="93">
                  <c:v>372.42251200019501</c:v>
                </c:pt>
                <c:pt idx="94">
                  <c:v>382.68621644309718</c:v>
                </c:pt>
                <c:pt idx="95">
                  <c:v>392.94393734930151</c:v>
                </c:pt>
                <c:pt idx="96">
                  <c:v>403.19585299411045</c:v>
                </c:pt>
                <c:pt idx="97">
                  <c:v>413.44213184415986</c:v>
                </c:pt>
                <c:pt idx="98">
                  <c:v>423.68293333202678</c:v>
                </c:pt>
                <c:pt idx="99">
                  <c:v>433.91840855202554</c:v>
                </c:pt>
                <c:pt idx="100">
                  <c:v>444.14870088691924</c:v>
                </c:pt>
                <c:pt idx="101">
                  <c:v>454.37394657387154</c:v>
                </c:pt>
                <c:pt idx="102">
                  <c:v>464.59427521679351</c:v>
                </c:pt>
                <c:pt idx="103">
                  <c:v>386.10611256795556</c:v>
                </c:pt>
                <c:pt idx="104">
                  <c:v>396.00212592142566</c:v>
                </c:pt>
                <c:pt idx="105">
                  <c:v>405.89278200614257</c:v>
                </c:pt>
                <c:pt idx="106">
                  <c:v>415.77822981932314</c:v>
                </c:pt>
                <c:pt idx="107">
                  <c:v>425.65861069261609</c:v>
                </c:pt>
                <c:pt idx="108">
                  <c:v>435.53405885908927</c:v>
                </c:pt>
                <c:pt idx="109">
                  <c:v>445.40470196610204</c:v>
                </c:pt>
                <c:pt idx="110">
                  <c:v>455.2706615403377</c:v>
                </c:pt>
                <c:pt idx="111">
                  <c:v>465.13205341042038</c:v>
                </c:pt>
                <c:pt idx="112">
                  <c:v>474.98898809181838</c:v>
                </c:pt>
                <c:pt idx="113">
                  <c:v>484.84157113813313</c:v>
                </c:pt>
                <c:pt idx="114">
                  <c:v>494.68990346234324</c:v>
                </c:pt>
                <c:pt idx="115">
                  <c:v>425.11980920401083</c:v>
                </c:pt>
                <c:pt idx="116">
                  <c:v>435.17503659472953</c:v>
                </c:pt>
                <c:pt idx="117">
                  <c:v>445.22527789057045</c:v>
                </c:pt>
                <c:pt idx="118">
                  <c:v>455.2706615403377</c:v>
                </c:pt>
                <c:pt idx="119">
                  <c:v>465.31130986080166</c:v>
                </c:pt>
                <c:pt idx="120">
                  <c:v>475.34733945827867</c:v>
                </c:pt>
                <c:pt idx="121">
                  <c:v>485.37886161275105</c:v>
                </c:pt>
                <c:pt idx="122">
                  <c:v>495.40598262857651</c:v>
                </c:pt>
                <c:pt idx="123">
                  <c:v>505.42880415532323</c:v>
                </c:pt>
                <c:pt idx="124">
                  <c:v>515.44742348183274</c:v>
                </c:pt>
                <c:pt idx="125">
                  <c:v>525.46193380622901</c:v>
                </c:pt>
                <c:pt idx="126">
                  <c:v>535.47242448427392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2990912"/>
        <c:axId val="512999072"/>
      </c:scatterChart>
      <c:valAx>
        <c:axId val="5129909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2999072"/>
        <c:crosses val="autoZero"/>
        <c:crossBetween val="midCat"/>
      </c:valAx>
      <c:valAx>
        <c:axId val="51299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29909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5.801495801317297</c:v>
                </c:pt>
                <c:pt idx="2">
                  <c:v>11.338224354812056</c:v>
                </c:pt>
                <c:pt idx="3">
                  <c:v>16.789446377744579</c:v>
                </c:pt>
                <c:pt idx="4">
                  <c:v>22.187960185721035</c:v>
                </c:pt>
                <c:pt idx="5">
                  <c:v>27.548631050574034</c:v>
                </c:pt>
                <c:pt idx="6">
                  <c:v>32.879938743999311</c:v>
                </c:pt>
                <c:pt idx="7">
                  <c:v>38.187349846933962</c:v>
                </c:pt>
                <c:pt idx="8">
                  <c:v>43.474672048821184</c:v>
                </c:pt>
                <c:pt idx="9">
                  <c:v>48.744704049839392</c:v>
                </c:pt>
                <c:pt idx="10">
                  <c:v>53.999586130991638</c:v>
                </c:pt>
                <c:pt idx="11">
                  <c:v>59.241005746612075</c:v>
                </c:pt>
                <c:pt idx="12">
                  <c:v>64.470325943550563</c:v>
                </c:pt>
                <c:pt idx="13">
                  <c:v>69.688669639734925</c:v>
                </c:pt>
                <c:pt idx="14">
                  <c:v>74.896977182801891</c:v>
                </c:pt>
                <c:pt idx="15">
                  <c:v>80.096046972935596</c:v>
                </c:pt>
                <c:pt idx="16">
                  <c:v>85.286564934404339</c:v>
                </c:pt>
                <c:pt idx="17">
                  <c:v>90.469126404872284</c:v>
                </c:pt>
                <c:pt idx="18">
                  <c:v>95.644252725683316</c:v>
                </c:pt>
                <c:pt idx="19">
                  <c:v>100.81240403971977</c:v>
                </c:pt>
                <c:pt idx="20">
                  <c:v>105.97398931811334</c:v>
                </c:pt>
                <c:pt idx="21">
                  <c:v>111.12937432462532</c:v>
                </c:pt>
                <c:pt idx="22">
                  <c:v>116.27888802001949</c:v>
                </c:pt>
                <c:pt idx="23">
                  <c:v>121.42282776908787</c:v>
                </c:pt>
                <c:pt idx="24">
                  <c:v>126.56146361655429</c:v>
                </c:pt>
                <c:pt idx="25">
                  <c:v>131.69504183024628</c:v>
                </c:pt>
                <c:pt idx="26">
                  <c:v>136.82378786140143</c:v>
                </c:pt>
                <c:pt idx="27">
                  <c:v>141.94790883673247</c:v>
                </c:pt>
                <c:pt idx="28">
                  <c:v>147.067595670918</c:v>
                </c:pt>
                <c:pt idx="29">
                  <c:v>152.18302486882931</c:v>
                </c:pt>
                <c:pt idx="30">
                  <c:v>157.29436007218951</c:v>
                </c:pt>
                <c:pt idx="31">
                  <c:v>162.40175339421916</c:v>
                </c:pt>
                <c:pt idx="32">
                  <c:v>167.50534657723114</c:v>
                </c:pt>
                <c:pt idx="33">
                  <c:v>172.60527200146205</c:v>
                </c:pt>
                <c:pt idx="34">
                  <c:v>177.70165356818487</c:v>
                </c:pt>
                <c:pt idx="35">
                  <c:v>182.79460747600638</c:v>
                </c:pt>
                <c:pt idx="36">
                  <c:v>187.8842429059516</c:v>
                </c:pt>
                <c:pt idx="37">
                  <c:v>192.97066262828761</c:v>
                </c:pt>
                <c:pt idx="38">
                  <c:v>198.05396354189983</c:v>
                </c:pt>
                <c:pt idx="39">
                  <c:v>203.13423715529461</c:v>
                </c:pt>
                <c:pt idx="40">
                  <c:v>208.21157001688042</c:v>
                </c:pt>
                <c:pt idx="41">
                  <c:v>213.28604410100945</c:v>
                </c:pt>
                <c:pt idx="42">
                  <c:v>218.35773715529604</c:v>
                </c:pt>
                <c:pt idx="43">
                  <c:v>173.3270961520939</c:v>
                </c:pt>
                <c:pt idx="44">
                  <c:v>185.00201885841236</c:v>
                </c:pt>
                <c:pt idx="45">
                  <c:v>196.65973476943884</c:v>
                </c:pt>
                <c:pt idx="46">
                  <c:v>208.30140833337668</c:v>
                </c:pt>
                <c:pt idx="47">
                  <c:v>219.92806307536296</c:v>
                </c:pt>
                <c:pt idx="48">
                  <c:v>231.54060536306488</c:v>
                </c:pt>
                <c:pt idx="49">
                  <c:v>189.57256567470972</c:v>
                </c:pt>
                <c:pt idx="50">
                  <c:v>200.43711831314491</c:v>
                </c:pt>
                <c:pt idx="51">
                  <c:v>211.2880254312233</c:v>
                </c:pt>
                <c:pt idx="52">
                  <c:v>222.12608711761627</c:v>
                </c:pt>
                <c:pt idx="53">
                  <c:v>232.95201893246744</c:v>
                </c:pt>
                <c:pt idx="54">
                  <c:v>243.76646443655662</c:v>
                </c:pt>
                <c:pt idx="55">
                  <c:v>254.57000537803893</c:v>
                </c:pt>
                <c:pt idx="56">
                  <c:v>265.36317005758787</c:v>
                </c:pt>
                <c:pt idx="57">
                  <c:v>210.10921480176623</c:v>
                </c:pt>
                <c:pt idx="58">
                  <c:v>222.59702714000073</c:v>
                </c:pt>
                <c:pt idx="59">
                  <c:v>235.06877345752704</c:v>
                </c:pt>
                <c:pt idx="60">
                  <c:v>247.52542664815101</c:v>
                </c:pt>
                <c:pt idx="61">
                  <c:v>259.96785362161262</c:v>
                </c:pt>
                <c:pt idx="62">
                  <c:v>272.39683147829231</c:v>
                </c:pt>
                <c:pt idx="63">
                  <c:v>284.81306057448325</c:v>
                </c:pt>
                <c:pt idx="64">
                  <c:v>297.21717518827552</c:v>
                </c:pt>
                <c:pt idx="65">
                  <c:v>231.0700905306887</c:v>
                </c:pt>
                <c:pt idx="66">
                  <c:v>241.88649024382286</c:v>
                </c:pt>
                <c:pt idx="67">
                  <c:v>252.69188827494614</c:v>
                </c:pt>
                <c:pt idx="68">
                  <c:v>263.48682168593842</c:v>
                </c:pt>
                <c:pt idx="69">
                  <c:v>274.27177990650381</c:v>
                </c:pt>
                <c:pt idx="70">
                  <c:v>285.04721070608593</c:v>
                </c:pt>
                <c:pt idx="71">
                  <c:v>295.81352521481881</c:v>
                </c:pt>
                <c:pt idx="72">
                  <c:v>306.57110217476514</c:v>
                </c:pt>
                <c:pt idx="73">
                  <c:v>255.97838717928335</c:v>
                </c:pt>
                <c:pt idx="74">
                  <c:v>265.36317005758787</c:v>
                </c:pt>
                <c:pt idx="75">
                  <c:v>274.74047191396772</c:v>
                </c:pt>
                <c:pt idx="76">
                  <c:v>284.11058429716292</c:v>
                </c:pt>
                <c:pt idx="77">
                  <c:v>293.47377793906503</c:v>
                </c:pt>
                <c:pt idx="78">
                  <c:v>302.8303048722828</c:v>
                </c:pt>
                <c:pt idx="79">
                  <c:v>312.18040027213078</c:v>
                </c:pt>
                <c:pt idx="80">
                  <c:v>321.52428406625791</c:v>
                </c:pt>
                <c:pt idx="81">
                  <c:v>330.86216234726913</c:v>
                </c:pt>
                <c:pt idx="82">
                  <c:v>281.61257498707744</c:v>
                </c:pt>
                <c:pt idx="83">
                  <c:v>290.35346621975464</c:v>
                </c:pt>
                <c:pt idx="84">
                  <c:v>299.08847869495406</c:v>
                </c:pt>
                <c:pt idx="85">
                  <c:v>307.81780846094955</c:v>
                </c:pt>
                <c:pt idx="86">
                  <c:v>316.541639529723</c:v>
                </c:pt>
                <c:pt idx="87">
                  <c:v>325.26014493454312</c:v>
                </c:pt>
                <c:pt idx="88">
                  <c:v>333.97348766815304</c:v>
                </c:pt>
                <c:pt idx="89">
                  <c:v>342.68182151787414</c:v>
                </c:pt>
                <c:pt idx="90">
                  <c:v>351.38529181133828</c:v>
                </c:pt>
                <c:pt idx="91">
                  <c:v>304.23322365298299</c:v>
                </c:pt>
                <c:pt idx="92">
                  <c:v>313.11506466918655</c:v>
                </c:pt>
                <c:pt idx="93">
                  <c:v>321.99131895367549</c:v>
                </c:pt>
                <c:pt idx="94">
                  <c:v>330.86216234726902</c:v>
                </c:pt>
                <c:pt idx="95">
                  <c:v>339.72776048524321</c:v>
                </c:pt>
                <c:pt idx="96">
                  <c:v>348.58826964633084</c:v>
                </c:pt>
                <c:pt idx="97">
                  <c:v>357.44383751084456</c:v>
                </c:pt>
                <c:pt idx="98">
                  <c:v>366.29460383970849</c:v>
                </c:pt>
                <c:pt idx="99">
                  <c:v>375.14070108440433</c:v>
                </c:pt>
                <c:pt idx="100">
                  <c:v>383.98225493635567</c:v>
                </c:pt>
                <c:pt idx="101">
                  <c:v>392.81938482304849</c:v>
                </c:pt>
                <c:pt idx="102">
                  <c:v>401.65220435716355</c:v>
                </c:pt>
                <c:pt idx="103">
                  <c:v>333.81793663042561</c:v>
                </c:pt>
                <c:pt idx="104">
                  <c:v>342.37089418257466</c:v>
                </c:pt>
                <c:pt idx="105">
                  <c:v>350.91915547472746</c:v>
                </c:pt>
                <c:pt idx="106">
                  <c:v>359.46285112001942</c:v>
                </c:pt>
                <c:pt idx="107">
                  <c:v>368.0021050118367</c:v>
                </c:pt>
                <c:pt idx="108">
                  <c:v>376.53703482084626</c:v>
                </c:pt>
                <c:pt idx="109">
                  <c:v>385.06775244458709</c:v>
                </c:pt>
                <c:pt idx="110">
                  <c:v>393.59436441512349</c:v>
                </c:pt>
                <c:pt idx="111">
                  <c:v>402.11697226951827</c:v>
                </c:pt>
                <c:pt idx="112">
                  <c:v>410.63567288724448</c:v>
                </c:pt>
                <c:pt idx="113">
                  <c:v>419.15055879813002</c:v>
                </c:pt>
                <c:pt idx="114">
                  <c:v>427.66171846396492</c:v>
                </c:pt>
                <c:pt idx="115">
                  <c:v>367.53644006416556</c:v>
                </c:pt>
                <c:pt idx="116">
                  <c:v>376.22674819801114</c:v>
                </c:pt>
                <c:pt idx="117">
                  <c:v>384.91268544829819</c:v>
                </c:pt>
                <c:pt idx="118">
                  <c:v>393.59436441512349</c:v>
                </c:pt>
                <c:pt idx="119">
                  <c:v>402.27189232315328</c:v>
                </c:pt>
                <c:pt idx="120">
                  <c:v>410.94537139118694</c:v>
                </c:pt>
                <c:pt idx="121">
                  <c:v>419.61489916888166</c:v>
                </c:pt>
                <c:pt idx="122">
                  <c:v>428.28056884418879</c:v>
                </c:pt>
                <c:pt idx="123">
                  <c:v>436.94246952460418</c:v>
                </c:pt>
                <c:pt idx="124">
                  <c:v>445.60068649494639</c:v>
                </c:pt>
                <c:pt idx="125">
                  <c:v>454.25530145405133</c:v>
                </c:pt>
                <c:pt idx="126">
                  <c:v>462.90639273248456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2995808"/>
        <c:axId val="512996352"/>
      </c:scatterChart>
      <c:valAx>
        <c:axId val="5129958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2996352"/>
        <c:crosses val="autoZero"/>
        <c:crossBetween val="midCat"/>
      </c:valAx>
      <c:valAx>
        <c:axId val="51299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2995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6.4008147276317713</c:v>
                </c:pt>
                <c:pt idx="2">
                  <c:v>12.511946716854245</c:v>
                </c:pt>
                <c:pt idx="3">
                  <c:v>18.529525722734345</c:v>
                </c:pt>
                <c:pt idx="4">
                  <c:v>24.489436492944403</c:v>
                </c:pt>
                <c:pt idx="5">
                  <c:v>30.407943171509331</c:v>
                </c:pt>
                <c:pt idx="6">
                  <c:v>36.294323505227922</c:v>
                </c:pt>
                <c:pt idx="7">
                  <c:v>42.154558498732058</c:v>
                </c:pt>
                <c:pt idx="8">
                  <c:v>47.992814157877746</c:v>
                </c:pt>
                <c:pt idx="9">
                  <c:v>53.812152549965013</c:v>
                </c:pt>
                <c:pt idx="10">
                  <c:v>59.614915363654461</c:v>
                </c:pt>
                <c:pt idx="11">
                  <c:v>65.402948848421758</c:v>
                </c:pt>
                <c:pt idx="12">
                  <c:v>71.177744318420352</c:v>
                </c:pt>
                <c:pt idx="13">
                  <c:v>76.940530361940517</c:v>
                </c:pt>
                <c:pt idx="14">
                  <c:v>82.692335816501739</c:v>
                </c:pt>
                <c:pt idx="15">
                  <c:v>88.43403421443692</c:v>
                </c:pt>
                <c:pt idx="16">
                  <c:v>94.16637602780041</c:v>
                </c:pt>
                <c:pt idx="17">
                  <c:v>99.890012617537479</c:v>
                </c:pt>
                <c:pt idx="18">
                  <c:v>105.60551438497004</c:v>
                </c:pt>
                <c:pt idx="19">
                  <c:v>111.31338477397679</c:v>
                </c:pt>
                <c:pt idx="20">
                  <c:v>117.01407124125171</c:v>
                </c:pt>
                <c:pt idx="21">
                  <c:v>122.70797397015896</c:v>
                </c:pt>
                <c:pt idx="22">
                  <c:v>128.39545287777929</c:v>
                </c:pt>
                <c:pt idx="23">
                  <c:v>134.07683331193397</c:v>
                </c:pt>
                <c:pt idx="24">
                  <c:v>139.75241072946582</c:v>
                </c:pt>
                <c:pt idx="25">
                  <c:v>145.42245457283499</c:v>
                </c:pt>
                <c:pt idx="26">
                  <c:v>151.08721150900081</c:v>
                </c:pt>
                <c:pt idx="27">
                  <c:v>156.74690815599766</c:v>
                </c:pt>
                <c:pt idx="28">
                  <c:v>162.40175339421916</c:v>
                </c:pt>
                <c:pt idx="29">
                  <c:v>168.05194033823992</c:v>
                </c:pt>
                <c:pt idx="30">
                  <c:v>173.69764802902091</c:v>
                </c:pt>
                <c:pt idx="31">
                  <c:v>179.33904289414951</c:v>
                </c:pt>
                <c:pt idx="32">
                  <c:v>184.97628001436814</c:v>
                </c:pt>
                <c:pt idx="33">
                  <c:v>190.6095042273399</c:v>
                </c:pt>
                <c:pt idx="34">
                  <c:v>196.23885109386507</c:v>
                </c:pt>
                <c:pt idx="35">
                  <c:v>201.86444774723134</c:v>
                </c:pt>
                <c:pt idx="36">
                  <c:v>207.48641364276611</c:v>
                </c:pt>
                <c:pt idx="37">
                  <c:v>213.10486122176508</c:v>
                </c:pt>
                <c:pt idx="38">
                  <c:v>218.7198965016253</c:v>
                </c:pt>
                <c:pt idx="39">
                  <c:v>224.33161960211226</c:v>
                </c:pt>
                <c:pt idx="40">
                  <c:v>229.94012521613138</c:v>
                </c:pt>
                <c:pt idx="41">
                  <c:v>235.54550303209763</c:v>
                </c:pt>
                <c:pt idx="42">
                  <c:v>241.14783811393798</c:v>
                </c:pt>
                <c:pt idx="43">
                  <c:v>191.40681249772285</c:v>
                </c:pt>
                <c:pt idx="44">
                  <c:v>204.3027304607468</c:v>
                </c:pt>
                <c:pt idx="45">
                  <c:v>217.17982241103536</c:v>
                </c:pt>
                <c:pt idx="46">
                  <c:v>230.03936237529322</c:v>
                </c:pt>
                <c:pt idx="47">
                  <c:v>242.88247019582346</c:v>
                </c:pt>
                <c:pt idx="48">
                  <c:v>255.71013753254616</c:v>
                </c:pt>
                <c:pt idx="49">
                  <c:v>209.35132741737064</c:v>
                </c:pt>
                <c:pt idx="50">
                  <c:v>221.35235015777684</c:v>
                </c:pt>
                <c:pt idx="51">
                  <c:v>233.3384432883598</c:v>
                </c:pt>
                <c:pt idx="52">
                  <c:v>245.31048218883188</c:v>
                </c:pt>
                <c:pt idx="53">
                  <c:v>257.2692497559587</c:v>
                </c:pt>
                <c:pt idx="54">
                  <c:v>269.21545011175891</c:v>
                </c:pt>
                <c:pt idx="55">
                  <c:v>281.1497197488502</c:v>
                </c:pt>
                <c:pt idx="56">
                  <c:v>293.07263668278034</c:v>
                </c:pt>
                <c:pt idx="57">
                  <c:v>232.03630270552131</c:v>
                </c:pt>
                <c:pt idx="58">
                  <c:v>245.83069921461302</c:v>
                </c:pt>
                <c:pt idx="59">
                  <c:v>259.60751783628712</c:v>
                </c:pt>
                <c:pt idx="60">
                  <c:v>273.36782301693626</c:v>
                </c:pt>
                <c:pt idx="61">
                  <c:v>287.11256324542956</c:v>
                </c:pt>
                <c:pt idx="62">
                  <c:v>300.84258874991298</c:v>
                </c:pt>
                <c:pt idx="63">
                  <c:v>314.55866579256775</c:v>
                </c:pt>
                <c:pt idx="64">
                  <c:v>328.26148833919052</c:v>
                </c:pt>
                <c:pt idx="65">
                  <c:v>255.19038570858649</c:v>
                </c:pt>
                <c:pt idx="66">
                  <c:v>267.13872417109076</c:v>
                </c:pt>
                <c:pt idx="67">
                  <c:v>279.07502565621871</c:v>
                </c:pt>
                <c:pt idx="68">
                  <c:v>290.99987776518356</c:v>
                </c:pt>
                <c:pt idx="69">
                  <c:v>302.91381598467478</c:v>
                </c:pt>
                <c:pt idx="70">
                  <c:v>314.81733022074985</c:v>
                </c:pt>
                <c:pt idx="71">
                  <c:v>326.71087029227471</c:v>
                </c:pt>
                <c:pt idx="72">
                  <c:v>338.59485058221645</c:v>
                </c:pt>
                <c:pt idx="73">
                  <c:v>282.70551490450038</c:v>
                </c:pt>
                <c:pt idx="74">
                  <c:v>293.07263668278034</c:v>
                </c:pt>
                <c:pt idx="75">
                  <c:v>303.43157344975288</c:v>
                </c:pt>
                <c:pt idx="76">
                  <c:v>313.78264418987732</c:v>
                </c:pt>
                <c:pt idx="77">
                  <c:v>324.12614511182926</c:v>
                </c:pt>
                <c:pt idx="78">
                  <c:v>334.46235196533502</c:v>
                </c:pt>
                <c:pt idx="79">
                  <c:v>344.79152205649939</c:v>
                </c:pt>
                <c:pt idx="80">
                  <c:v>355.11389600890431</c:v>
                </c:pt>
                <c:pt idx="81">
                  <c:v>365.42969930916388</c:v>
                </c:pt>
                <c:pt idx="82">
                  <c:v>311.02311066425125</c:v>
                </c:pt>
                <c:pt idx="83">
                  <c:v>320.67913514282071</c:v>
                </c:pt>
                <c:pt idx="84">
                  <c:v>330.32872765301573</c:v>
                </c:pt>
                <c:pt idx="85">
                  <c:v>339.97210269191356</c:v>
                </c:pt>
                <c:pt idx="86">
                  <c:v>349.60946158764392</c:v>
                </c:pt>
                <c:pt idx="87">
                  <c:v>359.24099365648931</c:v>
                </c:pt>
                <c:pt idx="88">
                  <c:v>368.86687722935966</c:v>
                </c:pt>
                <c:pt idx="89">
                  <c:v>378.48728056548151</c:v>
                </c:pt>
                <c:pt idx="90">
                  <c:v>388.10236266830702</c:v>
                </c:pt>
                <c:pt idx="91">
                  <c:v>336.01217001179123</c:v>
                </c:pt>
                <c:pt idx="92">
                  <c:v>345.82406144357356</c:v>
                </c:pt>
                <c:pt idx="93">
                  <c:v>355.62984041335352</c:v>
                </c:pt>
                <c:pt idx="94">
                  <c:v>365.42969930916371</c:v>
                </c:pt>
                <c:pt idx="95">
                  <c:v>375.22381935311847</c:v>
                </c:pt>
                <c:pt idx="96">
                  <c:v>385.01237153030598</c:v>
                </c:pt>
                <c:pt idx="97">
                  <c:v>394.79551741825406</c:v>
                </c:pt>
                <c:pt idx="98">
                  <c:v>404.5734099298611</c:v>
                </c:pt>
                <c:pt idx="99">
                  <c:v>414.34619398074</c:v>
                </c:pt>
                <c:pt idx="100">
                  <c:v>424.11400709030028</c:v>
                </c:pt>
                <c:pt idx="101">
                  <c:v>433.87697992455782</c:v>
                </c:pt>
                <c:pt idx="102">
                  <c:v>443.63523678752887</c:v>
                </c:pt>
                <c:pt idx="103">
                  <c:v>368.69503499470255</c:v>
                </c:pt>
                <c:pt idx="104">
                  <c:v>378.14378727996041</c:v>
                </c:pt>
                <c:pt idx="105">
                  <c:v>387.58740137132469</c:v>
                </c:pt>
                <c:pt idx="106">
                  <c:v>397.02602017306691</c:v>
                </c:pt>
                <c:pt idx="107">
                  <c:v>406.45977923735921</c:v>
                </c:pt>
                <c:pt idx="108">
                  <c:v>415.88880730807415</c:v>
                </c:pt>
                <c:pt idx="109">
                  <c:v>425.31322681268654</c:v>
                </c:pt>
                <c:pt idx="110">
                  <c:v>434.73315430828762</c:v>
                </c:pt>
                <c:pt idx="111">
                  <c:v>444.14870088691947</c:v>
                </c:pt>
                <c:pt idx="112">
                  <c:v>453.5599725447405</c:v>
                </c:pt>
                <c:pt idx="113">
                  <c:v>462.96707051894737</c:v>
                </c:pt>
                <c:pt idx="114">
                  <c:v>472.37009159588257</c:v>
                </c:pt>
                <c:pt idx="115">
                  <c:v>405.94533368860476</c:v>
                </c:pt>
                <c:pt idx="116">
                  <c:v>415.54601502822015</c:v>
                </c:pt>
                <c:pt idx="117">
                  <c:v>425.14191416939929</c:v>
                </c:pt>
                <c:pt idx="118">
                  <c:v>434.73315430828762</c:v>
                </c:pt>
                <c:pt idx="119">
                  <c:v>444.31985275975393</c:v>
                </c:pt>
                <c:pt idx="120">
                  <c:v>453.90212136173153</c:v>
                </c:pt>
                <c:pt idx="121">
                  <c:v>463.48006684362866</c:v>
                </c:pt>
                <c:pt idx="122">
                  <c:v>473.05379116269745</c:v>
                </c:pt>
                <c:pt idx="123">
                  <c:v>482.6233918117494</c:v>
                </c:pt>
                <c:pt idx="124">
                  <c:v>492.18896210119175</c:v>
                </c:pt>
                <c:pt idx="125">
                  <c:v>501.75059141799693</c:v>
                </c:pt>
                <c:pt idx="126">
                  <c:v>511.3083654639002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3000704"/>
        <c:axId val="512985472"/>
      </c:scatterChart>
      <c:valAx>
        <c:axId val="513000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2985472"/>
        <c:crosses val="autoZero"/>
        <c:crossBetween val="midCat"/>
      </c:valAx>
      <c:valAx>
        <c:axId val="51298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3000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1.7460816510956498</c:v>
                </c:pt>
                <c:pt idx="2">
                  <c:v>2.3180014556967161</c:v>
                </c:pt>
                <c:pt idx="3">
                  <c:v>3.0780339598989506</c:v>
                </c:pt>
                <c:pt idx="4">
                  <c:v>4.0882953067104504</c:v>
                </c:pt>
                <c:pt idx="5">
                  <c:v>5.4314879857533951</c:v>
                </c:pt>
                <c:pt idx="6">
                  <c:v>7.2177466383724544</c:v>
                </c:pt>
                <c:pt idx="7">
                  <c:v>9.593767472164485</c:v>
                </c:pt>
                <c:pt idx="8">
                  <c:v>12.75498521670491</c:v>
                </c:pt>
                <c:pt idx="9">
                  <c:v>16.961817770360764</c:v>
                </c:pt>
                <c:pt idx="10">
                  <c:v>22.561341041204923</c:v>
                </c:pt>
                <c:pt idx="11">
                  <c:v>30.01621399084264</c:v>
                </c:pt>
                <c:pt idx="12">
                  <c:v>39.943285360154825</c:v>
                </c:pt>
                <c:pt idx="13">
                  <c:v>53.165130907600769</c:v>
                </c:pt>
                <c:pt idx="14">
                  <c:v>70.778862678611659</c:v>
                </c:pt>
                <c:pt idx="15">
                  <c:v>94.248012775041232</c:v>
                </c:pt>
                <c:pt idx="16">
                  <c:v>125.52524764860102</c:v>
                </c:pt>
                <c:pt idx="17">
                  <c:v>167.21628149603757</c:v>
                </c:pt>
                <c:pt idx="18">
                  <c:v>222.79885157604681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9930048"/>
        <c:axId val="609925696"/>
      </c:scatterChart>
      <c:valAx>
        <c:axId val="609930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925696"/>
        <c:crosses val="autoZero"/>
        <c:crossBetween val="midCat"/>
      </c:valAx>
      <c:valAx>
        <c:axId val="60992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930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9930592"/>
        <c:axId val="609928416"/>
      </c:scatterChart>
      <c:valAx>
        <c:axId val="609930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928416"/>
        <c:crosses val="autoZero"/>
        <c:crossBetween val="midCat"/>
      </c:valAx>
      <c:valAx>
        <c:axId val="60992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930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9924608"/>
        <c:axId val="609926240"/>
      </c:scatterChart>
      <c:valAx>
        <c:axId val="609924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926240"/>
        <c:crosses val="autoZero"/>
        <c:crossBetween val="midCat"/>
      </c:valAx>
      <c:valAx>
        <c:axId val="60992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924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343728"/>
        <c:axId val="612349712"/>
      </c:scatterChart>
      <c:valAx>
        <c:axId val="612343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2349712"/>
        <c:crosses val="autoZero"/>
        <c:crossBetween val="midCat"/>
      </c:valAx>
      <c:valAx>
        <c:axId val="61234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2343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347536"/>
        <c:axId val="612350256"/>
      </c:scatterChart>
      <c:valAx>
        <c:axId val="612347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2350256"/>
        <c:crosses val="autoZero"/>
        <c:crossBetween val="midCat"/>
      </c:valAx>
      <c:valAx>
        <c:axId val="61235025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234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5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5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5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5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5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5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5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5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5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5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5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5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5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5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5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5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5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5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84" zoomScale="71" zoomScaleNormal="100" workbookViewId="0">
      <selection activeCell="G62" sqref="G62"/>
    </sheetView>
  </sheetViews>
  <sheetFormatPr baseColWidth="10" defaultColWidth="11.453125" defaultRowHeight="14.5" x14ac:dyDescent="0.35"/>
  <cols>
    <col min="1" max="1" width="13.7265625" style="25" customWidth="1"/>
    <col min="2" max="2" width="36.1796875" style="25" customWidth="1"/>
    <col min="3" max="3" width="14.81640625" style="25" bestFit="1" customWidth="1"/>
    <col min="4" max="4" width="16.453125" style="25" customWidth="1"/>
    <col min="5" max="5" width="23.26953125" style="25" customWidth="1"/>
    <col min="6" max="6" width="28.81640625" style="25" bestFit="1" customWidth="1"/>
    <col min="7" max="8" width="14.7265625" style="25" customWidth="1"/>
    <col min="9" max="9" width="17" style="25" customWidth="1"/>
    <col min="10" max="10" width="13.81640625" style="25" customWidth="1"/>
    <col min="11" max="16384" width="11.453125" style="25"/>
  </cols>
  <sheetData>
    <row r="1" spans="1:38" x14ac:dyDescent="0.35">
      <c r="A1" s="5"/>
      <c r="B1" s="5"/>
      <c r="C1" s="275" t="s">
        <v>190</v>
      </c>
      <c r="D1" s="275"/>
      <c r="E1" s="27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282" t="s">
        <v>231</v>
      </c>
      <c r="B5" s="282"/>
      <c r="C5" s="26">
        <v>5.65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6" x14ac:dyDescent="0.35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14</v>
      </c>
      <c r="C9" s="35">
        <v>0.61799999999999999</v>
      </c>
      <c r="D9" s="36">
        <f t="shared" ref="D9:D18" si="0">C9*$C$5</f>
        <v>3.4917000000000002</v>
      </c>
      <c r="E9" s="37">
        <v>126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 t="s">
        <v>12</v>
      </c>
      <c r="C10" s="35">
        <v>0.10299999999999999</v>
      </c>
      <c r="D10" s="36">
        <f t="shared" si="0"/>
        <v>0.58194999999999997</v>
      </c>
      <c r="E10" s="37">
        <v>126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 t="s">
        <v>21</v>
      </c>
      <c r="C11" s="35">
        <v>5.0999999999999997E-2</v>
      </c>
      <c r="D11" s="36">
        <f t="shared" si="0"/>
        <v>0.28815000000000002</v>
      </c>
      <c r="E11" s="37">
        <v>126</v>
      </c>
      <c r="F11" s="38" t="str">
        <f t="array" ref="F11">IF(E11="","",IF(INDEX(A:A,MAX(IF(ISNUMBER($A$88:$A$107),ROW($A$88:$A$107),"")))&lt;&gt;E11,"Corrigez : révolution incorrecte","OK"))</f>
        <v>OK</v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 t="s">
        <v>1</v>
      </c>
      <c r="C12" s="35">
        <v>5.0999999999999997E-2</v>
      </c>
      <c r="D12" s="36">
        <f t="shared" si="0"/>
        <v>0.28815000000000002</v>
      </c>
      <c r="E12" s="37">
        <v>126</v>
      </c>
      <c r="F12" s="38" t="str">
        <f t="array" ref="F12">IF(E12="","",IF(INDEX(A:A,MAX(IF(ISNUMBER($A$114:$A$133),ROW($A$114:$A$133),"")))&lt;&gt;E12,"Corrigez : révolution incorrecte","OK"))</f>
        <v>OK</v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 t="s">
        <v>128</v>
      </c>
      <c r="C13" s="35">
        <v>0.17699999999999999</v>
      </c>
      <c r="D13" s="36">
        <f t="shared" si="0"/>
        <v>1.0000500000000001</v>
      </c>
      <c r="E13" s="37">
        <v>18</v>
      </c>
      <c r="F13" s="38" t="str">
        <f t="array" ref="F13">IF(E13="","",IF(INDEX(A:A,MAX(IF(ISNUMBER($A$140:$A$159),ROW($A$140:$A$159),"")))&lt;&gt;E13,"Corrigez : révolution incorrecte","OK"))</f>
        <v>OK</v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101"/>
      <c r="B19" s="39" t="s">
        <v>175</v>
      </c>
      <c r="C19" s="40">
        <f>SUM(C9:C18)</f>
        <v>1</v>
      </c>
      <c r="D19" s="41">
        <f>SUM(D9:D18)</f>
        <v>5.65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35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0.05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35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Chêne sessile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91" t="s">
        <v>185</v>
      </c>
      <c r="C34" s="271" t="s">
        <v>186</v>
      </c>
      <c r="D34" s="271"/>
      <c r="E34" s="272" t="s">
        <v>187</v>
      </c>
      <c r="F34" s="273"/>
      <c r="G34" s="273"/>
      <c r="H34" s="274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5" x14ac:dyDescent="0.3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5">
      <c r="A36" s="53">
        <v>42</v>
      </c>
      <c r="B36" s="63">
        <v>113</v>
      </c>
      <c r="C36" s="63">
        <v>1</v>
      </c>
      <c r="D36" s="63">
        <v>30</v>
      </c>
      <c r="E36" s="54"/>
      <c r="F36" s="54"/>
      <c r="G36" s="54"/>
      <c r="H36" s="54"/>
      <c r="I36" s="52">
        <f>IFERROR(B36/A36,"")</f>
        <v>2.6904761904761907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5">
      <c r="A37" s="53">
        <v>48</v>
      </c>
      <c r="B37" s="63">
        <v>120</v>
      </c>
      <c r="C37" s="63">
        <v>2</v>
      </c>
      <c r="D37" s="63">
        <v>28</v>
      </c>
      <c r="E37" s="54"/>
      <c r="F37" s="54"/>
      <c r="G37" s="54"/>
      <c r="H37" s="54"/>
      <c r="I37" s="56">
        <f t="shared" ref="I37:I55" si="1">IF(A37&lt;&gt;0,(B37-(B36-D36))/(A37-A36),"")</f>
        <v>6.166666666666667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5">
      <c r="A38" s="53">
        <v>56</v>
      </c>
      <c r="B38" s="63">
        <v>138</v>
      </c>
      <c r="C38" s="63">
        <v>3</v>
      </c>
      <c r="D38" s="63">
        <v>36</v>
      </c>
      <c r="E38" s="54"/>
      <c r="F38" s="54"/>
      <c r="G38" s="54"/>
      <c r="H38" s="54"/>
      <c r="I38" s="56">
        <f t="shared" si="1"/>
        <v>5.75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5">
      <c r="A39" s="53">
        <v>64</v>
      </c>
      <c r="B39" s="63">
        <v>155</v>
      </c>
      <c r="C39" s="63">
        <v>4</v>
      </c>
      <c r="D39" s="63">
        <v>41</v>
      </c>
      <c r="E39" s="54"/>
      <c r="F39" s="54"/>
      <c r="G39" s="54"/>
      <c r="H39" s="54"/>
      <c r="I39" s="52">
        <f t="shared" si="1"/>
        <v>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5">
      <c r="A40" s="53">
        <v>72</v>
      </c>
      <c r="B40" s="63">
        <v>160</v>
      </c>
      <c r="C40" s="63">
        <v>5</v>
      </c>
      <c r="D40" s="63">
        <v>32</v>
      </c>
      <c r="E40" s="54"/>
      <c r="F40" s="54"/>
      <c r="G40" s="54"/>
      <c r="H40" s="54"/>
      <c r="I40" s="52">
        <f t="shared" si="1"/>
        <v>5.75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5">
      <c r="A41" s="53">
        <v>81</v>
      </c>
      <c r="B41" s="63">
        <v>173</v>
      </c>
      <c r="C41" s="63">
        <v>6</v>
      </c>
      <c r="D41" s="63">
        <v>31</v>
      </c>
      <c r="E41" s="54"/>
      <c r="F41" s="54"/>
      <c r="G41" s="54"/>
      <c r="H41" s="54"/>
      <c r="I41" s="56">
        <f t="shared" si="1"/>
        <v>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5">
      <c r="A42" s="53">
        <v>90</v>
      </c>
      <c r="B42" s="63">
        <v>184</v>
      </c>
      <c r="C42" s="63">
        <v>7</v>
      </c>
      <c r="D42" s="63">
        <v>30</v>
      </c>
      <c r="E42" s="54"/>
      <c r="F42" s="54"/>
      <c r="G42" s="54"/>
      <c r="H42" s="54"/>
      <c r="I42" s="56">
        <f t="shared" si="1"/>
        <v>4.666666666666667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5">
      <c r="A43" s="53">
        <v>102</v>
      </c>
      <c r="B43" s="63">
        <v>211</v>
      </c>
      <c r="C43" s="63">
        <v>8</v>
      </c>
      <c r="D43" s="63">
        <v>41</v>
      </c>
      <c r="E43" s="54"/>
      <c r="F43" s="54"/>
      <c r="G43" s="54"/>
      <c r="H43" s="54"/>
      <c r="I43" s="52">
        <f t="shared" si="1"/>
        <v>4.75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5">
      <c r="A44" s="53">
        <v>114</v>
      </c>
      <c r="B44" s="63">
        <v>225</v>
      </c>
      <c r="C44" s="63">
        <v>9</v>
      </c>
      <c r="D44" s="63">
        <v>37</v>
      </c>
      <c r="E44" s="54"/>
      <c r="F44" s="54"/>
      <c r="G44" s="54"/>
      <c r="H44" s="54"/>
      <c r="I44" s="52">
        <f t="shared" si="1"/>
        <v>4.583333333333333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5">
      <c r="A45" s="53">
        <v>126</v>
      </c>
      <c r="B45" s="63">
        <v>244</v>
      </c>
      <c r="C45" s="63"/>
      <c r="D45" s="63">
        <v>244</v>
      </c>
      <c r="E45" s="54"/>
      <c r="F45" s="54"/>
      <c r="G45" s="54"/>
      <c r="H45" s="54"/>
      <c r="I45" s="52">
        <f t="shared" si="1"/>
        <v>4.666666666666667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5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5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>Chêne pubescent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91" t="s">
        <v>185</v>
      </c>
      <c r="C60" s="271" t="s">
        <v>186</v>
      </c>
      <c r="D60" s="271"/>
      <c r="E60" s="272" t="s">
        <v>187</v>
      </c>
      <c r="F60" s="273"/>
      <c r="G60" s="273"/>
      <c r="H60" s="274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5" x14ac:dyDescent="0.3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5">
      <c r="A62" s="53">
        <v>42</v>
      </c>
      <c r="B62" s="63">
        <v>113</v>
      </c>
      <c r="C62" s="63">
        <v>1</v>
      </c>
      <c r="D62" s="63">
        <v>30</v>
      </c>
      <c r="E62" s="54"/>
      <c r="F62" s="54"/>
      <c r="G62" s="54"/>
      <c r="H62" s="54"/>
      <c r="I62" s="56">
        <f>IFERROR(B62/A62,"")</f>
        <v>2.6904761904761907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5">
      <c r="A63" s="53">
        <v>48</v>
      </c>
      <c r="B63" s="63">
        <v>120</v>
      </c>
      <c r="C63" s="63">
        <v>2</v>
      </c>
      <c r="D63" s="63">
        <v>28</v>
      </c>
      <c r="E63" s="54"/>
      <c r="F63" s="54"/>
      <c r="G63" s="54"/>
      <c r="H63" s="54"/>
      <c r="I63" s="52">
        <f>IF(A63&lt;&gt;0,(B63-(B62-D62))/(A63-A62),"")</f>
        <v>6.166666666666667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5">
      <c r="A64" s="53">
        <v>56</v>
      </c>
      <c r="B64" s="63">
        <v>138</v>
      </c>
      <c r="C64" s="63">
        <v>3</v>
      </c>
      <c r="D64" s="63">
        <v>36</v>
      </c>
      <c r="E64" s="54"/>
      <c r="F64" s="54"/>
      <c r="G64" s="54"/>
      <c r="H64" s="54"/>
      <c r="I64" s="52">
        <f>IF(A64&lt;&gt;0,(B64-(B63-D63))/(A64-A63),"")</f>
        <v>5.75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5">
      <c r="A65" s="53">
        <v>64</v>
      </c>
      <c r="B65" s="63">
        <v>155</v>
      </c>
      <c r="C65" s="63">
        <v>4</v>
      </c>
      <c r="D65" s="63">
        <v>41</v>
      </c>
      <c r="E65" s="54"/>
      <c r="F65" s="54"/>
      <c r="G65" s="54"/>
      <c r="H65" s="54"/>
      <c r="I65" s="52">
        <f>IF(A65&lt;&gt;0,(B65-(B64-D64))/(A65-A64),"")</f>
        <v>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5">
      <c r="A66" s="53">
        <v>72</v>
      </c>
      <c r="B66" s="63">
        <v>160</v>
      </c>
      <c r="C66" s="63">
        <v>5</v>
      </c>
      <c r="D66" s="63">
        <v>32</v>
      </c>
      <c r="E66" s="54"/>
      <c r="F66" s="54"/>
      <c r="G66" s="54"/>
      <c r="H66" s="54"/>
      <c r="I66" s="52">
        <f t="shared" ref="I66:I81" si="2">IF(A66&lt;&gt;0,(B66-(B65-D65))/(A66-A65),"")</f>
        <v>5.75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5">
      <c r="A67" s="53">
        <v>81</v>
      </c>
      <c r="B67" s="63">
        <v>173</v>
      </c>
      <c r="C67" s="63">
        <v>6</v>
      </c>
      <c r="D67" s="63">
        <v>31</v>
      </c>
      <c r="E67" s="54"/>
      <c r="F67" s="54"/>
      <c r="G67" s="54"/>
      <c r="H67" s="54"/>
      <c r="I67" s="52">
        <f t="shared" si="2"/>
        <v>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5">
      <c r="A68" s="53">
        <v>90</v>
      </c>
      <c r="B68" s="63">
        <v>184</v>
      </c>
      <c r="C68" s="63">
        <v>7</v>
      </c>
      <c r="D68" s="63">
        <v>30</v>
      </c>
      <c r="E68" s="54"/>
      <c r="F68" s="54"/>
      <c r="G68" s="54"/>
      <c r="H68" s="54"/>
      <c r="I68" s="52">
        <f t="shared" si="2"/>
        <v>4.666666666666667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5">
      <c r="A69" s="53">
        <v>102</v>
      </c>
      <c r="B69" s="63">
        <v>211</v>
      </c>
      <c r="C69" s="63">
        <v>8</v>
      </c>
      <c r="D69" s="63">
        <v>41</v>
      </c>
      <c r="E69" s="54"/>
      <c r="F69" s="54"/>
      <c r="G69" s="54"/>
      <c r="H69" s="54"/>
      <c r="I69" s="52">
        <f t="shared" si="2"/>
        <v>4.75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5">
      <c r="A70" s="53">
        <v>114</v>
      </c>
      <c r="B70" s="63">
        <v>225</v>
      </c>
      <c r="C70" s="63">
        <v>9</v>
      </c>
      <c r="D70" s="63">
        <v>37</v>
      </c>
      <c r="E70" s="54"/>
      <c r="F70" s="54"/>
      <c r="G70" s="54"/>
      <c r="H70" s="54"/>
      <c r="I70" s="52">
        <f t="shared" si="2"/>
        <v>4.583333333333333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53">
        <v>126</v>
      </c>
      <c r="B71" s="63">
        <v>244</v>
      </c>
      <c r="C71" s="63"/>
      <c r="D71" s="63">
        <v>244</v>
      </c>
      <c r="E71" s="54"/>
      <c r="F71" s="54"/>
      <c r="G71" s="54"/>
      <c r="H71" s="54"/>
      <c r="I71" s="52">
        <f t="shared" si="2"/>
        <v>4.666666666666667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>Erable champêtre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91" t="s">
        <v>185</v>
      </c>
      <c r="C86" s="271" t="s">
        <v>186</v>
      </c>
      <c r="D86" s="271"/>
      <c r="E86" s="272" t="s">
        <v>187</v>
      </c>
      <c r="F86" s="273"/>
      <c r="G86" s="273"/>
      <c r="H86" s="274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5" x14ac:dyDescent="0.3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5">
      <c r="A88" s="53">
        <v>42</v>
      </c>
      <c r="B88" s="63">
        <v>113</v>
      </c>
      <c r="C88" s="63">
        <v>1</v>
      </c>
      <c r="D88" s="63">
        <v>30</v>
      </c>
      <c r="E88" s="54"/>
      <c r="F88" s="54"/>
      <c r="G88" s="54"/>
      <c r="H88" s="94"/>
      <c r="I88" s="56">
        <f>IFERROR(B88/A88,"")</f>
        <v>2.6904761904761907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5">
      <c r="A89" s="53">
        <v>48</v>
      </c>
      <c r="B89" s="63">
        <v>120</v>
      </c>
      <c r="C89" s="63">
        <v>2</v>
      </c>
      <c r="D89" s="63">
        <v>28</v>
      </c>
      <c r="E89" s="54"/>
      <c r="F89" s="54"/>
      <c r="G89" s="54"/>
      <c r="H89" s="94"/>
      <c r="I89" s="56">
        <f t="shared" ref="I89:I107" si="3">IF(A89&lt;&gt;0,(B89-(B88-D88))/(A89-A88),"")</f>
        <v>6.166666666666667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5">
      <c r="A90" s="53">
        <v>56</v>
      </c>
      <c r="B90" s="63">
        <v>138</v>
      </c>
      <c r="C90" s="63">
        <v>3</v>
      </c>
      <c r="D90" s="63">
        <v>36</v>
      </c>
      <c r="E90" s="94"/>
      <c r="F90" s="94"/>
      <c r="G90" s="94"/>
      <c r="H90" s="94"/>
      <c r="I90" s="56">
        <f t="shared" si="3"/>
        <v>5.75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5">
      <c r="A91" s="53">
        <v>64</v>
      </c>
      <c r="B91" s="63">
        <v>155</v>
      </c>
      <c r="C91" s="63">
        <v>4</v>
      </c>
      <c r="D91" s="63">
        <v>41</v>
      </c>
      <c r="E91" s="94"/>
      <c r="F91" s="94"/>
      <c r="G91" s="94"/>
      <c r="H91" s="94"/>
      <c r="I91" s="56">
        <f t="shared" si="3"/>
        <v>6.625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5">
      <c r="A92" s="53">
        <v>72</v>
      </c>
      <c r="B92" s="63">
        <v>160</v>
      </c>
      <c r="C92" s="63">
        <v>5</v>
      </c>
      <c r="D92" s="63">
        <v>32</v>
      </c>
      <c r="E92" s="94"/>
      <c r="F92" s="94"/>
      <c r="G92" s="94"/>
      <c r="H92" s="94"/>
      <c r="I92" s="56">
        <f t="shared" si="3"/>
        <v>5.75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5">
      <c r="A93" s="53">
        <v>81</v>
      </c>
      <c r="B93" s="63">
        <v>173</v>
      </c>
      <c r="C93" s="63">
        <v>6</v>
      </c>
      <c r="D93" s="63">
        <v>31</v>
      </c>
      <c r="E93" s="94"/>
      <c r="F93" s="94"/>
      <c r="G93" s="94"/>
      <c r="H93" s="94"/>
      <c r="I93" s="56">
        <f t="shared" si="3"/>
        <v>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5">
      <c r="A94" s="53">
        <v>90</v>
      </c>
      <c r="B94" s="63">
        <v>184</v>
      </c>
      <c r="C94" s="63">
        <v>7</v>
      </c>
      <c r="D94" s="63">
        <v>30</v>
      </c>
      <c r="E94" s="94"/>
      <c r="F94" s="94"/>
      <c r="G94" s="94"/>
      <c r="H94" s="94"/>
      <c r="I94" s="56">
        <f t="shared" si="3"/>
        <v>4.666666666666667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5">
      <c r="A95" s="53">
        <v>102</v>
      </c>
      <c r="B95" s="63">
        <v>211</v>
      </c>
      <c r="C95" s="63">
        <v>8</v>
      </c>
      <c r="D95" s="63">
        <v>41</v>
      </c>
      <c r="E95" s="94"/>
      <c r="F95" s="94"/>
      <c r="G95" s="94"/>
      <c r="H95" s="94"/>
      <c r="I95" s="56">
        <f t="shared" si="3"/>
        <v>4.75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5">
      <c r="A96" s="53">
        <v>114</v>
      </c>
      <c r="B96" s="63">
        <v>225</v>
      </c>
      <c r="C96" s="63">
        <v>9</v>
      </c>
      <c r="D96" s="63">
        <v>37</v>
      </c>
      <c r="E96" s="94"/>
      <c r="F96" s="94"/>
      <c r="G96" s="94"/>
      <c r="H96" s="94"/>
      <c r="I96" s="56">
        <f t="shared" si="3"/>
        <v>4.583333333333333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5">
      <c r="A97" s="53">
        <v>126</v>
      </c>
      <c r="B97" s="63">
        <v>244</v>
      </c>
      <c r="C97" s="63"/>
      <c r="D97" s="63">
        <v>244</v>
      </c>
      <c r="E97" s="94"/>
      <c r="F97" s="94"/>
      <c r="G97" s="94"/>
      <c r="H97" s="94"/>
      <c r="I97" s="56">
        <f t="shared" si="3"/>
        <v>4.666666666666667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63"/>
      <c r="B98" s="63"/>
      <c r="C98" s="63"/>
      <c r="D98" s="63"/>
      <c r="E98" s="94"/>
      <c r="F98" s="94"/>
      <c r="G98" s="94"/>
      <c r="H98" s="9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63"/>
      <c r="B99" s="63"/>
      <c r="C99" s="63"/>
      <c r="D99" s="63"/>
      <c r="E99" s="94"/>
      <c r="F99" s="94"/>
      <c r="G99" s="94"/>
      <c r="H99" s="9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>Alisier torminal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91" t="s">
        <v>185</v>
      </c>
      <c r="C112" s="271" t="s">
        <v>186</v>
      </c>
      <c r="D112" s="271"/>
      <c r="E112" s="272" t="s">
        <v>187</v>
      </c>
      <c r="F112" s="273"/>
      <c r="G112" s="273"/>
      <c r="H112" s="274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5" x14ac:dyDescent="0.3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5">
      <c r="A114" s="53">
        <v>42</v>
      </c>
      <c r="B114" s="63">
        <v>113</v>
      </c>
      <c r="C114" s="63">
        <v>1</v>
      </c>
      <c r="D114" s="63">
        <v>30</v>
      </c>
      <c r="E114" s="54"/>
      <c r="F114" s="54"/>
      <c r="G114" s="54"/>
      <c r="H114" s="54"/>
      <c r="I114" s="56">
        <f>IFERROR(B114/A114,"")</f>
        <v>2.6904761904761907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5">
      <c r="A115" s="53">
        <v>48</v>
      </c>
      <c r="B115" s="63">
        <v>120</v>
      </c>
      <c r="C115" s="63">
        <v>2</v>
      </c>
      <c r="D115" s="63">
        <v>28</v>
      </c>
      <c r="E115" s="54"/>
      <c r="F115" s="54"/>
      <c r="G115" s="54"/>
      <c r="H115" s="54"/>
      <c r="I115" s="56">
        <f t="shared" ref="I115:I133" si="4">IF(A115&lt;&gt;0,(B115-(B114-D114))/(A115-A114),"")</f>
        <v>6.166666666666667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5">
      <c r="A116" s="53">
        <v>56</v>
      </c>
      <c r="B116" s="63">
        <v>138</v>
      </c>
      <c r="C116" s="63">
        <v>3</v>
      </c>
      <c r="D116" s="63">
        <v>36</v>
      </c>
      <c r="E116" s="54"/>
      <c r="F116" s="54"/>
      <c r="G116" s="54"/>
      <c r="H116" s="54"/>
      <c r="I116" s="56">
        <f t="shared" si="4"/>
        <v>5.75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5">
      <c r="A117" s="53">
        <v>64</v>
      </c>
      <c r="B117" s="63">
        <v>155</v>
      </c>
      <c r="C117" s="63">
        <v>4</v>
      </c>
      <c r="D117" s="63">
        <v>41</v>
      </c>
      <c r="E117" s="54"/>
      <c r="F117" s="54"/>
      <c r="G117" s="54"/>
      <c r="H117" s="54"/>
      <c r="I117" s="56">
        <f t="shared" si="4"/>
        <v>6.625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5">
      <c r="A118" s="53">
        <v>72</v>
      </c>
      <c r="B118" s="63">
        <v>160</v>
      </c>
      <c r="C118" s="63">
        <v>5</v>
      </c>
      <c r="D118" s="63">
        <v>32</v>
      </c>
      <c r="E118" s="54"/>
      <c r="F118" s="54"/>
      <c r="G118" s="54"/>
      <c r="H118" s="54"/>
      <c r="I118" s="56">
        <f t="shared" si="4"/>
        <v>5.75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5">
      <c r="A119" s="53">
        <v>81</v>
      </c>
      <c r="B119" s="63">
        <v>173</v>
      </c>
      <c r="C119" s="63">
        <v>6</v>
      </c>
      <c r="D119" s="63">
        <v>31</v>
      </c>
      <c r="E119" s="54"/>
      <c r="F119" s="54"/>
      <c r="G119" s="54"/>
      <c r="H119" s="54"/>
      <c r="I119" s="56">
        <f t="shared" si="4"/>
        <v>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5">
      <c r="A120" s="53">
        <v>90</v>
      </c>
      <c r="B120" s="63">
        <v>184</v>
      </c>
      <c r="C120" s="63">
        <v>7</v>
      </c>
      <c r="D120" s="63">
        <v>30</v>
      </c>
      <c r="E120" s="94"/>
      <c r="F120" s="94"/>
      <c r="G120" s="94"/>
      <c r="H120" s="94"/>
      <c r="I120" s="56">
        <f t="shared" si="4"/>
        <v>4.666666666666667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5">
      <c r="A121" s="53">
        <v>102</v>
      </c>
      <c r="B121" s="63">
        <v>211</v>
      </c>
      <c r="C121" s="63">
        <v>8</v>
      </c>
      <c r="D121" s="63">
        <v>41</v>
      </c>
      <c r="E121" s="94"/>
      <c r="F121" s="94"/>
      <c r="G121" s="94"/>
      <c r="H121" s="94"/>
      <c r="I121" s="56">
        <f t="shared" si="4"/>
        <v>4.75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5">
      <c r="A122" s="53">
        <v>114</v>
      </c>
      <c r="B122" s="63">
        <v>225</v>
      </c>
      <c r="C122" s="63">
        <v>9</v>
      </c>
      <c r="D122" s="63">
        <v>37</v>
      </c>
      <c r="E122" s="94"/>
      <c r="F122" s="94"/>
      <c r="G122" s="94"/>
      <c r="H122" s="94"/>
      <c r="I122" s="56">
        <f t="shared" si="4"/>
        <v>4.583333333333333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5">
      <c r="A123" s="53">
        <v>126</v>
      </c>
      <c r="B123" s="63">
        <v>244</v>
      </c>
      <c r="C123" s="63"/>
      <c r="D123" s="63">
        <v>244</v>
      </c>
      <c r="E123" s="94"/>
      <c r="F123" s="94"/>
      <c r="G123" s="94"/>
      <c r="H123" s="94"/>
      <c r="I123" s="56">
        <f t="shared" si="4"/>
        <v>4.666666666666667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>Peuplier Raspalje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91" t="s">
        <v>185</v>
      </c>
      <c r="C138" s="271" t="s">
        <v>186</v>
      </c>
      <c r="D138" s="271"/>
      <c r="E138" s="272" t="s">
        <v>187</v>
      </c>
      <c r="F138" s="273"/>
      <c r="G138" s="273"/>
      <c r="H138" s="274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5" x14ac:dyDescent="0.3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5">
      <c r="A140" s="53">
        <v>18</v>
      </c>
      <c r="B140" s="63">
        <v>200</v>
      </c>
      <c r="C140" s="53"/>
      <c r="D140" s="63">
        <v>200</v>
      </c>
      <c r="E140" s="54">
        <v>0.73</v>
      </c>
      <c r="F140" s="54"/>
      <c r="G140" s="54">
        <v>0.27</v>
      </c>
      <c r="H140" s="54"/>
      <c r="I140" s="60">
        <f>IFERROR(B140/A140,"")</f>
        <v>11.111111111111111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91" t="s">
        <v>185</v>
      </c>
      <c r="C164" s="271" t="s">
        <v>186</v>
      </c>
      <c r="D164" s="271"/>
      <c r="E164" s="272" t="s">
        <v>187</v>
      </c>
      <c r="F164" s="273"/>
      <c r="G164" s="273"/>
      <c r="H164" s="274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5" x14ac:dyDescent="0.3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5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5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5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5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5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91" t="s">
        <v>185</v>
      </c>
      <c r="C190" s="271" t="s">
        <v>186</v>
      </c>
      <c r="D190" s="271"/>
      <c r="E190" s="272" t="s">
        <v>187</v>
      </c>
      <c r="F190" s="273"/>
      <c r="G190" s="273"/>
      <c r="H190" s="274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5" x14ac:dyDescent="0.3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5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5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5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5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5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5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5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91" t="s">
        <v>185</v>
      </c>
      <c r="C216" s="271" t="s">
        <v>186</v>
      </c>
      <c r="D216" s="271"/>
      <c r="E216" s="272" t="s">
        <v>187</v>
      </c>
      <c r="F216" s="273"/>
      <c r="G216" s="273"/>
      <c r="H216" s="274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5" x14ac:dyDescent="0.3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5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5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5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91" t="s">
        <v>185</v>
      </c>
      <c r="C242" s="271" t="s">
        <v>186</v>
      </c>
      <c r="D242" s="271"/>
      <c r="E242" s="272" t="s">
        <v>187</v>
      </c>
      <c r="F242" s="273"/>
      <c r="G242" s="273"/>
      <c r="H242" s="274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5" x14ac:dyDescent="0.3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5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5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5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5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5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91" t="s">
        <v>185</v>
      </c>
      <c r="C268" s="271" t="s">
        <v>186</v>
      </c>
      <c r="D268" s="271"/>
      <c r="E268" s="272" t="s">
        <v>187</v>
      </c>
      <c r="F268" s="273"/>
      <c r="G268" s="273"/>
      <c r="H268" s="274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35">
      <c r="A8" s="115">
        <v>1</v>
      </c>
      <c r="B8" s="64">
        <v>1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0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35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35">
      <c r="A15" s="25"/>
      <c r="B15" s="29" t="s">
        <v>300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25"/>
      <c r="B16" s="64">
        <v>0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25"/>
      <c r="B17" s="64">
        <v>1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25"/>
      <c r="B19" s="116">
        <f>SUM(B16:B18)</f>
        <v>1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453125" defaultRowHeight="14.5" x14ac:dyDescent="0.35"/>
  <cols>
    <col min="1" max="1" width="6.81640625" style="71" bestFit="1" customWidth="1"/>
    <col min="2" max="4" width="11.453125" style="71"/>
    <col min="5" max="5" width="9.54296875" style="71" customWidth="1"/>
    <col min="6" max="7" width="11.453125" style="71"/>
    <col min="8" max="8" width="10.7265625" style="71" customWidth="1"/>
    <col min="9" max="9" width="9.453125" style="71" customWidth="1"/>
    <col min="10" max="11" width="10.54296875" style="71" bestFit="1" customWidth="1"/>
    <col min="12" max="12" width="14" style="71" bestFit="1" customWidth="1"/>
    <col min="13" max="13" width="14" style="71" customWidth="1"/>
    <col min="14" max="23" width="11.453125" style="71"/>
    <col min="24" max="24" width="11.7265625" style="71" bestFit="1" customWidth="1"/>
    <col min="25" max="25" width="14.54296875" style="71" bestFit="1" customWidth="1"/>
    <col min="26" max="26" width="12.453125" style="71" bestFit="1" customWidth="1"/>
    <col min="27" max="27" width="9.7265625" style="71" bestFit="1" customWidth="1"/>
    <col min="28" max="28" width="11" style="71" bestFit="1" customWidth="1"/>
    <col min="29" max="29" width="9.453125" style="71" bestFit="1" customWidth="1"/>
    <col min="30" max="31" width="9.453125" style="71" customWidth="1"/>
    <col min="32" max="32" width="11.453125" style="71"/>
    <col min="33" max="34" width="14" style="71" bestFit="1" customWidth="1"/>
    <col min="35" max="35" width="10.54296875" style="71" bestFit="1" customWidth="1"/>
    <col min="36" max="36" width="9.453125" style="71" bestFit="1" customWidth="1"/>
    <col min="37" max="38" width="10.54296875" style="71" bestFit="1" customWidth="1"/>
    <col min="39" max="41" width="10.54296875" style="71" customWidth="1"/>
    <col min="42" max="42" width="9" style="71" bestFit="1" customWidth="1"/>
    <col min="43" max="43" width="10.54296875" style="71" bestFit="1" customWidth="1"/>
    <col min="44" max="44" width="9.26953125" style="71" bestFit="1" customWidth="1"/>
    <col min="45" max="45" width="11.7265625" style="71" bestFit="1" customWidth="1"/>
    <col min="46" max="46" width="8.453125" style="71" bestFit="1" customWidth="1"/>
    <col min="47" max="47" width="9.453125" style="71" bestFit="1" customWidth="1"/>
    <col min="48" max="48" width="9.7265625" style="71" bestFit="1" customWidth="1"/>
    <col min="49" max="49" width="11" style="71" bestFit="1" customWidth="1"/>
    <col min="50" max="50" width="9.453125" style="71" bestFit="1" customWidth="1"/>
    <col min="51" max="52" width="9.453125" style="71" customWidth="1"/>
    <col min="53" max="53" width="10.54296875" style="71" bestFit="1" customWidth="1"/>
    <col min="54" max="54" width="14.26953125" style="71" customWidth="1"/>
    <col min="55" max="55" width="14" style="71" customWidth="1"/>
    <col min="56" max="56" width="10.54296875" style="71" bestFit="1" customWidth="1"/>
    <col min="57" max="57" width="9.453125" style="71" bestFit="1" customWidth="1"/>
    <col min="58" max="59" width="10.54296875" style="71" bestFit="1" customWidth="1"/>
    <col min="60" max="62" width="10.54296875" style="71" customWidth="1"/>
    <col min="63" max="63" width="9" style="71" bestFit="1" customWidth="1"/>
    <col min="64" max="64" width="10.54296875" style="71" bestFit="1" customWidth="1"/>
    <col min="65" max="65" width="9.26953125" style="71" bestFit="1" customWidth="1"/>
    <col min="66" max="66" width="11.7265625" style="71" bestFit="1" customWidth="1"/>
    <col min="67" max="67" width="8.453125" style="71" bestFit="1" customWidth="1"/>
    <col min="68" max="68" width="9.453125" style="71" bestFit="1" customWidth="1"/>
    <col min="69" max="69" width="9.7265625" style="71" bestFit="1" customWidth="1"/>
    <col min="70" max="70" width="11" style="71" bestFit="1" customWidth="1"/>
    <col min="71" max="71" width="9.453125" style="71" bestFit="1" customWidth="1"/>
    <col min="72" max="73" width="9.453125" style="71" customWidth="1"/>
    <col min="74" max="74" width="10.54296875" style="71" bestFit="1" customWidth="1"/>
    <col min="75" max="75" width="14" style="71" bestFit="1" customWidth="1"/>
    <col min="76" max="76" width="13.81640625" style="71" customWidth="1"/>
    <col min="77" max="77" width="10.54296875" style="71" bestFit="1" customWidth="1"/>
    <col min="78" max="78" width="9.453125" style="71" bestFit="1" customWidth="1"/>
    <col min="79" max="80" width="10.54296875" style="71" bestFit="1" customWidth="1"/>
    <col min="81" max="83" width="10.54296875" style="71" customWidth="1"/>
    <col min="84" max="84" width="11.453125" style="71"/>
    <col min="85" max="85" width="10.54296875" style="71" bestFit="1" customWidth="1"/>
    <col min="86" max="86" width="9.26953125" style="71" bestFit="1" customWidth="1"/>
    <col min="87" max="87" width="11.7265625" style="71" bestFit="1" customWidth="1"/>
    <col min="88" max="88" width="8.453125" style="71" bestFit="1" customWidth="1"/>
    <col min="89" max="89" width="9.453125" style="71" bestFit="1" customWidth="1"/>
    <col min="90" max="90" width="9.7265625" style="71" bestFit="1" customWidth="1"/>
    <col min="91" max="91" width="11" style="71" bestFit="1" customWidth="1"/>
    <col min="92" max="92" width="9.453125" style="71" bestFit="1" customWidth="1"/>
    <col min="93" max="94" width="9.453125" style="71" customWidth="1"/>
    <col min="95" max="95" width="11.453125" style="71"/>
    <col min="96" max="97" width="14" style="71" customWidth="1"/>
    <col min="98" max="98" width="10.54296875" style="71" bestFit="1" customWidth="1"/>
    <col min="99" max="99" width="9.453125" style="71" bestFit="1" customWidth="1"/>
    <col min="100" max="101" width="10.54296875" style="71" bestFit="1" customWidth="1"/>
    <col min="102" max="104" width="10.54296875" style="71" customWidth="1"/>
    <col min="105" max="105" width="9" style="71" bestFit="1" customWidth="1"/>
    <col min="106" max="106" width="10.54296875" style="71" bestFit="1" customWidth="1"/>
    <col min="107" max="107" width="9.26953125" style="71" bestFit="1" customWidth="1"/>
    <col min="108" max="108" width="11.7265625" style="71" bestFit="1" customWidth="1"/>
    <col min="109" max="109" width="8.453125" style="71" bestFit="1" customWidth="1"/>
    <col min="110" max="110" width="9.453125" style="71" bestFit="1" customWidth="1"/>
    <col min="111" max="111" width="9.7265625" style="71" bestFit="1" customWidth="1"/>
    <col min="112" max="112" width="11" style="71" bestFit="1" customWidth="1"/>
    <col min="113" max="113" width="9.453125" style="71" bestFit="1" customWidth="1"/>
    <col min="114" max="115" width="9.453125" style="71" customWidth="1"/>
    <col min="116" max="116" width="10.54296875" style="71" bestFit="1" customWidth="1"/>
    <col min="117" max="117" width="14.26953125" style="71" customWidth="1"/>
    <col min="118" max="118" width="14" style="71" bestFit="1" customWidth="1"/>
    <col min="119" max="119" width="10.54296875" style="71" bestFit="1" customWidth="1"/>
    <col min="120" max="120" width="9.453125" style="71" bestFit="1" customWidth="1"/>
    <col min="121" max="122" width="10.54296875" style="71" bestFit="1" customWidth="1"/>
    <col min="123" max="125" width="10.54296875" style="71" customWidth="1"/>
    <col min="126" max="126" width="9" style="71" bestFit="1" customWidth="1"/>
    <col min="127" max="127" width="10.54296875" style="71" bestFit="1" customWidth="1"/>
    <col min="128" max="128" width="9.26953125" style="71" bestFit="1" customWidth="1"/>
    <col min="129" max="129" width="11.7265625" style="71" bestFit="1" customWidth="1"/>
    <col min="130" max="130" width="8.453125" style="71" bestFit="1" customWidth="1"/>
    <col min="131" max="131" width="9.453125" style="71" bestFit="1" customWidth="1"/>
    <col min="132" max="132" width="9.7265625" style="71" bestFit="1" customWidth="1"/>
    <col min="133" max="133" width="11" style="71" bestFit="1" customWidth="1"/>
    <col min="134" max="134" width="9.453125" style="71" bestFit="1" customWidth="1"/>
    <col min="135" max="136" width="9.453125" style="71" customWidth="1"/>
    <col min="137" max="137" width="10.54296875" style="71" bestFit="1" customWidth="1"/>
    <col min="138" max="139" width="14" style="71" customWidth="1"/>
    <col min="140" max="140" width="10.54296875" style="71" bestFit="1" customWidth="1"/>
    <col min="141" max="141" width="9.453125" style="71" bestFit="1" customWidth="1"/>
    <col min="142" max="143" width="10.54296875" style="71" bestFit="1" customWidth="1"/>
    <col min="144" max="146" width="10.54296875" style="71" customWidth="1"/>
    <col min="147" max="147" width="9" style="71" bestFit="1" customWidth="1"/>
    <col min="148" max="148" width="10.54296875" style="71" bestFit="1" customWidth="1"/>
    <col min="149" max="149" width="9.26953125" style="71" bestFit="1" customWidth="1"/>
    <col min="150" max="150" width="11.7265625" style="71" bestFit="1" customWidth="1"/>
    <col min="151" max="151" width="8.453125" style="71" bestFit="1" customWidth="1"/>
    <col min="152" max="152" width="9.453125" style="71" bestFit="1" customWidth="1"/>
    <col min="153" max="153" width="9.7265625" style="71" bestFit="1" customWidth="1"/>
    <col min="154" max="154" width="11" style="71" bestFit="1" customWidth="1"/>
    <col min="155" max="155" width="9.453125" style="71" bestFit="1" customWidth="1"/>
    <col min="156" max="157" width="9.453125" style="71" customWidth="1"/>
    <col min="158" max="158" width="11.453125" style="71"/>
    <col min="159" max="160" width="14" style="71" bestFit="1" customWidth="1"/>
    <col min="161" max="161" width="10.54296875" style="71" bestFit="1" customWidth="1"/>
    <col min="162" max="162" width="9.453125" style="71" bestFit="1" customWidth="1"/>
    <col min="163" max="164" width="10.54296875" style="71" bestFit="1" customWidth="1"/>
    <col min="165" max="167" width="10.54296875" style="71" customWidth="1"/>
    <col min="168" max="168" width="9" style="71" bestFit="1" customWidth="1"/>
    <col min="169" max="169" width="10.54296875" style="71" bestFit="1" customWidth="1"/>
    <col min="170" max="170" width="9.26953125" style="71" bestFit="1" customWidth="1"/>
    <col min="171" max="171" width="11.7265625" style="71" bestFit="1" customWidth="1"/>
    <col min="172" max="172" width="8.1796875" style="71" bestFit="1" customWidth="1"/>
    <col min="173" max="173" width="9.453125" style="71" bestFit="1" customWidth="1"/>
    <col min="174" max="174" width="9.7265625" style="71" bestFit="1" customWidth="1"/>
    <col min="175" max="175" width="11" style="71" bestFit="1" customWidth="1"/>
    <col min="176" max="176" width="9.453125" style="71" bestFit="1" customWidth="1"/>
    <col min="177" max="178" width="9.453125" style="71" customWidth="1"/>
    <col min="179" max="179" width="10.54296875" style="71" bestFit="1" customWidth="1"/>
    <col min="180" max="181" width="14" style="71" bestFit="1" customWidth="1"/>
    <col min="182" max="182" width="10.54296875" style="71" bestFit="1" customWidth="1"/>
    <col min="183" max="183" width="9.453125" style="71" bestFit="1" customWidth="1"/>
    <col min="184" max="185" width="10.54296875" style="71" bestFit="1" customWidth="1"/>
    <col min="186" max="188" width="10.54296875" style="71" customWidth="1"/>
    <col min="189" max="189" width="9" style="71" bestFit="1" customWidth="1"/>
    <col min="190" max="190" width="10.54296875" style="71" bestFit="1" customWidth="1"/>
    <col min="191" max="191" width="9.26953125" style="71" bestFit="1" customWidth="1"/>
    <col min="192" max="192" width="11.453125" style="71"/>
    <col min="193" max="193" width="8.453125" style="71" bestFit="1" customWidth="1"/>
    <col min="194" max="194" width="9.453125" style="71" bestFit="1" customWidth="1"/>
    <col min="195" max="195" width="9.7265625" style="71" bestFit="1" customWidth="1"/>
    <col min="196" max="196" width="11" style="71" bestFit="1" customWidth="1"/>
    <col min="197" max="197" width="9.453125" style="71" bestFit="1" customWidth="1"/>
    <col min="198" max="199" width="9.453125" style="71" customWidth="1"/>
    <col min="200" max="200" width="10.54296875" style="71" bestFit="1" customWidth="1"/>
    <col min="201" max="201" width="14" style="71" customWidth="1"/>
    <col min="202" max="202" width="14.26953125" style="71" customWidth="1"/>
    <col min="203" max="203" width="10.54296875" style="71" bestFit="1" customWidth="1"/>
    <col min="204" max="204" width="9.453125" style="71" bestFit="1" customWidth="1"/>
    <col min="205" max="206" width="10.54296875" style="71" bestFit="1" customWidth="1"/>
    <col min="207" max="209" width="10.54296875" style="71" customWidth="1"/>
    <col min="210" max="210" width="9" style="71" bestFit="1" customWidth="1"/>
    <col min="211" max="211" width="10.54296875" style="71" bestFit="1" customWidth="1"/>
    <col min="212" max="212" width="9.26953125" style="71" bestFit="1" customWidth="1"/>
    <col min="213" max="213" width="11.7265625" style="71" bestFit="1" customWidth="1"/>
    <col min="214" max="214" width="8.453125" style="71" bestFit="1" customWidth="1"/>
    <col min="215" max="215" width="9.453125" style="71" bestFit="1" customWidth="1"/>
    <col min="216" max="216" width="9.7265625" style="71" bestFit="1" customWidth="1"/>
    <col min="217" max="217" width="11" style="71" bestFit="1" customWidth="1"/>
    <col min="218" max="218" width="9.453125" style="71" bestFit="1" customWidth="1"/>
    <col min="219" max="16384" width="11.453125" style="71"/>
  </cols>
  <sheetData>
    <row r="1" spans="1:218" s="5" customFormat="1" ht="26.5" thickBot="1" x14ac:dyDescent="0.65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Chêne sessile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>Chêne pubescent</v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>Erable champêtre</v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>Alisier torminal</v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>Peuplier Raspalje</v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/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58.5" thickBot="1" x14ac:dyDescent="0.4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286.81278534843665</v>
      </c>
      <c r="T3" s="62">
        <f>IF('Données projet'!E9&gt;30,$R$33-$H$33,LOOKUP('Données projet'!$E$9,$A$3:$A$203,R3:R203)-LOOKUP('Données projet'!$E$9,$A$3:$A$203,$H$3:$H$203))</f>
        <v>199.43308683696642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316.76504852082684</v>
      </c>
      <c r="AO3" s="62">
        <f>IF('Données projet'!E10&gt;30,$AM$33-$H$33,LOOKUP('Données projet'!$E$10,$A$3:$A$203,AM3:AM203)-LOOKUP('Données projet'!$E$10,$A$3:$A$203,$H$3:$H$203))</f>
        <v>218.5520645293999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278.24093386944304</v>
      </c>
      <c r="BJ3" s="62">
        <f>IF('Données projet'!E11&gt;30,$BH$33-$H$33,LOOKUP('Données projet'!$E$11,$A$3:$A$203,BH3:BH203)-LOOKUP('Données projet'!$E$11,$A$3:$A$203,$H$3:$H$203))</f>
        <v>193.96102673885611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303.93739496872121</v>
      </c>
      <c r="CE3" s="62">
        <f>IF('Données projet'!E12&gt;30,$CC$33-$H$33,LOOKUP('Données projet'!$E$12,$A$3:$A$203,CC3:CC203)-LOOKUP('Données projet'!$E$12,$A$3:$A$203,$H$3:$H$203))</f>
        <v>210.36431469568754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57.812812891099895</v>
      </c>
      <c r="CZ3" s="62">
        <f>IF('Données projet'!E13&gt;30,$CX$33-$H$33,LOOKUP('Données projet'!$E$13,$A$3:$A$203,CX3:CX203)-LOOKUP('Données projet'!$E$13,$A$3:$A$203,$H$3:$H$203))</f>
        <v>244.79885157604684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2.6904761904761907</v>
      </c>
      <c r="N4" s="14">
        <f>IF('Données projet'!$A$36&gt;35,N3+M4-V3,IF(A4&lt;'Données projet'!$A$36,$K$205^A4,IF(A4='Données projet'!$A$36,'Données projet'!$B$36,N3+M4-V3)))</f>
        <v>2.6904761904761907</v>
      </c>
      <c r="O4" s="14">
        <f>N4*VLOOKUP('Données projet'!$B$9,Paramètres!$A$1:$I$88,3,0)*VLOOKUP('Données projet'!$B$9,Paramètres!$A$1:$I$88,5,0)</f>
        <v>2.4343428571428576</v>
      </c>
      <c r="P4" s="14">
        <f>EXP(-1.0587+0.8836*LN(O4)+0.284)</f>
        <v>1.0114839008106258</v>
      </c>
      <c r="Q4" s="22">
        <f t="shared" ref="Q4:Q34" si="2">(O4+P4)*0.475*44/12</f>
        <v>6.00148160343565</v>
      </c>
      <c r="R4" s="62">
        <f t="shared" si="0"/>
        <v>263.89037049232451</v>
      </c>
      <c r="S4" s="62">
        <f ca="1">AVERAGE(OFFSET($R$3,0,0,'Données projet'!$E$9+1,1))-AVERAGE(OFFSET($H$3,0,0,'Données projet'!$E$9+1,1))</f>
        <v>286.81278534843665</v>
      </c>
      <c r="T4" s="62">
        <f>$T$3</f>
        <v>199.43308683696642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2.6904761904761907</v>
      </c>
      <c r="AI4" s="14">
        <f>IF('Données projet'!$A$62&gt;35,AI3+AH4-AQ3,IF(A4&lt;'Données projet'!$A$62,$AF$205^A4,IF(A4='Données projet'!$A$62,'Données projet'!$B$62,AI3+AH4-AQ3)))</f>
        <v>2.6904761904761907</v>
      </c>
      <c r="AJ4" s="14">
        <f>AI4*VLOOKUP('Données projet'!$B$10,Paramètres!$A$1:$I$88,3,0)*VLOOKUP('Données projet'!$B$10,Paramètres!$A$1:$I$88,5,0)</f>
        <v>2.7281428571428576</v>
      </c>
      <c r="AK4" s="14">
        <f>EXP(-1.0587+0.8836*LN(AJ4)+0.284)</f>
        <v>1.1186242800369344</v>
      </c>
      <c r="AL4" s="22">
        <f t="shared" ref="AL4:AL67" si="4">(AJ4+AK4)*0.475*44/12</f>
        <v>6.6997860972548038</v>
      </c>
      <c r="AM4" s="62">
        <f t="shared" ref="AM4:AM67" si="5">AL4+(AD4+AE4)*44/12</f>
        <v>264.58867498614364</v>
      </c>
      <c r="AN4" s="62">
        <f ca="1">AVERAGE(OFFSET($AM$3,0,0,'Données projet'!$E$10+1,1))-AVERAGE(OFFSET($H$3,0,0,'Données projet'!$E$10+1,1))</f>
        <v>316.76504852082684</v>
      </c>
      <c r="AO4" s="62">
        <f>$AO$3</f>
        <v>218.5520645293999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2.6904761904761907</v>
      </c>
      <c r="BD4" s="13">
        <f>IF('Données projet'!$A$88&gt;35,BD3+BC4-BL3,IF(A4&lt;'Données projet'!$A$88,$BA$205^A4,IF(A4='Données projet'!$A$88,'Données projet'!$B$88,BD3+BC4-BL3)))</f>
        <v>2.6904761904761907</v>
      </c>
      <c r="BE4" s="14">
        <f>BD4*VLOOKUP('Données projet'!$B$11,Paramètres!$A$1:$I$88,3,0)*VLOOKUP('Données projet'!$B$11,Paramètres!$A$1:$I$88,5,0)</f>
        <v>2.3504000000000005</v>
      </c>
      <c r="BF4" s="14">
        <f>EXP(-1.0587+0.8836*LN(BE4)+0.284)</f>
        <v>0.9806023739620835</v>
      </c>
      <c r="BG4" s="22">
        <f t="shared" ref="BG4:BG67" si="7">(BE4+BF4)*0.475*44/12</f>
        <v>5.801495801317297</v>
      </c>
      <c r="BH4" s="62">
        <f t="shared" ref="BH4:BH67" si="8">BG4+(AY4+AZ4)*44/12</f>
        <v>263.69038469020614</v>
      </c>
      <c r="BI4" s="62">
        <f ca="1">AVERAGE(OFFSET($BH$3,0,0,'Données projet'!$E$11+1,1))-AVERAGE(OFFSET($H$3,0,0,'Données projet'!$E$11+1,1))</f>
        <v>278.24093386944304</v>
      </c>
      <c r="BJ4" s="62">
        <f>$BJ$3</f>
        <v>193.96102673885611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2.6904761904761907</v>
      </c>
      <c r="BY4" s="13">
        <f>IF('Données projet'!$A$114&gt;35,BY3+BX4-CG3,IF(A4&lt;'Données projet'!$A$114,$BV$205^A4,IF(A4='Données projet'!$A$114,'Données projet'!$B$114,BY3+BX4-CG3)))</f>
        <v>2.6904761904761907</v>
      </c>
      <c r="BZ4" s="14">
        <f>BY4*VLOOKUP('Données projet'!$B$12,Paramètres!$A$1:$I$88,3,0)*VLOOKUP('Données projet'!$B$12,Paramètres!$A$1:$I$88,5,0)</f>
        <v>2.6022285714285718</v>
      </c>
      <c r="CA4" s="14">
        <f>EXP(-1.0587+0.8836*LN(BZ4)+0.284)</f>
        <v>1.0728803630968473</v>
      </c>
      <c r="CB4" s="22">
        <f t="shared" ref="CB4:CB67" si="10">(BZ4+CA4)*0.475*44/12</f>
        <v>6.4008147276317713</v>
      </c>
      <c r="CC4" s="62">
        <f t="shared" ref="CC4:CC67" si="11">CB4+(BT4+BU4)*44/12</f>
        <v>264.28970361652063</v>
      </c>
      <c r="CD4" s="62">
        <f ca="1">AVERAGE(OFFSET($CC$3,0,0,'Données projet'!$E$12+1,1))-AVERAGE(OFFSET($H$3,0,0,'Données projet'!$E$12+1,1))</f>
        <v>303.93739496872121</v>
      </c>
      <c r="CE4" s="62">
        <f>$CE$3</f>
        <v>210.36431469568754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11.111111111111111</v>
      </c>
      <c r="CT4" s="13">
        <f>IF('Données projet'!$A$140&gt;35,CT3+CS4-DB3,IF(A4&lt;'Données projet'!$A$140,$CQ$205^A4,IF(A4='Données projet'!$A$140,'Données projet'!$B$140,CT3+CS4-DB3)))</f>
        <v>1.3422549052450548</v>
      </c>
      <c r="CU4" s="18">
        <f>CT4*VLOOKUP('Données projet'!$B$13,Paramètres!$A$1:$I$88,3,0)*VLOOKUP('Données projet'!$B$13,Paramètres!$A$1:$I$88,5,0)</f>
        <v>0.67633540165487827</v>
      </c>
      <c r="CV4" s="14">
        <f>EXP(-1.0587+0.8836*LN(CU4)+0.284)</f>
        <v>0.32619951763449023</v>
      </c>
      <c r="CW4" s="22">
        <f t="shared" ref="CW4:CW67" si="13">(CU4+CV4)*0.475*44/12</f>
        <v>1.7460816510956498</v>
      </c>
      <c r="CX4" s="62">
        <f t="shared" ref="CX4:CX67" si="14">CW4+(CO4+CP4)*44/12</f>
        <v>259.63497053998452</v>
      </c>
      <c r="CY4" s="62">
        <f ca="1">AVERAGE(OFFSET($CX$3,0,0,'Données projet'!$E$13+1,1))-AVERAGE(OFFSET($H$3,0,0,'Données projet'!$E$13+1,1))</f>
        <v>57.812812891099895</v>
      </c>
      <c r="CZ4" s="62">
        <f>$CZ$3</f>
        <v>244.79885157604684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projet'!$B$13,Paramètres!$A$1:$I$88,3,0)*0.475*44/12</f>
        <v>0</v>
      </c>
      <c r="DG4" s="23">
        <f>EXP(-LN(2)/25)*DG3+(1-EXP(-LN(2)/25))/(LN(2)/25)*Calculateur!DB4*Calculateur!DD4*VLOOKUP('Données projet'!$B$13,Paramètres!$A$1:$I$88,3,0)*0.475*44/12</f>
        <v>0</v>
      </c>
      <c r="DH4" s="23">
        <f>EXP(-LN(2)/2)*DH3+(1-EXP(-LN(2)/2))/(LN(2)/2)*DB4*DE4*VLOOKUP('Données projet'!$B$13,Paramètres!$A$1:$I$88,3,0)*0.475*44/12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2.6904761904761907</v>
      </c>
      <c r="N5" s="14">
        <f>IF('Données projet'!$A$36&gt;35,N4+M5-V4,IF(A5&lt;'Données projet'!$A$36,$K$205^A5,IF(A5='Données projet'!$A$36,'Données projet'!$B$36,N4+M5-V4)))</f>
        <v>5.3809523809523814</v>
      </c>
      <c r="O5" s="14">
        <f>N5*VLOOKUP('Données projet'!$B$9,Paramètres!$A$1:$I$88,3,0)*VLOOKUP('Données projet'!$B$9,Paramètres!$A$1:$I$88,5,0)</f>
        <v>4.8686857142857152</v>
      </c>
      <c r="P5" s="14">
        <f t="shared" ref="P5:P68" si="33">EXP(-1.0587+0.8836*LN(O5)+0.284)</f>
        <v>1.8661608704332051</v>
      </c>
      <c r="Q5" s="22">
        <f t="shared" si="2"/>
        <v>11.729857801718786</v>
      </c>
      <c r="R5" s="62">
        <f t="shared" si="0"/>
        <v>270.84096891282991</v>
      </c>
      <c r="S5" s="62">
        <f ca="1">AVERAGE(OFFSET($R$3,0,0,'Données projet'!$E$9+1,1))-AVERAGE(OFFSET($H$3,0,0,'Données projet'!$E$9+1,1))</f>
        <v>286.81278534843665</v>
      </c>
      <c r="T5" s="62">
        <f t="shared" ref="T5:T68" si="34">$T$3</f>
        <v>199.43308683696642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2.6904761904761907</v>
      </c>
      <c r="AI5" s="14">
        <f>IF('Données projet'!$A$62&gt;35,AI4+AH5-AQ4,IF(A5&lt;'Données projet'!$A$62,$AF$205^A5,IF(A5='Données projet'!$A$62,'Données projet'!$B$62,AI4+AH5-AQ4)))</f>
        <v>5.3809523809523814</v>
      </c>
      <c r="AJ5" s="14">
        <f>AI5*VLOOKUP('Données projet'!$B$10,Paramètres!$A$1:$I$88,3,0)*VLOOKUP('Données projet'!$B$10,Paramètres!$A$1:$I$88,5,0)</f>
        <v>5.4562857142857153</v>
      </c>
      <c r="AK5" s="14">
        <f t="shared" ref="AK5:AK68" si="35">EXP(-1.0587+0.8836*LN(AJ5)+0.284)</f>
        <v>2.0638320179376533</v>
      </c>
      <c r="AL5" s="22">
        <f t="shared" si="4"/>
        <v>13.097538383622366</v>
      </c>
      <c r="AM5" s="62">
        <f t="shared" si="5"/>
        <v>272.20864949473349</v>
      </c>
      <c r="AN5" s="62">
        <f ca="1">AVERAGE(OFFSET($AM$3,0,0,'Données projet'!$E$10+1,1))-AVERAGE(OFFSET($H$3,0,0,'Données projet'!$E$10+1,1))</f>
        <v>316.76504852082684</v>
      </c>
      <c r="AO5" s="62">
        <f t="shared" ref="AO5:AO68" si="36">$AO$3</f>
        <v>218.5520645293999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2.6904761904761907</v>
      </c>
      <c r="BD5" s="13">
        <f>IF('Données projet'!$A$88&gt;35,BD4+BC5-BL4,IF(A5&lt;'Données projet'!$A$88,$BA$205^A5,IF(A5='Données projet'!$A$88,'Données projet'!$B$88,BD4+BC5-BL4)))</f>
        <v>5.3809523809523814</v>
      </c>
      <c r="BE5" s="14">
        <f>BD5*VLOOKUP('Données projet'!$B$11,Paramètres!$A$1:$I$88,3,0)*VLOOKUP('Données projet'!$B$11,Paramètres!$A$1:$I$88,5,0)</f>
        <v>4.700800000000001</v>
      </c>
      <c r="BF5" s="14">
        <f t="shared" ref="BF5:BF68" si="37">EXP(-1.0587+0.8836*LN(BE5)+0.284)</f>
        <v>1.8091852754901752</v>
      </c>
      <c r="BG5" s="22">
        <f t="shared" si="7"/>
        <v>11.338224354812056</v>
      </c>
      <c r="BH5" s="62">
        <f t="shared" si="8"/>
        <v>270.44933546592318</v>
      </c>
      <c r="BI5" s="62">
        <f ca="1">AVERAGE(OFFSET($BH$3,0,0,'Données projet'!$E$11+1,1))-AVERAGE(OFFSET($H$3,0,0,'Données projet'!$E$11+1,1))</f>
        <v>278.24093386944304</v>
      </c>
      <c r="BJ5" s="62">
        <f t="shared" ref="BJ5:BJ68" si="38">$BJ$3</f>
        <v>193.96102673885611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2.6904761904761907</v>
      </c>
      <c r="BY5" s="13">
        <f>IF('Données projet'!$A$114&gt;35,BY4+BX5-CG4,IF(A5&lt;'Données projet'!$A$114,$BV$205^A5,IF(A5='Données projet'!$A$114,'Données projet'!$B$114,BY4+BX5-CG4)))</f>
        <v>5.3809523809523814</v>
      </c>
      <c r="BZ5" s="14">
        <f>BY5*VLOOKUP('Données projet'!$B$12,Paramètres!$A$1:$I$88,3,0)*VLOOKUP('Données projet'!$B$12,Paramètres!$A$1:$I$88,5,0)</f>
        <v>5.2044571428571436</v>
      </c>
      <c r="CA5" s="14">
        <f t="shared" ref="CA5:CA68" si="39">EXP(-1.0587+0.8836*LN(BZ5)+0.284)</f>
        <v>1.9794357089251979</v>
      </c>
      <c r="CB5" s="22">
        <f t="shared" si="10"/>
        <v>12.511946716854245</v>
      </c>
      <c r="CC5" s="62">
        <f t="shared" si="11"/>
        <v>271.6230578279654</v>
      </c>
      <c r="CD5" s="62">
        <f ca="1">AVERAGE(OFFSET($CC$3,0,0,'Données projet'!$E$12+1,1))-AVERAGE(OFFSET($H$3,0,0,'Données projet'!$E$12+1,1))</f>
        <v>303.93739496872121</v>
      </c>
      <c r="CE5" s="62">
        <f t="shared" ref="CE5:CE68" si="40">$CE$3</f>
        <v>210.36431469568754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11.111111111111111</v>
      </c>
      <c r="CT5" s="13">
        <f>IF('Données projet'!$A$140&gt;35,CT4+CS5-DB4,IF(A5&lt;'Données projet'!$A$140,$CQ$205^A5,IF(A5='Données projet'!$A$140,'Données projet'!$B$140,CT4+CS5-DB4)))</f>
        <v>1.8016482306544108</v>
      </c>
      <c r="CU5" s="18">
        <f>CT5*VLOOKUP('Données projet'!$B$13,Paramètres!$A$1:$I$88,3,0)*VLOOKUP('Données projet'!$B$13,Paramètres!$A$1:$I$88,5,0)</f>
        <v>0.90781451046214456</v>
      </c>
      <c r="CV5" s="14">
        <f t="shared" ref="CV5:CV68" si="41">EXP(-1.0587+0.8836*LN(CU5)+0.284)</f>
        <v>0.42309541625367331</v>
      </c>
      <c r="CW5" s="22">
        <f t="shared" si="13"/>
        <v>2.3180014556967161</v>
      </c>
      <c r="CX5" s="62">
        <f t="shared" si="14"/>
        <v>261.42911256680787</v>
      </c>
      <c r="CY5" s="62">
        <f ca="1">AVERAGE(OFFSET($CX$3,0,0,'Données projet'!$E$13+1,1))-AVERAGE(OFFSET($H$3,0,0,'Données projet'!$E$13+1,1))</f>
        <v>57.812812891099895</v>
      </c>
      <c r="CZ5" s="62">
        <f t="shared" ref="CZ5:CZ68" si="42">$CZ$3</f>
        <v>244.79885157604684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projet'!$B$13,Paramètres!$A$1:$I$88,3,0)*0.475*44/12</f>
        <v>0</v>
      </c>
      <c r="DG5" s="23">
        <f>EXP(-LN(2)/25)*DG4+(1-EXP(-LN(2)/25))/(LN(2)/25)*Calculateur!DB5*Calculateur!DD5*VLOOKUP('Données projet'!$B$13,Paramètres!$A$1:$I$88,3,0)*0.475*44/12</f>
        <v>0</v>
      </c>
      <c r="DH5" s="23">
        <f>EXP(-LN(2)/2)*DH4+(1-EXP(-LN(2)/2))/(LN(2)/2)*DB5*DE5*VLOOKUP('Données projet'!$B$13,Paramètres!$A$1:$I$88,3,0)*0.475*44/12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2.6904761904761907</v>
      </c>
      <c r="N6" s="14">
        <f>IF('Données projet'!$A$36&gt;35,N5+M6-V5,IF(A6&lt;'Données projet'!$A$36,$K$205^A6,IF(A6='Données projet'!$A$36,'Données projet'!$B$36,N5+M6-V5)))</f>
        <v>8.071428571428573</v>
      </c>
      <c r="O6" s="14">
        <f>N6*VLOOKUP('Données projet'!$B$9,Paramètres!$A$1:$I$88,3,0)*VLOOKUP('Données projet'!$B$9,Paramètres!$A$1:$I$88,5,0)</f>
        <v>7.3030285714285732</v>
      </c>
      <c r="P6" s="14">
        <f t="shared" si="33"/>
        <v>2.6701970724975985</v>
      </c>
      <c r="Q6" s="22">
        <f t="shared" si="2"/>
        <v>17.370034663171413</v>
      </c>
      <c r="R6" s="62">
        <f t="shared" si="0"/>
        <v>277.70336799650471</v>
      </c>
      <c r="S6" s="62">
        <f ca="1">AVERAGE(OFFSET($R$3,0,0,'Données projet'!$E$9+1,1))-AVERAGE(OFFSET($H$3,0,0,'Données projet'!$E$9+1,1))</f>
        <v>286.81278534843665</v>
      </c>
      <c r="T6" s="62">
        <f t="shared" si="34"/>
        <v>199.43308683696642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2.6904761904761907</v>
      </c>
      <c r="AI6" s="14">
        <f>IF('Données projet'!$A$62&gt;35,AI5+AH6-AQ5,IF(A6&lt;'Données projet'!$A$62,$AF$205^A6,IF(A6='Données projet'!$A$62,'Données projet'!$B$62,AI5+AH6-AQ5)))</f>
        <v>8.071428571428573</v>
      </c>
      <c r="AJ6" s="14">
        <f>AI6*VLOOKUP('Données projet'!$B$10,Paramètres!$A$1:$I$88,3,0)*VLOOKUP('Données projet'!$B$10,Paramètres!$A$1:$I$88,5,0)</f>
        <v>8.1844285714285743</v>
      </c>
      <c r="AK6" s="14">
        <f t="shared" si="35"/>
        <v>2.9530349176942408</v>
      </c>
      <c r="AL6" s="22">
        <f t="shared" si="4"/>
        <v>19.397748910222237</v>
      </c>
      <c r="AM6" s="62">
        <f t="shared" si="5"/>
        <v>279.73108224355553</v>
      </c>
      <c r="AN6" s="62">
        <f ca="1">AVERAGE(OFFSET($AM$3,0,0,'Données projet'!$E$10+1,1))-AVERAGE(OFFSET($H$3,0,0,'Données projet'!$E$10+1,1))</f>
        <v>316.76504852082684</v>
      </c>
      <c r="AO6" s="62">
        <f t="shared" si="36"/>
        <v>218.5520645293999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2.6904761904761907</v>
      </c>
      <c r="BD6" s="13">
        <f>IF('Données projet'!$A$88&gt;35,BD5+BC6-BL5,IF(A6&lt;'Données projet'!$A$88,$BA$205^A6,IF(A6='Données projet'!$A$88,'Données projet'!$B$88,BD5+BC6-BL5)))</f>
        <v>8.071428571428573</v>
      </c>
      <c r="BE6" s="14">
        <f>BD6*VLOOKUP('Données projet'!$B$11,Paramètres!$A$1:$I$88,3,0)*VLOOKUP('Données projet'!$B$11,Paramètres!$A$1:$I$88,5,0)</f>
        <v>7.0512000000000024</v>
      </c>
      <c r="BF6" s="14">
        <f t="shared" si="37"/>
        <v>2.5886735183222447</v>
      </c>
      <c r="BG6" s="22">
        <f t="shared" si="7"/>
        <v>16.789446377744579</v>
      </c>
      <c r="BH6" s="62">
        <f t="shared" si="8"/>
        <v>277.1227797110779</v>
      </c>
      <c r="BI6" s="62">
        <f ca="1">AVERAGE(OFFSET($BH$3,0,0,'Données projet'!$E$11+1,1))-AVERAGE(OFFSET($H$3,0,0,'Données projet'!$E$11+1,1))</f>
        <v>278.24093386944304</v>
      </c>
      <c r="BJ6" s="62">
        <f t="shared" si="38"/>
        <v>193.96102673885611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2.6904761904761907</v>
      </c>
      <c r="BY6" s="13">
        <f>IF('Données projet'!$A$114&gt;35,BY5+BX6-CG5,IF(A6&lt;'Données projet'!$A$114,$BV$205^A6,IF(A6='Données projet'!$A$114,'Données projet'!$B$114,BY5+BX6-CG5)))</f>
        <v>8.071428571428573</v>
      </c>
      <c r="BZ6" s="14">
        <f>BY6*VLOOKUP('Données projet'!$B$12,Paramètres!$A$1:$I$88,3,0)*VLOOKUP('Données projet'!$B$12,Paramètres!$A$1:$I$88,5,0)</f>
        <v>7.8066857142857158</v>
      </c>
      <c r="CA6" s="14">
        <f t="shared" si="39"/>
        <v>2.8322764231694113</v>
      </c>
      <c r="CB6" s="22">
        <f t="shared" si="10"/>
        <v>18.529525722734345</v>
      </c>
      <c r="CC6" s="62">
        <f t="shared" si="11"/>
        <v>278.86285905606763</v>
      </c>
      <c r="CD6" s="62">
        <f ca="1">AVERAGE(OFFSET($CC$3,0,0,'Données projet'!$E$12+1,1))-AVERAGE(OFFSET($H$3,0,0,'Données projet'!$E$12+1,1))</f>
        <v>303.93739496872121</v>
      </c>
      <c r="CE6" s="62">
        <f t="shared" si="40"/>
        <v>210.36431469568754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11.111111111111111</v>
      </c>
      <c r="CT6" s="13">
        <f>IF('Données projet'!$A$140&gt;35,CT5+CS6-DB5,IF(A6&lt;'Données projet'!$A$140,$CQ$205^A6,IF(A6='Données projet'!$A$140,'Données projet'!$B$140,CT5+CS6-DB5)))</f>
        <v>2.4182711751219568</v>
      </c>
      <c r="CU6" s="18">
        <f>CT6*VLOOKUP('Données projet'!$B$13,Paramètres!$A$1:$I$88,3,0)*VLOOKUP('Données projet'!$B$13,Paramètres!$A$1:$I$88,5,0)</f>
        <v>1.2185184797204516</v>
      </c>
      <c r="CV6" s="14">
        <f t="shared" si="41"/>
        <v>0.5487737460588501</v>
      </c>
      <c r="CW6" s="22">
        <f t="shared" si="13"/>
        <v>3.0780339598989506</v>
      </c>
      <c r="CX6" s="62">
        <f t="shared" si="14"/>
        <v>263.41136729323227</v>
      </c>
      <c r="CY6" s="62">
        <f ca="1">AVERAGE(OFFSET($CX$3,0,0,'Données projet'!$E$13+1,1))-AVERAGE(OFFSET($H$3,0,0,'Données projet'!$E$13+1,1))</f>
        <v>57.812812891099895</v>
      </c>
      <c r="CZ6" s="62">
        <f t="shared" si="42"/>
        <v>244.79885157604684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projet'!$B$13,Paramètres!$A$1:$I$88,3,0)*0.475*44/12</f>
        <v>0</v>
      </c>
      <c r="DG6" s="23">
        <f>EXP(-LN(2)/25)*DG5+(1-EXP(-LN(2)/25))/(LN(2)/25)*Calculateur!DB6*Calculateur!DD6*VLOOKUP('Données projet'!$B$13,Paramètres!$A$1:$I$88,3,0)*0.475*44/12</f>
        <v>0</v>
      </c>
      <c r="DH6" s="23">
        <f>EXP(-LN(2)/2)*DH5+(1-EXP(-LN(2)/2))/(LN(2)/2)*DB6*DE6*VLOOKUP('Données projet'!$B$13,Paramètres!$A$1:$I$88,3,0)*0.475*44/12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2.6904761904761907</v>
      </c>
      <c r="N7" s="14">
        <f>IF('Données projet'!$A$36&gt;35,N6+M7-V6,IF(A7&lt;'Données projet'!$A$36,$K$205^A7,IF(A7='Données projet'!$A$36,'Données projet'!$B$36,N6+M7-V6)))</f>
        <v>10.761904761904763</v>
      </c>
      <c r="O7" s="14">
        <f>N7*VLOOKUP('Données projet'!$B$9,Paramètres!$A$1:$I$88,3,0)*VLOOKUP('Données projet'!$B$9,Paramètres!$A$1:$I$88,5,0)</f>
        <v>9.7373714285714303</v>
      </c>
      <c r="P7" s="14">
        <f t="shared" si="33"/>
        <v>3.443017127158444</v>
      </c>
      <c r="Q7" s="22">
        <f t="shared" si="2"/>
        <v>22.955843401229529</v>
      </c>
      <c r="R7" s="62">
        <f t="shared" si="0"/>
        <v>284.51139895678506</v>
      </c>
      <c r="S7" s="62">
        <f ca="1">AVERAGE(OFFSET($R$3,0,0,'Données projet'!$E$9+1,1))-AVERAGE(OFFSET($H$3,0,0,'Données projet'!$E$9+1,1))</f>
        <v>286.81278534843665</v>
      </c>
      <c r="T7" s="62">
        <f t="shared" si="34"/>
        <v>199.43308683696642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2.6904761904761907</v>
      </c>
      <c r="AI7" s="14">
        <f>IF('Données projet'!$A$62&gt;35,AI6+AH7-AQ6,IF(A7&lt;'Données projet'!$A$62,$AF$205^A7,IF(A7='Données projet'!$A$62,'Données projet'!$B$62,AI6+AH7-AQ6)))</f>
        <v>10.761904761904763</v>
      </c>
      <c r="AJ7" s="14">
        <f>AI7*VLOOKUP('Données projet'!$B$10,Paramètres!$A$1:$I$88,3,0)*VLOOKUP('Données projet'!$B$10,Paramètres!$A$1:$I$88,5,0)</f>
        <v>10.912571428571431</v>
      </c>
      <c r="AK7" s="14">
        <f t="shared" si="35"/>
        <v>3.8077151321299487</v>
      </c>
      <c r="AL7" s="22">
        <f t="shared" si="4"/>
        <v>25.637832426554898</v>
      </c>
      <c r="AM7" s="62">
        <f t="shared" si="5"/>
        <v>287.19338798211044</v>
      </c>
      <c r="AN7" s="62">
        <f ca="1">AVERAGE(OFFSET($AM$3,0,0,'Données projet'!$E$10+1,1))-AVERAGE(OFFSET($H$3,0,0,'Données projet'!$E$10+1,1))</f>
        <v>316.76504852082684</v>
      </c>
      <c r="AO7" s="62">
        <f t="shared" si="36"/>
        <v>218.5520645293999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2.6904761904761907</v>
      </c>
      <c r="BD7" s="13">
        <f>IF('Données projet'!$A$88&gt;35,BD6+BC7-BL6,IF(A7&lt;'Données projet'!$A$88,$BA$205^A7,IF(A7='Données projet'!$A$88,'Données projet'!$B$88,BD6+BC7-BL6)))</f>
        <v>10.761904761904763</v>
      </c>
      <c r="BE7" s="14">
        <f>BD7*VLOOKUP('Données projet'!$B$11,Paramètres!$A$1:$I$88,3,0)*VLOOKUP('Données projet'!$B$11,Paramètres!$A$1:$I$88,5,0)</f>
        <v>9.401600000000002</v>
      </c>
      <c r="BF7" s="14">
        <f t="shared" si="37"/>
        <v>3.3378986712273875</v>
      </c>
      <c r="BG7" s="22">
        <f t="shared" si="7"/>
        <v>22.187960185721035</v>
      </c>
      <c r="BH7" s="62">
        <f t="shared" si="8"/>
        <v>283.74351574127655</v>
      </c>
      <c r="BI7" s="62">
        <f ca="1">AVERAGE(OFFSET($BH$3,0,0,'Données projet'!$E$11+1,1))-AVERAGE(OFFSET($H$3,0,0,'Données projet'!$E$11+1,1))</f>
        <v>278.24093386944304</v>
      </c>
      <c r="BJ7" s="62">
        <f t="shared" si="38"/>
        <v>193.96102673885611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2.6904761904761907</v>
      </c>
      <c r="BY7" s="13">
        <f>IF('Données projet'!$A$114&gt;35,BY6+BX7-CG6,IF(A7&lt;'Données projet'!$A$114,$BV$205^A7,IF(A7='Données projet'!$A$114,'Données projet'!$B$114,BY6+BX7-CG6)))</f>
        <v>10.761904761904763</v>
      </c>
      <c r="BZ7" s="14">
        <f>BY7*VLOOKUP('Données projet'!$B$12,Paramètres!$A$1:$I$88,3,0)*VLOOKUP('Données projet'!$B$12,Paramètres!$A$1:$I$88,5,0)</f>
        <v>10.408914285714287</v>
      </c>
      <c r="CA7" s="14">
        <f t="shared" si="39"/>
        <v>3.6520061887035524</v>
      </c>
      <c r="CB7" s="22">
        <f t="shared" si="10"/>
        <v>24.489436492944403</v>
      </c>
      <c r="CC7" s="62">
        <f t="shared" si="11"/>
        <v>286.04499204849992</v>
      </c>
      <c r="CD7" s="62">
        <f ca="1">AVERAGE(OFFSET($CC$3,0,0,'Données projet'!$E$12+1,1))-AVERAGE(OFFSET($H$3,0,0,'Données projet'!$E$12+1,1))</f>
        <v>303.93739496872121</v>
      </c>
      <c r="CE7" s="62">
        <f t="shared" si="40"/>
        <v>210.36431469568754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11.111111111111111</v>
      </c>
      <c r="CT7" s="13">
        <f>IF('Données projet'!$A$140&gt;35,CT6+CS7-DB6,IF(A7&lt;'Données projet'!$A$140,$CQ$205^A7,IF(A7='Données projet'!$A$140,'Données projet'!$B$140,CT6+CS7-DB6)))</f>
        <v>3.245936347020169</v>
      </c>
      <c r="CU7" s="18">
        <f>CT7*VLOOKUP('Données projet'!$B$13,Paramètres!$A$1:$I$88,3,0)*VLOOKUP('Données projet'!$B$13,Paramètres!$A$1:$I$88,5,0)</f>
        <v>1.6355624065365231</v>
      </c>
      <c r="CV7" s="14">
        <f t="shared" si="41"/>
        <v>0.71178418104842489</v>
      </c>
      <c r="CW7" s="22">
        <f t="shared" si="13"/>
        <v>4.0882953067104504</v>
      </c>
      <c r="CX7" s="62">
        <f t="shared" si="14"/>
        <v>265.64385086226599</v>
      </c>
      <c r="CY7" s="62">
        <f ca="1">AVERAGE(OFFSET($CX$3,0,0,'Données projet'!$E$13+1,1))-AVERAGE(OFFSET($H$3,0,0,'Données projet'!$E$13+1,1))</f>
        <v>57.812812891099895</v>
      </c>
      <c r="CZ7" s="62">
        <f t="shared" si="42"/>
        <v>244.79885157604684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projet'!$B$13,Paramètres!$A$1:$I$88,3,0)*0.475*44/12</f>
        <v>0</v>
      </c>
      <c r="DG7" s="23">
        <f>EXP(-LN(2)/25)*DG6+(1-EXP(-LN(2)/25))/(LN(2)/25)*Calculateur!DB7*Calculateur!DD7*VLOOKUP('Données projet'!$B$13,Paramètres!$A$1:$I$88,3,0)*0.475*44/12</f>
        <v>0</v>
      </c>
      <c r="DH7" s="23">
        <f>EXP(-LN(2)/2)*DH6+(1-EXP(-LN(2)/2))/(LN(2)/2)*DB7*DE7*VLOOKUP('Données projet'!$B$13,Paramètres!$A$1:$I$88,3,0)*0.475*44/12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2.6904761904761907</v>
      </c>
      <c r="N8" s="14">
        <f>IF('Données projet'!$A$36&gt;35,N7+M8-V7,IF(A8&lt;'Données projet'!$A$36,$K$205^A8,IF(A8='Données projet'!$A$36,'Données projet'!$B$36,N7+M8-V7)))</f>
        <v>13.452380952380953</v>
      </c>
      <c r="O8" s="14">
        <f>N8*VLOOKUP('Données projet'!$B$9,Paramètres!$A$1:$I$88,3,0)*VLOOKUP('Données projet'!$B$9,Paramètres!$A$1:$I$88,5,0)</f>
        <v>12.171714285714286</v>
      </c>
      <c r="P8" s="14">
        <f t="shared" si="33"/>
        <v>4.1934249090509752</v>
      </c>
      <c r="Q8" s="22">
        <f t="shared" si="2"/>
        <v>28.502617430882832</v>
      </c>
      <c r="R8" s="62">
        <f t="shared" si="0"/>
        <v>291.28039520866059</v>
      </c>
      <c r="S8" s="62">
        <f ca="1">AVERAGE(OFFSET($R$3,0,0,'Données projet'!$E$9+1,1))-AVERAGE(OFFSET($H$3,0,0,'Données projet'!$E$9+1,1))</f>
        <v>286.81278534843665</v>
      </c>
      <c r="T8" s="62">
        <f t="shared" si="34"/>
        <v>199.43308683696642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2.6904761904761907</v>
      </c>
      <c r="AI8" s="14">
        <f>IF('Données projet'!$A$62&gt;35,AI7+AH8-AQ7,IF(A8&lt;'Données projet'!$A$62,$AF$205^A8,IF(A8='Données projet'!$A$62,'Données projet'!$B$62,AI7+AH8-AQ7)))</f>
        <v>13.452380952380953</v>
      </c>
      <c r="AJ8" s="14">
        <f>AI8*VLOOKUP('Données projet'!$B$10,Paramètres!$A$1:$I$88,3,0)*VLOOKUP('Données projet'!$B$10,Paramètres!$A$1:$I$88,5,0)</f>
        <v>13.640714285714285</v>
      </c>
      <c r="AK8" s="14">
        <f t="shared" si="35"/>
        <v>4.6376090771358101</v>
      </c>
      <c r="AL8" s="22">
        <f t="shared" si="4"/>
        <v>31.834746523630582</v>
      </c>
      <c r="AM8" s="62">
        <f t="shared" si="5"/>
        <v>294.61252430140837</v>
      </c>
      <c r="AN8" s="62">
        <f ca="1">AVERAGE(OFFSET($AM$3,0,0,'Données projet'!$E$10+1,1))-AVERAGE(OFFSET($H$3,0,0,'Données projet'!$E$10+1,1))</f>
        <v>316.76504852082684</v>
      </c>
      <c r="AO8" s="62">
        <f t="shared" si="36"/>
        <v>218.5520645293999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2.6904761904761907</v>
      </c>
      <c r="BD8" s="13">
        <f>IF('Données projet'!$A$88&gt;35,BD7+BC8-BL7,IF(A8&lt;'Données projet'!$A$88,$BA$205^A8,IF(A8='Données projet'!$A$88,'Données projet'!$B$88,BD7+BC8-BL7)))</f>
        <v>13.452380952380953</v>
      </c>
      <c r="BE8" s="14">
        <f>BD8*VLOOKUP('Données projet'!$B$11,Paramètres!$A$1:$I$88,3,0)*VLOOKUP('Données projet'!$B$11,Paramètres!$A$1:$I$88,5,0)</f>
        <v>11.752000000000002</v>
      </c>
      <c r="BF8" s="14">
        <f t="shared" si="37"/>
        <v>4.0653958185114041</v>
      </c>
      <c r="BG8" s="22">
        <f t="shared" si="7"/>
        <v>27.548631050574034</v>
      </c>
      <c r="BH8" s="62">
        <f t="shared" si="8"/>
        <v>290.32640882835182</v>
      </c>
      <c r="BI8" s="62">
        <f ca="1">AVERAGE(OFFSET($BH$3,0,0,'Données projet'!$E$11+1,1))-AVERAGE(OFFSET($H$3,0,0,'Données projet'!$E$11+1,1))</f>
        <v>278.24093386944304</v>
      </c>
      <c r="BJ8" s="62">
        <f t="shared" si="38"/>
        <v>193.96102673885611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2.6904761904761907</v>
      </c>
      <c r="BY8" s="13">
        <f>IF('Données projet'!$A$114&gt;35,BY7+BX8-CG7,IF(A8&lt;'Données projet'!$A$114,$BV$205^A8,IF(A8='Données projet'!$A$114,'Données projet'!$B$114,BY7+BX8-CG7)))</f>
        <v>13.452380952380953</v>
      </c>
      <c r="BZ8" s="14">
        <f>BY8*VLOOKUP('Données projet'!$B$12,Paramètres!$A$1:$I$88,3,0)*VLOOKUP('Données projet'!$B$12,Paramètres!$A$1:$I$88,5,0)</f>
        <v>13.011142857142858</v>
      </c>
      <c r="CA8" s="14">
        <f t="shared" si="39"/>
        <v>4.4479632700395335</v>
      </c>
      <c r="CB8" s="22">
        <f t="shared" si="10"/>
        <v>30.407943171509331</v>
      </c>
      <c r="CC8" s="62">
        <f t="shared" si="11"/>
        <v>293.18572094928709</v>
      </c>
      <c r="CD8" s="62">
        <f ca="1">AVERAGE(OFFSET($CC$3,0,0,'Données projet'!$E$12+1,1))-AVERAGE(OFFSET($H$3,0,0,'Données projet'!$E$12+1,1))</f>
        <v>303.93739496872121</v>
      </c>
      <c r="CE8" s="62">
        <f t="shared" si="40"/>
        <v>210.36431469568754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11.111111111111111</v>
      </c>
      <c r="CT8" s="13">
        <f>IF('Données projet'!$A$140&gt;35,CT7+CS8-DB7,IF(A8&lt;'Données projet'!$A$140,$CQ$205^A8,IF(A8='Données projet'!$A$140,'Données projet'!$B$140,CT7+CS8-DB7)))</f>
        <v>4.3568739839010364</v>
      </c>
      <c r="CU8" s="18">
        <f>CT8*VLOOKUP('Données projet'!$B$13,Paramètres!$A$1:$I$88,3,0)*VLOOKUP('Données projet'!$B$13,Paramètres!$A$1:$I$88,5,0)</f>
        <v>2.1953416630080542</v>
      </c>
      <c r="CV8" s="14">
        <f t="shared" si="41"/>
        <v>0.92321603216135906</v>
      </c>
      <c r="CW8" s="22">
        <f t="shared" si="13"/>
        <v>5.4314879857533951</v>
      </c>
      <c r="CX8" s="62">
        <f t="shared" si="14"/>
        <v>268.20926576353116</v>
      </c>
      <c r="CY8" s="62">
        <f ca="1">AVERAGE(OFFSET($CX$3,0,0,'Données projet'!$E$13+1,1))-AVERAGE(OFFSET($H$3,0,0,'Données projet'!$E$13+1,1))</f>
        <v>57.812812891099895</v>
      </c>
      <c r="CZ8" s="62">
        <f t="shared" si="42"/>
        <v>244.79885157604684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projet'!$B$13,Paramètres!$A$1:$I$88,3,0)*0.475*44/12</f>
        <v>0</v>
      </c>
      <c r="DG8" s="23">
        <f>EXP(-LN(2)/25)*DG7+(1-EXP(-LN(2)/25))/(LN(2)/25)*Calculateur!DB8*Calculateur!DD8*VLOOKUP('Données projet'!$B$13,Paramètres!$A$1:$I$88,3,0)*0.475*44/12</f>
        <v>0</v>
      </c>
      <c r="DH8" s="23">
        <f>EXP(-LN(2)/2)*DH7+(1-EXP(-LN(2)/2))/(LN(2)/2)*DB8*DE8*VLOOKUP('Données projet'!$B$13,Paramètres!$A$1:$I$88,3,0)*0.475*44/12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2.6904761904761907</v>
      </c>
      <c r="N9" s="14">
        <f>IF('Données projet'!$A$36&gt;35,N8+M9-V8,IF(A9&lt;'Données projet'!$A$36,$K$205^A9,IF(A9='Données projet'!$A$36,'Données projet'!$B$36,N8+M9-V8)))</f>
        <v>16.142857142857142</v>
      </c>
      <c r="O9" s="14">
        <f>N9*VLOOKUP('Données projet'!$B$9,Paramètres!$A$1:$I$88,3,0)*VLOOKUP('Données projet'!$B$9,Paramètres!$A$1:$I$88,5,0)</f>
        <v>14.606057142857141</v>
      </c>
      <c r="P9" s="14">
        <f t="shared" si="33"/>
        <v>4.9264425158391649</v>
      </c>
      <c r="Q9" s="22">
        <f t="shared" si="2"/>
        <v>34.019103572229398</v>
      </c>
      <c r="R9" s="62">
        <f t="shared" si="0"/>
        <v>298.01910357222937</v>
      </c>
      <c r="S9" s="62">
        <f ca="1">AVERAGE(OFFSET($R$3,0,0,'Données projet'!$E$9+1,1))-AVERAGE(OFFSET($H$3,0,0,'Données projet'!$E$9+1,1))</f>
        <v>286.81278534843665</v>
      </c>
      <c r="T9" s="62">
        <f t="shared" si="34"/>
        <v>199.43308683696642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2.6904761904761907</v>
      </c>
      <c r="AI9" s="14">
        <f>IF('Données projet'!$A$62&gt;35,AI8+AH9-AQ8,IF(A9&lt;'Données projet'!$A$62,$AF$205^A9,IF(A9='Données projet'!$A$62,'Données projet'!$B$62,AI8+AH9-AQ8)))</f>
        <v>16.142857142857142</v>
      </c>
      <c r="AJ9" s="14">
        <f>AI9*VLOOKUP('Données projet'!$B$10,Paramètres!$A$1:$I$88,3,0)*VLOOKUP('Données projet'!$B$10,Paramètres!$A$1:$I$88,5,0)</f>
        <v>16.368857142857145</v>
      </c>
      <c r="AK9" s="14">
        <f t="shared" si="35"/>
        <v>5.4482708108427866</v>
      </c>
      <c r="AL9" s="22">
        <f t="shared" si="4"/>
        <v>37.998164519360706</v>
      </c>
      <c r="AM9" s="62">
        <f t="shared" si="5"/>
        <v>301.99816451936073</v>
      </c>
      <c r="AN9" s="62">
        <f ca="1">AVERAGE(OFFSET($AM$3,0,0,'Données projet'!$E$10+1,1))-AVERAGE(OFFSET($H$3,0,0,'Données projet'!$E$10+1,1))</f>
        <v>316.76504852082684</v>
      </c>
      <c r="AO9" s="62">
        <f t="shared" si="36"/>
        <v>218.5520645293999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2.6904761904761907</v>
      </c>
      <c r="BD9" s="13">
        <f>IF('Données projet'!$A$88&gt;35,BD8+BC9-BL8,IF(A9&lt;'Données projet'!$A$88,$BA$205^A9,IF(A9='Données projet'!$A$88,'Données projet'!$B$88,BD8+BC9-BL8)))</f>
        <v>16.142857142857142</v>
      </c>
      <c r="BE9" s="14">
        <f>BD9*VLOOKUP('Données projet'!$B$11,Paramètres!$A$1:$I$88,3,0)*VLOOKUP('Données projet'!$B$11,Paramètres!$A$1:$I$88,5,0)</f>
        <v>14.102400000000001</v>
      </c>
      <c r="BF9" s="14">
        <f t="shared" si="37"/>
        <v>4.7760337286120418</v>
      </c>
      <c r="BG9" s="22">
        <f t="shared" si="7"/>
        <v>32.879938743999311</v>
      </c>
      <c r="BH9" s="62">
        <f t="shared" si="8"/>
        <v>296.87993874399933</v>
      </c>
      <c r="BI9" s="62">
        <f ca="1">AVERAGE(OFFSET($BH$3,0,0,'Données projet'!$E$11+1,1))-AVERAGE(OFFSET($H$3,0,0,'Données projet'!$E$11+1,1))</f>
        <v>278.24093386944304</v>
      </c>
      <c r="BJ9" s="62">
        <f t="shared" si="38"/>
        <v>193.96102673885611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2.6904761904761907</v>
      </c>
      <c r="BY9" s="13">
        <f>IF('Données projet'!$A$114&gt;35,BY8+BX9-CG8,IF(A9&lt;'Données projet'!$A$114,$BV$205^A9,IF(A9='Données projet'!$A$114,'Données projet'!$B$114,BY8+BX9-CG8)))</f>
        <v>16.142857142857142</v>
      </c>
      <c r="BZ9" s="14">
        <f>BY9*VLOOKUP('Données projet'!$B$12,Paramètres!$A$1:$I$88,3,0)*VLOOKUP('Données projet'!$B$12,Paramètres!$A$1:$I$88,5,0)</f>
        <v>15.61337142857143</v>
      </c>
      <c r="CA9" s="14">
        <f t="shared" si="39"/>
        <v>5.2254746031383856</v>
      </c>
      <c r="CB9" s="22">
        <f t="shared" si="10"/>
        <v>36.294323505227922</v>
      </c>
      <c r="CC9" s="62">
        <f t="shared" si="11"/>
        <v>300.29432350522791</v>
      </c>
      <c r="CD9" s="62">
        <f ca="1">AVERAGE(OFFSET($CC$3,0,0,'Données projet'!$E$12+1,1))-AVERAGE(OFFSET($H$3,0,0,'Données projet'!$E$12+1,1))</f>
        <v>303.93739496872121</v>
      </c>
      <c r="CE9" s="62">
        <f t="shared" si="40"/>
        <v>210.36431469568754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11.111111111111111</v>
      </c>
      <c r="CT9" s="13">
        <f>IF('Données projet'!$A$140&gt;35,CT8+CS9-DB8,IF(A9&lt;'Données projet'!$A$140,$CQ$205^A9,IF(A9='Données projet'!$A$140,'Données projet'!$B$140,CT8+CS9-DB8)))</f>
        <v>5.8480354764257294</v>
      </c>
      <c r="CU9" s="18">
        <f>CT9*VLOOKUP('Données projet'!$B$13,Paramètres!$A$1:$I$88,3,0)*VLOOKUP('Données projet'!$B$13,Paramètres!$A$1:$I$88,5,0)</f>
        <v>2.9467081158613966</v>
      </c>
      <c r="CV9" s="14">
        <f t="shared" si="41"/>
        <v>1.1974526334433626</v>
      </c>
      <c r="CW9" s="22">
        <f t="shared" si="13"/>
        <v>7.2177466383724544</v>
      </c>
      <c r="CX9" s="62">
        <f t="shared" si="14"/>
        <v>271.21774663837243</v>
      </c>
      <c r="CY9" s="62">
        <f ca="1">AVERAGE(OFFSET($CX$3,0,0,'Données projet'!$E$13+1,1))-AVERAGE(OFFSET($H$3,0,0,'Données projet'!$E$13+1,1))</f>
        <v>57.812812891099895</v>
      </c>
      <c r="CZ9" s="62">
        <f t="shared" si="42"/>
        <v>244.79885157604684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projet'!$B$13,Paramètres!$A$1:$I$88,3,0)*0.475*44/12</f>
        <v>0</v>
      </c>
      <c r="DG9" s="23">
        <f>EXP(-LN(2)/25)*DG8+(1-EXP(-LN(2)/25))/(LN(2)/25)*Calculateur!DB9*Calculateur!DD9*VLOOKUP('Données projet'!$B$13,Paramètres!$A$1:$I$88,3,0)*0.475*44/12</f>
        <v>0</v>
      </c>
      <c r="DH9" s="23">
        <f>EXP(-LN(2)/2)*DH8+(1-EXP(-LN(2)/2))/(LN(2)/2)*DB9*DE9*VLOOKUP('Données projet'!$B$13,Paramètres!$A$1:$I$88,3,0)*0.475*44/12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2.6904761904761907</v>
      </c>
      <c r="N10" s="14">
        <f>IF('Données projet'!$A$36&gt;35,N9+M10-V9,IF(A10&lt;'Données projet'!$A$36,$K$205^A10,IF(A10='Données projet'!$A$36,'Données projet'!$B$36,N9+M10-V9)))</f>
        <v>18.833333333333332</v>
      </c>
      <c r="O10" s="14">
        <f>N10*VLOOKUP('Données projet'!$B$9,Paramètres!$A$1:$I$88,3,0)*VLOOKUP('Données projet'!$B$9,Paramètres!$A$1:$I$88,5,0)</f>
        <v>17.040399999999998</v>
      </c>
      <c r="P10" s="14">
        <f t="shared" si="33"/>
        <v>5.6453074997047406</v>
      </c>
      <c r="Q10" s="22">
        <f t="shared" si="2"/>
        <v>39.510940561985755</v>
      </c>
      <c r="R10" s="62">
        <f t="shared" si="0"/>
        <v>304.73316278420799</v>
      </c>
      <c r="S10" s="62">
        <f ca="1">AVERAGE(OFFSET($R$3,0,0,'Données projet'!$E$9+1,1))-AVERAGE(OFFSET($H$3,0,0,'Données projet'!$E$9+1,1))</f>
        <v>286.81278534843665</v>
      </c>
      <c r="T10" s="62">
        <f t="shared" si="34"/>
        <v>199.43308683696642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2.6904761904761907</v>
      </c>
      <c r="AI10" s="14">
        <f>IF('Données projet'!$A$62&gt;35,AI9+AH10-AQ9,IF(A10&lt;'Données projet'!$A$62,$AF$205^A10,IF(A10='Données projet'!$A$62,'Données projet'!$B$62,AI9+AH10-AQ9)))</f>
        <v>18.833333333333332</v>
      </c>
      <c r="AJ10" s="14">
        <f>AI10*VLOOKUP('Données projet'!$B$10,Paramètres!$A$1:$I$88,3,0)*VLOOKUP('Données projet'!$B$10,Paramètres!$A$1:$I$88,5,0)</f>
        <v>19.097000000000001</v>
      </c>
      <c r="AK10" s="14">
        <f t="shared" si="35"/>
        <v>6.2432808197771195</v>
      </c>
      <c r="AL10" s="22">
        <f t="shared" si="4"/>
        <v>44.134322427778478</v>
      </c>
      <c r="AM10" s="62">
        <f t="shared" si="5"/>
        <v>309.35654465000073</v>
      </c>
      <c r="AN10" s="62">
        <f ca="1">AVERAGE(OFFSET($AM$3,0,0,'Données projet'!$E$10+1,1))-AVERAGE(OFFSET($H$3,0,0,'Données projet'!$E$10+1,1))</f>
        <v>316.76504852082684</v>
      </c>
      <c r="AO10" s="62">
        <f t="shared" si="36"/>
        <v>218.5520645293999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2.6904761904761907</v>
      </c>
      <c r="BD10" s="13">
        <f>IF('Données projet'!$A$88&gt;35,BD9+BC10-BL9,IF(A10&lt;'Données projet'!$A$88,$BA$205^A10,IF(A10='Données projet'!$A$88,'Données projet'!$B$88,BD9+BC10-BL9)))</f>
        <v>18.833333333333332</v>
      </c>
      <c r="BE10" s="14">
        <f>BD10*VLOOKUP('Données projet'!$B$11,Paramètres!$A$1:$I$88,3,0)*VLOOKUP('Données projet'!$B$11,Paramètres!$A$1:$I$88,5,0)</f>
        <v>16.4528</v>
      </c>
      <c r="BF10" s="14">
        <f t="shared" si="37"/>
        <v>5.472951108287444</v>
      </c>
      <c r="BG10" s="22">
        <f t="shared" si="7"/>
        <v>38.187349846933962</v>
      </c>
      <c r="BH10" s="62">
        <f t="shared" si="8"/>
        <v>303.40957206915618</v>
      </c>
      <c r="BI10" s="62">
        <f ca="1">AVERAGE(OFFSET($BH$3,0,0,'Données projet'!$E$11+1,1))-AVERAGE(OFFSET($H$3,0,0,'Données projet'!$E$11+1,1))</f>
        <v>278.24093386944304</v>
      </c>
      <c r="BJ10" s="62">
        <f t="shared" si="38"/>
        <v>193.96102673885611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2.6904761904761907</v>
      </c>
      <c r="BY10" s="13">
        <f>IF('Données projet'!$A$114&gt;35,BY9+BX10-CG9,IF(A10&lt;'Données projet'!$A$114,$BV$205^A10,IF(A10='Données projet'!$A$114,'Données projet'!$B$114,BY9+BX10-CG9)))</f>
        <v>18.833333333333332</v>
      </c>
      <c r="BZ10" s="14">
        <f>BY10*VLOOKUP('Données projet'!$B$12,Paramètres!$A$1:$I$88,3,0)*VLOOKUP('Données projet'!$B$12,Paramètres!$A$1:$I$88,5,0)</f>
        <v>18.215599999999998</v>
      </c>
      <c r="CA10" s="14">
        <f t="shared" si="39"/>
        <v>5.9879742576452015</v>
      </c>
      <c r="CB10" s="22">
        <f t="shared" si="10"/>
        <v>42.154558498732058</v>
      </c>
      <c r="CC10" s="62">
        <f t="shared" si="11"/>
        <v>307.37678072095429</v>
      </c>
      <c r="CD10" s="62">
        <f ca="1">AVERAGE(OFFSET($CC$3,0,0,'Données projet'!$E$12+1,1))-AVERAGE(OFFSET($H$3,0,0,'Données projet'!$E$12+1,1))</f>
        <v>303.93739496872121</v>
      </c>
      <c r="CE10" s="62">
        <f t="shared" si="40"/>
        <v>210.36431469568754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11.111111111111111</v>
      </c>
      <c r="CT10" s="13">
        <f>IF('Données projet'!$A$140&gt;35,CT9+CS10-DB9,IF(A10&lt;'Données projet'!$A$140,$CQ$205^A10,IF(A10='Données projet'!$A$140,'Données projet'!$B$140,CT9+CS10-DB9)))</f>
        <v>7.8495543042795353</v>
      </c>
      <c r="CU10" s="18">
        <f>CT10*VLOOKUP('Données projet'!$B$13,Paramètres!$A$1:$I$88,3,0)*VLOOKUP('Données projet'!$B$13,Paramètres!$A$1:$I$88,5,0)</f>
        <v>3.9552334228403727</v>
      </c>
      <c r="CV10" s="14">
        <f t="shared" si="41"/>
        <v>1.5531498147660301</v>
      </c>
      <c r="CW10" s="22">
        <f t="shared" si="13"/>
        <v>9.593767472164485</v>
      </c>
      <c r="CX10" s="62">
        <f t="shared" si="14"/>
        <v>274.8159896943867</v>
      </c>
      <c r="CY10" s="62">
        <f ca="1">AVERAGE(OFFSET($CX$3,0,0,'Données projet'!$E$13+1,1))-AVERAGE(OFFSET($H$3,0,0,'Données projet'!$E$13+1,1))</f>
        <v>57.812812891099895</v>
      </c>
      <c r="CZ10" s="62">
        <f t="shared" si="42"/>
        <v>244.79885157604684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projet'!$B$13,Paramètres!$A$1:$I$88,3,0)*0.475*44/12</f>
        <v>0</v>
      </c>
      <c r="DG10" s="23">
        <f>EXP(-LN(2)/25)*DG9+(1-EXP(-LN(2)/25))/(LN(2)/25)*Calculateur!DB10*Calculateur!DD10*VLOOKUP('Données projet'!$B$13,Paramètres!$A$1:$I$88,3,0)*0.475*44/12</f>
        <v>0</v>
      </c>
      <c r="DH10" s="23">
        <f>EXP(-LN(2)/2)*DH9+(1-EXP(-LN(2)/2))/(LN(2)/2)*DB10*DE10*VLOOKUP('Données projet'!$B$13,Paramètres!$A$1:$I$88,3,0)*0.475*44/12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2.6904761904761907</v>
      </c>
      <c r="N11" s="14">
        <f>IF('Données projet'!$A$36&gt;35,N10+M11-V10,IF(A11&lt;'Données projet'!$A$36,$K$205^A11,IF(A11='Données projet'!$A$36,'Données projet'!$B$36,N10+M11-V10)))</f>
        <v>21.523809523809522</v>
      </c>
      <c r="O11" s="14">
        <f>N11*VLOOKUP('Données projet'!$B$9,Paramètres!$A$1:$I$88,3,0)*VLOOKUP('Données projet'!$B$9,Paramètres!$A$1:$I$88,5,0)</f>
        <v>19.474742857142854</v>
      </c>
      <c r="P11" s="14">
        <f t="shared" si="33"/>
        <v>6.3522749435607562</v>
      </c>
      <c r="Q11" s="22">
        <f t="shared" si="2"/>
        <v>44.982056002892115</v>
      </c>
      <c r="R11" s="62">
        <f t="shared" si="0"/>
        <v>311.42650044733659</v>
      </c>
      <c r="S11" s="62">
        <f ca="1">AVERAGE(OFFSET($R$3,0,0,'Données projet'!$E$9+1,1))-AVERAGE(OFFSET($H$3,0,0,'Données projet'!$E$9+1,1))</f>
        <v>286.81278534843665</v>
      </c>
      <c r="T11" s="62">
        <f t="shared" si="34"/>
        <v>199.43308683696642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2.6904761904761907</v>
      </c>
      <c r="AI11" s="14">
        <f>IF('Données projet'!$A$62&gt;35,AI10+AH11-AQ10,IF(A11&lt;'Données projet'!$A$62,$AF$205^A11,IF(A11='Données projet'!$A$62,'Données projet'!$B$62,AI10+AH11-AQ10)))</f>
        <v>21.523809523809522</v>
      </c>
      <c r="AJ11" s="14">
        <f>AI11*VLOOKUP('Données projet'!$B$10,Paramètres!$A$1:$I$88,3,0)*VLOOKUP('Données projet'!$B$10,Paramètres!$A$1:$I$88,5,0)</f>
        <v>21.825142857142858</v>
      </c>
      <c r="AK11" s="14">
        <f t="shared" si="35"/>
        <v>7.0251330541618673</v>
      </c>
      <c r="AL11" s="22">
        <f t="shared" si="4"/>
        <v>50.247563878855722</v>
      </c>
      <c r="AM11" s="62">
        <f t="shared" si="5"/>
        <v>316.69200832330017</v>
      </c>
      <c r="AN11" s="62">
        <f ca="1">AVERAGE(OFFSET($AM$3,0,0,'Données projet'!$E$10+1,1))-AVERAGE(OFFSET($H$3,0,0,'Données projet'!$E$10+1,1))</f>
        <v>316.76504852082684</v>
      </c>
      <c r="AO11" s="62">
        <f t="shared" si="36"/>
        <v>218.5520645293999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2.6904761904761907</v>
      </c>
      <c r="BD11" s="13">
        <f>IF('Données projet'!$A$88&gt;35,BD10+BC11-BL10,IF(A11&lt;'Données projet'!$A$88,$BA$205^A11,IF(A11='Données projet'!$A$88,'Données projet'!$B$88,BD10+BC11-BL10)))</f>
        <v>21.523809523809522</v>
      </c>
      <c r="BE11" s="14">
        <f>BD11*VLOOKUP('Données projet'!$B$11,Paramètres!$A$1:$I$88,3,0)*VLOOKUP('Données projet'!$B$11,Paramètres!$A$1:$I$88,5,0)</f>
        <v>18.8032</v>
      </c>
      <c r="BF11" s="14">
        <f t="shared" si="37"/>
        <v>6.158334190710729</v>
      </c>
      <c r="BG11" s="22">
        <f t="shared" si="7"/>
        <v>43.474672048821184</v>
      </c>
      <c r="BH11" s="62">
        <f t="shared" si="8"/>
        <v>309.91911649326562</v>
      </c>
      <c r="BI11" s="62">
        <f ca="1">AVERAGE(OFFSET($BH$3,0,0,'Données projet'!$E$11+1,1))-AVERAGE(OFFSET($H$3,0,0,'Données projet'!$E$11+1,1))</f>
        <v>278.24093386944304</v>
      </c>
      <c r="BJ11" s="62">
        <f t="shared" si="38"/>
        <v>193.96102673885611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2.6904761904761907</v>
      </c>
      <c r="BY11" s="13">
        <f>IF('Données projet'!$A$114&gt;35,BY10+BX11-CG10,IF(A11&lt;'Données projet'!$A$114,$BV$205^A11,IF(A11='Données projet'!$A$114,'Données projet'!$B$114,BY10+BX11-CG10)))</f>
        <v>21.523809523809522</v>
      </c>
      <c r="BZ11" s="14">
        <f>BY11*VLOOKUP('Données projet'!$B$12,Paramètres!$A$1:$I$88,3,0)*VLOOKUP('Données projet'!$B$12,Paramètres!$A$1:$I$88,5,0)</f>
        <v>20.817828571428571</v>
      </c>
      <c r="CA11" s="14">
        <f t="shared" si="39"/>
        <v>6.7378541986447766</v>
      </c>
      <c r="CB11" s="22">
        <f t="shared" si="10"/>
        <v>47.992814157877746</v>
      </c>
      <c r="CC11" s="62">
        <f t="shared" si="11"/>
        <v>314.43725860232223</v>
      </c>
      <c r="CD11" s="62">
        <f ca="1">AVERAGE(OFFSET($CC$3,0,0,'Données projet'!$E$12+1,1))-AVERAGE(OFFSET($H$3,0,0,'Données projet'!$E$12+1,1))</f>
        <v>303.93739496872121</v>
      </c>
      <c r="CE11" s="62">
        <f t="shared" si="40"/>
        <v>210.36431469568754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11.111111111111111</v>
      </c>
      <c r="CT11" s="13">
        <f>IF('Données projet'!$A$140&gt;35,CT10+CS11-DB10,IF(A11&lt;'Données projet'!$A$140,$CQ$205^A11,IF(A11='Données projet'!$A$140,'Données projet'!$B$140,CT10+CS11-DB10)))</f>
        <v>10.536102768906639</v>
      </c>
      <c r="CU11" s="18">
        <f>CT11*VLOOKUP('Données projet'!$B$13,Paramètres!$A$1:$I$88,3,0)*VLOOKUP('Données projet'!$B$13,Paramètres!$A$1:$I$88,5,0)</f>
        <v>5.3089314631966777</v>
      </c>
      <c r="CV11" s="14">
        <f t="shared" si="41"/>
        <v>2.0145050248635576</v>
      </c>
      <c r="CW11" s="22">
        <f t="shared" si="13"/>
        <v>12.75498521670491</v>
      </c>
      <c r="CX11" s="62">
        <f t="shared" si="14"/>
        <v>279.19942966114934</v>
      </c>
      <c r="CY11" s="62">
        <f ca="1">AVERAGE(OFFSET($CX$3,0,0,'Données projet'!$E$13+1,1))-AVERAGE(OFFSET($H$3,0,0,'Données projet'!$E$13+1,1))</f>
        <v>57.812812891099895</v>
      </c>
      <c r="CZ11" s="62">
        <f t="shared" si="42"/>
        <v>244.79885157604684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projet'!$B$13,Paramètres!$A$1:$I$88,3,0)*0.475*44/12</f>
        <v>0</v>
      </c>
      <c r="DG11" s="23">
        <f>EXP(-LN(2)/25)*DG10+(1-EXP(-LN(2)/25))/(LN(2)/25)*Calculateur!DB11*Calculateur!DD11*VLOOKUP('Données projet'!$B$13,Paramètres!$A$1:$I$88,3,0)*0.475*44/12</f>
        <v>0</v>
      </c>
      <c r="DH11" s="23">
        <f>EXP(-LN(2)/2)*DH10+(1-EXP(-LN(2)/2))/(LN(2)/2)*DB11*DE11*VLOOKUP('Données projet'!$B$13,Paramètres!$A$1:$I$88,3,0)*0.475*44/12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2.6904761904761907</v>
      </c>
      <c r="N12" s="14">
        <f>IF('Données projet'!$A$36&gt;35,N11+M12-V11,IF(A12&lt;'Données projet'!$A$36,$K$205^A12,IF(A12='Données projet'!$A$36,'Données projet'!$B$36,N11+M12-V11)))</f>
        <v>24.214285714285712</v>
      </c>
      <c r="O12" s="14">
        <f>N12*VLOOKUP('Données projet'!$B$9,Paramètres!$A$1:$I$88,3,0)*VLOOKUP('Données projet'!$B$9,Paramètres!$A$1:$I$88,5,0)</f>
        <v>21.909085714285712</v>
      </c>
      <c r="P12" s="14">
        <f t="shared" si="33"/>
        <v>7.0490023620352611</v>
      </c>
      <c r="Q12" s="22">
        <f t="shared" si="2"/>
        <v>50.435336732925691</v>
      </c>
      <c r="R12" s="62">
        <f t="shared" si="0"/>
        <v>318.10200339959238</v>
      </c>
      <c r="S12" s="62">
        <f ca="1">AVERAGE(OFFSET($R$3,0,0,'Données projet'!$E$9+1,1))-AVERAGE(OFFSET($H$3,0,0,'Données projet'!$E$9+1,1))</f>
        <v>286.81278534843665</v>
      </c>
      <c r="T12" s="62">
        <f t="shared" si="34"/>
        <v>199.43308683696642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2.6904761904761907</v>
      </c>
      <c r="AI12" s="14">
        <f>IF('Données projet'!$A$62&gt;35,AI11+AH12-AQ11,IF(A12&lt;'Données projet'!$A$62,$AF$205^A12,IF(A12='Données projet'!$A$62,'Données projet'!$B$62,AI11+AH12-AQ11)))</f>
        <v>24.214285714285712</v>
      </c>
      <c r="AJ12" s="14">
        <f>AI12*VLOOKUP('Données projet'!$B$10,Paramètres!$A$1:$I$88,3,0)*VLOOKUP('Données projet'!$B$10,Paramètres!$A$1:$I$88,5,0)</f>
        <v>24.553285714285714</v>
      </c>
      <c r="AK12" s="14">
        <f t="shared" si="35"/>
        <v>7.7956605991365588</v>
      </c>
      <c r="AL12" s="22">
        <f t="shared" si="4"/>
        <v>56.341081495877127</v>
      </c>
      <c r="AM12" s="62">
        <f t="shared" si="5"/>
        <v>324.00774816254381</v>
      </c>
      <c r="AN12" s="62">
        <f ca="1">AVERAGE(OFFSET($AM$3,0,0,'Données projet'!$E$10+1,1))-AVERAGE(OFFSET($H$3,0,0,'Données projet'!$E$10+1,1))</f>
        <v>316.76504852082684</v>
      </c>
      <c r="AO12" s="62">
        <f t="shared" si="36"/>
        <v>218.5520645293999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2.6904761904761907</v>
      </c>
      <c r="BD12" s="13">
        <f>IF('Données projet'!$A$88&gt;35,BD11+BC12-BL11,IF(A12&lt;'Données projet'!$A$88,$BA$205^A12,IF(A12='Données projet'!$A$88,'Données projet'!$B$88,BD11+BC12-BL11)))</f>
        <v>24.214285714285712</v>
      </c>
      <c r="BE12" s="14">
        <f>BD12*VLOOKUP('Données projet'!$B$11,Paramètres!$A$1:$I$88,3,0)*VLOOKUP('Données projet'!$B$11,Paramètres!$A$1:$I$88,5,0)</f>
        <v>21.153600000000001</v>
      </c>
      <c r="BF12" s="14">
        <f t="shared" si="37"/>
        <v>6.8337898850752508</v>
      </c>
      <c r="BG12" s="22">
        <f t="shared" si="7"/>
        <v>48.744704049839392</v>
      </c>
      <c r="BH12" s="62">
        <f t="shared" si="8"/>
        <v>316.4113707165061</v>
      </c>
      <c r="BI12" s="62">
        <f ca="1">AVERAGE(OFFSET($BH$3,0,0,'Données projet'!$E$11+1,1))-AVERAGE(OFFSET($H$3,0,0,'Données projet'!$E$11+1,1))</f>
        <v>278.24093386944304</v>
      </c>
      <c r="BJ12" s="62">
        <f t="shared" si="38"/>
        <v>193.96102673885611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2.6904761904761907</v>
      </c>
      <c r="BY12" s="13">
        <f>IF('Données projet'!$A$114&gt;35,BY11+BX12-CG11,IF(A12&lt;'Données projet'!$A$114,$BV$205^A12,IF(A12='Données projet'!$A$114,'Données projet'!$B$114,BY11+BX12-CG11)))</f>
        <v>24.214285714285712</v>
      </c>
      <c r="BZ12" s="14">
        <f>BY12*VLOOKUP('Données projet'!$B$12,Paramètres!$A$1:$I$88,3,0)*VLOOKUP('Données projet'!$B$12,Paramètres!$A$1:$I$88,5,0)</f>
        <v>23.420057142857143</v>
      </c>
      <c r="CA12" s="14">
        <f t="shared" si="39"/>
        <v>7.4768725509026694</v>
      </c>
      <c r="CB12" s="22">
        <f t="shared" si="10"/>
        <v>53.812152549965013</v>
      </c>
      <c r="CC12" s="62">
        <f t="shared" si="11"/>
        <v>321.47881921663168</v>
      </c>
      <c r="CD12" s="62">
        <f ca="1">AVERAGE(OFFSET($CC$3,0,0,'Données projet'!$E$12+1,1))-AVERAGE(OFFSET($H$3,0,0,'Données projet'!$E$12+1,1))</f>
        <v>303.93739496872121</v>
      </c>
      <c r="CE12" s="62">
        <f t="shared" si="40"/>
        <v>210.36431469568754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11.111111111111111</v>
      </c>
      <c r="CT12" s="13">
        <f>IF('Données projet'!$A$140&gt;35,CT11+CS12-DB11,IF(A12&lt;'Données projet'!$A$140,$CQ$205^A12,IF(A12='Données projet'!$A$140,'Données projet'!$B$140,CT11+CS12-DB11)))</f>
        <v>14.14213562373094</v>
      </c>
      <c r="CU12" s="18">
        <f>CT12*VLOOKUP('Données projet'!$B$13,Paramètres!$A$1:$I$88,3,0)*VLOOKUP('Données projet'!$B$13,Paramètres!$A$1:$I$88,5,0)</f>
        <v>7.1259392980855472</v>
      </c>
      <c r="CV12" s="14">
        <f t="shared" si="41"/>
        <v>2.6129034408775715</v>
      </c>
      <c r="CW12" s="22">
        <f t="shared" si="13"/>
        <v>16.961817770360764</v>
      </c>
      <c r="CX12" s="62">
        <f t="shared" si="14"/>
        <v>284.62848443702745</v>
      </c>
      <c r="CY12" s="62">
        <f ca="1">AVERAGE(OFFSET($CX$3,0,0,'Données projet'!$E$13+1,1))-AVERAGE(OFFSET($H$3,0,0,'Données projet'!$E$13+1,1))</f>
        <v>57.812812891099895</v>
      </c>
      <c r="CZ12" s="62">
        <f t="shared" si="42"/>
        <v>244.79885157604684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projet'!$B$13,Paramètres!$A$1:$I$88,3,0)*0.475*44/12</f>
        <v>0</v>
      </c>
      <c r="DG12" s="23">
        <f>EXP(-LN(2)/25)*DG11+(1-EXP(-LN(2)/25))/(LN(2)/25)*Calculateur!DB12*Calculateur!DD12*VLOOKUP('Données projet'!$B$13,Paramètres!$A$1:$I$88,3,0)*0.475*44/12</f>
        <v>0</v>
      </c>
      <c r="DH12" s="23">
        <f>EXP(-LN(2)/2)*DH11+(1-EXP(-LN(2)/2))/(LN(2)/2)*DB12*DE12*VLOOKUP('Données projet'!$B$13,Paramètres!$A$1:$I$88,3,0)*0.475*44/12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2.6904761904761907</v>
      </c>
      <c r="N13" s="14">
        <f>IF('Données projet'!$A$36&gt;35,N12+M13-V12,IF(A13&lt;'Données projet'!$A$36,$K$205^A13,IF(A13='Données projet'!$A$36,'Données projet'!$B$36,N12+M13-V12)))</f>
        <v>26.904761904761902</v>
      </c>
      <c r="O13" s="14">
        <f>N13*VLOOKUP('Données projet'!$B$9,Paramètres!$A$1:$I$88,3,0)*VLOOKUP('Données projet'!$B$9,Paramètres!$A$1:$I$88,5,0)</f>
        <v>24.343428571428568</v>
      </c>
      <c r="P13" s="14">
        <f t="shared" si="33"/>
        <v>7.7367573246585843</v>
      </c>
      <c r="Q13" s="22">
        <f t="shared" si="2"/>
        <v>55.872990435685118</v>
      </c>
      <c r="R13" s="62">
        <f t="shared" si="0"/>
        <v>324.76187932457395</v>
      </c>
      <c r="S13" s="62">
        <f ca="1">AVERAGE(OFFSET($R$3,0,0,'Données projet'!$E$9+1,1))-AVERAGE(OFFSET($H$3,0,0,'Données projet'!$E$9+1,1))</f>
        <v>286.81278534843665</v>
      </c>
      <c r="T13" s="62">
        <f t="shared" si="34"/>
        <v>199.43308683696642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2.6904761904761907</v>
      </c>
      <c r="AI13" s="14">
        <f>IF('Données projet'!$A$62&gt;35,AI12+AH13-AQ12,IF(A13&lt;'Données projet'!$A$62,$AF$205^A13,IF(A13='Données projet'!$A$62,'Données projet'!$B$62,AI12+AH13-AQ12)))</f>
        <v>26.904761904761902</v>
      </c>
      <c r="AJ13" s="14">
        <f>AI13*VLOOKUP('Données projet'!$B$10,Paramètres!$A$1:$I$88,3,0)*VLOOKUP('Données projet'!$B$10,Paramètres!$A$1:$I$88,5,0)</f>
        <v>27.28142857142857</v>
      </c>
      <c r="AK13" s="14">
        <f t="shared" si="35"/>
        <v>8.5562652902144691</v>
      </c>
      <c r="AL13" s="22">
        <f t="shared" si="4"/>
        <v>62.417316809028286</v>
      </c>
      <c r="AM13" s="62">
        <f t="shared" si="5"/>
        <v>331.30620569791716</v>
      </c>
      <c r="AN13" s="62">
        <f ca="1">AVERAGE(OFFSET($AM$3,0,0,'Données projet'!$E$10+1,1))-AVERAGE(OFFSET($H$3,0,0,'Données projet'!$E$10+1,1))</f>
        <v>316.76504852082684</v>
      </c>
      <c r="AO13" s="62">
        <f t="shared" si="36"/>
        <v>218.5520645293999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2.6904761904761907</v>
      </c>
      <c r="BD13" s="13">
        <f>IF('Données projet'!$A$88&gt;35,BD12+BC13-BL12,IF(A13&lt;'Données projet'!$A$88,$BA$205^A13,IF(A13='Données projet'!$A$88,'Données projet'!$B$88,BD12+BC13-BL12)))</f>
        <v>26.904761904761902</v>
      </c>
      <c r="BE13" s="14">
        <f>BD13*VLOOKUP('Données projet'!$B$11,Paramètres!$A$1:$I$88,3,0)*VLOOKUP('Données projet'!$B$11,Paramètres!$A$1:$I$88,5,0)</f>
        <v>23.504000000000001</v>
      </c>
      <c r="BF13" s="14">
        <f t="shared" si="37"/>
        <v>7.5005470608564417</v>
      </c>
      <c r="BG13" s="22">
        <f t="shared" si="7"/>
        <v>53.999586130991638</v>
      </c>
      <c r="BH13" s="62">
        <f t="shared" si="8"/>
        <v>322.8884750198805</v>
      </c>
      <c r="BI13" s="62">
        <f ca="1">AVERAGE(OFFSET($BH$3,0,0,'Données projet'!$E$11+1,1))-AVERAGE(OFFSET($H$3,0,0,'Données projet'!$E$11+1,1))</f>
        <v>278.24093386944304</v>
      </c>
      <c r="BJ13" s="62">
        <f t="shared" si="38"/>
        <v>193.96102673885611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2.6904761904761907</v>
      </c>
      <c r="BY13" s="13">
        <f>IF('Données projet'!$A$114&gt;35,BY12+BX13-CG12,IF(A13&lt;'Données projet'!$A$114,$BV$205^A13,IF(A13='Données projet'!$A$114,'Données projet'!$B$114,BY12+BX13-CG12)))</f>
        <v>26.904761904761902</v>
      </c>
      <c r="BZ13" s="14">
        <f>BY13*VLOOKUP('Données projet'!$B$12,Paramètres!$A$1:$I$88,3,0)*VLOOKUP('Données projet'!$B$12,Paramètres!$A$1:$I$88,5,0)</f>
        <v>26.022285714285715</v>
      </c>
      <c r="CA13" s="14">
        <f t="shared" si="39"/>
        <v>8.2063738246546478</v>
      </c>
      <c r="CB13" s="22">
        <f t="shared" si="10"/>
        <v>59.614915363654461</v>
      </c>
      <c r="CC13" s="62">
        <f t="shared" si="11"/>
        <v>328.50380425254332</v>
      </c>
      <c r="CD13" s="62">
        <f ca="1">AVERAGE(OFFSET($CC$3,0,0,'Données projet'!$E$12+1,1))-AVERAGE(OFFSET($H$3,0,0,'Données projet'!$E$12+1,1))</f>
        <v>303.93739496872121</v>
      </c>
      <c r="CE13" s="62">
        <f t="shared" si="40"/>
        <v>210.36431469568754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11.111111111111111</v>
      </c>
      <c r="CT13" s="13">
        <f>IF('Données projet'!$A$140&gt;35,CT12+CS13-DB12,IF(A13&lt;'Données projet'!$A$140,$CQ$205^A13,IF(A13='Données projet'!$A$140,'Données projet'!$B$140,CT12+CS13-DB12)))</f>
        <v>18.982350911593684</v>
      </c>
      <c r="CU13" s="18">
        <f>CT13*VLOOKUP('Données projet'!$B$13,Paramètres!$A$1:$I$88,3,0)*VLOOKUP('Données projet'!$B$13,Paramètres!$A$1:$I$88,5,0)</f>
        <v>9.5648269773338264</v>
      </c>
      <c r="CV13" s="14">
        <f t="shared" si="41"/>
        <v>3.3890530463245012</v>
      </c>
      <c r="CW13" s="22">
        <f t="shared" si="13"/>
        <v>22.561341041204923</v>
      </c>
      <c r="CX13" s="62">
        <f t="shared" si="14"/>
        <v>291.45022993009377</v>
      </c>
      <c r="CY13" s="62">
        <f ca="1">AVERAGE(OFFSET($CX$3,0,0,'Données projet'!$E$13+1,1))-AVERAGE(OFFSET($H$3,0,0,'Données projet'!$E$13+1,1))</f>
        <v>57.812812891099895</v>
      </c>
      <c r="CZ13" s="62">
        <f t="shared" si="42"/>
        <v>244.79885157604684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projet'!$B$13,Paramètres!$A$1:$I$88,3,0)*0.475*44/12</f>
        <v>0</v>
      </c>
      <c r="DG13" s="23">
        <f>EXP(-LN(2)/25)*DG12+(1-EXP(-LN(2)/25))/(LN(2)/25)*Calculateur!DB13*Calculateur!DD13*VLOOKUP('Données projet'!$B$13,Paramètres!$A$1:$I$88,3,0)*0.475*44/12</f>
        <v>0</v>
      </c>
      <c r="DH13" s="23">
        <f>EXP(-LN(2)/2)*DH12+(1-EXP(-LN(2)/2))/(LN(2)/2)*DB13*DE13*VLOOKUP('Données projet'!$B$13,Paramètres!$A$1:$I$88,3,0)*0.475*44/12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2.6904761904761907</v>
      </c>
      <c r="N14" s="14">
        <f>IF('Données projet'!$A$36&gt;35,N13+M14-V13,IF(A14&lt;'Données projet'!$A$36,$K$205^A14,IF(A14='Données projet'!$A$36,'Données projet'!$B$36,N13+M14-V13)))</f>
        <v>29.595238095238091</v>
      </c>
      <c r="O14" s="14">
        <f>N14*VLOOKUP('Données projet'!$B$9,Paramètres!$A$1:$I$88,3,0)*VLOOKUP('Données projet'!$B$9,Paramètres!$A$1:$I$88,5,0)</f>
        <v>26.777771428571423</v>
      </c>
      <c r="P14" s="14">
        <f t="shared" si="33"/>
        <v>8.4165392168828053</v>
      </c>
      <c r="Q14" s="22">
        <f t="shared" si="2"/>
        <v>61.296757707499445</v>
      </c>
      <c r="R14" s="62">
        <f t="shared" si="0"/>
        <v>331.40786881861061</v>
      </c>
      <c r="S14" s="62">
        <f ca="1">AVERAGE(OFFSET($R$3,0,0,'Données projet'!$E$9+1,1))-AVERAGE(OFFSET($H$3,0,0,'Données projet'!$E$9+1,1))</f>
        <v>286.81278534843665</v>
      </c>
      <c r="T14" s="62">
        <f t="shared" si="34"/>
        <v>199.43308683696642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2.6904761904761907</v>
      </c>
      <c r="AI14" s="14">
        <f>IF('Données projet'!$A$62&gt;35,AI13+AH14-AQ13,IF(A14&lt;'Données projet'!$A$62,$AF$205^A14,IF(A14='Données projet'!$A$62,'Données projet'!$B$62,AI13+AH14-AQ13)))</f>
        <v>29.595238095238091</v>
      </c>
      <c r="AJ14" s="14">
        <f>AI14*VLOOKUP('Données projet'!$B$10,Paramètres!$A$1:$I$88,3,0)*VLOOKUP('Données projet'!$B$10,Paramètres!$A$1:$I$88,5,0)</f>
        <v>30.009571428571427</v>
      </c>
      <c r="AK14" s="14">
        <f t="shared" si="35"/>
        <v>9.3080523717113106</v>
      </c>
      <c r="AL14" s="22">
        <f t="shared" si="4"/>
        <v>68.478194785492434</v>
      </c>
      <c r="AM14" s="62">
        <f t="shared" si="5"/>
        <v>338.58930589660361</v>
      </c>
      <c r="AN14" s="62">
        <f ca="1">AVERAGE(OFFSET($AM$3,0,0,'Données projet'!$E$10+1,1))-AVERAGE(OFFSET($H$3,0,0,'Données projet'!$E$10+1,1))</f>
        <v>316.76504852082684</v>
      </c>
      <c r="AO14" s="62">
        <f t="shared" si="36"/>
        <v>218.5520645293999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2.6904761904761907</v>
      </c>
      <c r="BD14" s="13">
        <f>IF('Données projet'!$A$88&gt;35,BD13+BC14-BL13,IF(A14&lt;'Données projet'!$A$88,$BA$205^A14,IF(A14='Données projet'!$A$88,'Données projet'!$B$88,BD13+BC14-BL13)))</f>
        <v>29.595238095238091</v>
      </c>
      <c r="BE14" s="14">
        <f>BD14*VLOOKUP('Données projet'!$B$11,Paramètres!$A$1:$I$88,3,0)*VLOOKUP('Données projet'!$B$11,Paramètres!$A$1:$I$88,5,0)</f>
        <v>25.854400000000002</v>
      </c>
      <c r="BF14" s="14">
        <f t="shared" si="37"/>
        <v>8.1595745913562165</v>
      </c>
      <c r="BG14" s="22">
        <f t="shared" si="7"/>
        <v>59.241005746612075</v>
      </c>
      <c r="BH14" s="62">
        <f t="shared" si="8"/>
        <v>329.35211685772322</v>
      </c>
      <c r="BI14" s="62">
        <f ca="1">AVERAGE(OFFSET($BH$3,0,0,'Données projet'!$E$11+1,1))-AVERAGE(OFFSET($H$3,0,0,'Données projet'!$E$11+1,1))</f>
        <v>278.24093386944304</v>
      </c>
      <c r="BJ14" s="62">
        <f t="shared" si="38"/>
        <v>193.96102673885611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2.6904761904761907</v>
      </c>
      <c r="BY14" s="13">
        <f>IF('Données projet'!$A$114&gt;35,BY13+BX14-CG13,IF(A14&lt;'Données projet'!$A$114,$BV$205^A14,IF(A14='Données projet'!$A$114,'Données projet'!$B$114,BY13+BX14-CG13)))</f>
        <v>29.595238095238091</v>
      </c>
      <c r="BZ14" s="14">
        <f>BY14*VLOOKUP('Données projet'!$B$12,Paramètres!$A$1:$I$88,3,0)*VLOOKUP('Données projet'!$B$12,Paramètres!$A$1:$I$88,5,0)</f>
        <v>28.624514285714284</v>
      </c>
      <c r="CA14" s="14">
        <f t="shared" si="39"/>
        <v>8.9274180674465384</v>
      </c>
      <c r="CB14" s="22">
        <f t="shared" si="10"/>
        <v>65.402948848421758</v>
      </c>
      <c r="CC14" s="62">
        <f t="shared" si="11"/>
        <v>335.51405995953291</v>
      </c>
      <c r="CD14" s="62">
        <f ca="1">AVERAGE(OFFSET($CC$3,0,0,'Données projet'!$E$12+1,1))-AVERAGE(OFFSET($H$3,0,0,'Données projet'!$E$12+1,1))</f>
        <v>303.93739496872121</v>
      </c>
      <c r="CE14" s="62">
        <f t="shared" si="40"/>
        <v>210.36431469568754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11.111111111111111</v>
      </c>
      <c r="CT14" s="13">
        <f>IF('Données projet'!$A$140&gt;35,CT13+CS14-DB13,IF(A14&lt;'Données projet'!$A$140,$CQ$205^A14,IF(A14='Données projet'!$A$140,'Données projet'!$B$140,CT13+CS14-DB13)))</f>
        <v>25.479153624169562</v>
      </c>
      <c r="CU14" s="18">
        <f>CT14*VLOOKUP('Données projet'!$B$13,Paramètres!$A$1:$I$88,3,0)*VLOOKUP('Données projet'!$B$13,Paramètres!$A$1:$I$88,5,0)</f>
        <v>12.838435928146561</v>
      </c>
      <c r="CV14" s="14">
        <f t="shared" si="41"/>
        <v>4.3957539230549552</v>
      </c>
      <c r="CW14" s="22">
        <f t="shared" si="13"/>
        <v>30.01621399084264</v>
      </c>
      <c r="CX14" s="62">
        <f t="shared" si="14"/>
        <v>300.12732510195377</v>
      </c>
      <c r="CY14" s="62">
        <f ca="1">AVERAGE(OFFSET($CX$3,0,0,'Données projet'!$E$13+1,1))-AVERAGE(OFFSET($H$3,0,0,'Données projet'!$E$13+1,1))</f>
        <v>57.812812891099895</v>
      </c>
      <c r="CZ14" s="62">
        <f t="shared" si="42"/>
        <v>244.79885157604684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projet'!$B$13,Paramètres!$A$1:$I$88,3,0)*0.475*44/12</f>
        <v>0</v>
      </c>
      <c r="DG14" s="23">
        <f>EXP(-LN(2)/25)*DG13+(1-EXP(-LN(2)/25))/(LN(2)/25)*Calculateur!DB14*Calculateur!DD14*VLOOKUP('Données projet'!$B$13,Paramètres!$A$1:$I$88,3,0)*0.475*44/12</f>
        <v>0</v>
      </c>
      <c r="DH14" s="23">
        <f>EXP(-LN(2)/2)*DH13+(1-EXP(-LN(2)/2))/(LN(2)/2)*DB14*DE14*VLOOKUP('Données projet'!$B$13,Paramètres!$A$1:$I$88,3,0)*0.475*44/12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2.6904761904761907</v>
      </c>
      <c r="N15" s="14">
        <f>IF('Données projet'!$A$36&gt;35,N14+M15-V14,IF(A15&lt;'Données projet'!$A$36,$K$205^A15,IF(A15='Données projet'!$A$36,'Données projet'!$B$36,N14+M15-V14)))</f>
        <v>32.285714285714285</v>
      </c>
      <c r="O15" s="14">
        <f>N15*VLOOKUP('Données projet'!$B$9,Paramètres!$A$1:$I$88,3,0)*VLOOKUP('Données projet'!$B$9,Paramètres!$A$1:$I$88,5,0)</f>
        <v>29.212114285714282</v>
      </c>
      <c r="P15" s="14">
        <f t="shared" si="33"/>
        <v>9.0891552956301744</v>
      </c>
      <c r="Q15" s="22">
        <f t="shared" si="2"/>
        <v>66.708044520841597</v>
      </c>
      <c r="R15" s="62">
        <f t="shared" si="0"/>
        <v>338.04137785417493</v>
      </c>
      <c r="S15" s="62">
        <f ca="1">AVERAGE(OFFSET($R$3,0,0,'Données projet'!$E$9+1,1))-AVERAGE(OFFSET($H$3,0,0,'Données projet'!$E$9+1,1))</f>
        <v>286.81278534843665</v>
      </c>
      <c r="T15" s="62">
        <f t="shared" si="34"/>
        <v>199.43308683696642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2.6904761904761907</v>
      </c>
      <c r="AI15" s="14">
        <f>IF('Données projet'!$A$62&gt;35,AI14+AH15-AQ14,IF(A15&lt;'Données projet'!$A$62,$AF$205^A15,IF(A15='Données projet'!$A$62,'Données projet'!$B$62,AI14+AH15-AQ14)))</f>
        <v>32.285714285714285</v>
      </c>
      <c r="AJ15" s="14">
        <f>AI15*VLOOKUP('Données projet'!$B$10,Paramètres!$A$1:$I$88,3,0)*VLOOKUP('Données projet'!$B$10,Paramètres!$A$1:$I$88,5,0)</f>
        <v>32.73771428571429</v>
      </c>
      <c r="AK15" s="14">
        <f t="shared" si="35"/>
        <v>10.051914608398462</v>
      </c>
      <c r="AL15" s="22">
        <f t="shared" si="4"/>
        <v>74.525270323913048</v>
      </c>
      <c r="AM15" s="62">
        <f t="shared" si="5"/>
        <v>345.85860365724636</v>
      </c>
      <c r="AN15" s="62">
        <f ca="1">AVERAGE(OFFSET($AM$3,0,0,'Données projet'!$E$10+1,1))-AVERAGE(OFFSET($H$3,0,0,'Données projet'!$E$10+1,1))</f>
        <v>316.76504852082684</v>
      </c>
      <c r="AO15" s="62">
        <f t="shared" si="36"/>
        <v>218.5520645293999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2.6904761904761907</v>
      </c>
      <c r="BD15" s="13">
        <f>IF('Données projet'!$A$88&gt;35,BD14+BC15-BL14,IF(A15&lt;'Données projet'!$A$88,$BA$205^A15,IF(A15='Données projet'!$A$88,'Données projet'!$B$88,BD14+BC15-BL14)))</f>
        <v>32.285714285714285</v>
      </c>
      <c r="BE15" s="14">
        <f>BD15*VLOOKUP('Données projet'!$B$11,Paramètres!$A$1:$I$88,3,0)*VLOOKUP('Données projet'!$B$11,Paramètres!$A$1:$I$88,5,0)</f>
        <v>28.204800000000002</v>
      </c>
      <c r="BF15" s="14">
        <f t="shared" si="37"/>
        <v>8.8116550872060699</v>
      </c>
      <c r="BG15" s="22">
        <f t="shared" si="7"/>
        <v>64.470325943550563</v>
      </c>
      <c r="BH15" s="62">
        <f t="shared" si="8"/>
        <v>335.80365927688388</v>
      </c>
      <c r="BI15" s="62">
        <f ca="1">AVERAGE(OFFSET($BH$3,0,0,'Données projet'!$E$11+1,1))-AVERAGE(OFFSET($H$3,0,0,'Données projet'!$E$11+1,1))</f>
        <v>278.24093386944304</v>
      </c>
      <c r="BJ15" s="62">
        <f t="shared" si="38"/>
        <v>193.96102673885611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2.6904761904761907</v>
      </c>
      <c r="BY15" s="13">
        <f>IF('Données projet'!$A$114&gt;35,BY14+BX15-CG14,IF(A15&lt;'Données projet'!$A$114,$BV$205^A15,IF(A15='Données projet'!$A$114,'Données projet'!$B$114,BY14+BX15-CG14)))</f>
        <v>32.285714285714285</v>
      </c>
      <c r="BZ15" s="14">
        <f>BY15*VLOOKUP('Données projet'!$B$12,Paramètres!$A$1:$I$88,3,0)*VLOOKUP('Données projet'!$B$12,Paramètres!$A$1:$I$88,5,0)</f>
        <v>31.22674285714286</v>
      </c>
      <c r="CA15" s="14">
        <f t="shared" si="39"/>
        <v>9.6408615362085364</v>
      </c>
      <c r="CB15" s="22">
        <f t="shared" si="10"/>
        <v>71.177744318420352</v>
      </c>
      <c r="CC15" s="62">
        <f t="shared" si="11"/>
        <v>342.51107765175368</v>
      </c>
      <c r="CD15" s="62">
        <f ca="1">AVERAGE(OFFSET($CC$3,0,0,'Données projet'!$E$12+1,1))-AVERAGE(OFFSET($H$3,0,0,'Données projet'!$E$12+1,1))</f>
        <v>303.93739496872121</v>
      </c>
      <c r="CE15" s="62">
        <f t="shared" si="40"/>
        <v>210.36431469568754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11.111111111111111</v>
      </c>
      <c r="CT15" s="13">
        <f>IF('Données projet'!$A$140&gt;35,CT14+CS15-DB14,IF(A15&lt;'Données projet'!$A$140,$CQ$205^A15,IF(A15='Données projet'!$A$140,'Données projet'!$B$140,CT14+CS15-DB14)))</f>
        <v>34.199518933533902</v>
      </c>
      <c r="CU15" s="18">
        <f>CT15*VLOOKUP('Données projet'!$B$13,Paramètres!$A$1:$I$88,3,0)*VLOOKUP('Données projet'!$B$13,Paramètres!$A$1:$I$88,5,0)</f>
        <v>17.232453600229064</v>
      </c>
      <c r="CV15" s="14">
        <f t="shared" si="41"/>
        <v>5.7014901472282506</v>
      </c>
      <c r="CW15" s="22">
        <f t="shared" si="13"/>
        <v>39.943285360154825</v>
      </c>
      <c r="CX15" s="62">
        <f t="shared" si="14"/>
        <v>311.27661869348816</v>
      </c>
      <c r="CY15" s="62">
        <f ca="1">AVERAGE(OFFSET($CX$3,0,0,'Données projet'!$E$13+1,1))-AVERAGE(OFFSET($H$3,0,0,'Données projet'!$E$13+1,1))</f>
        <v>57.812812891099895</v>
      </c>
      <c r="CZ15" s="62">
        <f t="shared" si="42"/>
        <v>244.79885157604684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projet'!$B$13,Paramètres!$A$1:$I$88,3,0)*0.475*44/12</f>
        <v>0</v>
      </c>
      <c r="DG15" s="23">
        <f>EXP(-LN(2)/25)*DG14+(1-EXP(-LN(2)/25))/(LN(2)/25)*Calculateur!DB15*Calculateur!DD15*VLOOKUP('Données projet'!$B$13,Paramètres!$A$1:$I$88,3,0)*0.475*44/12</f>
        <v>0</v>
      </c>
      <c r="DH15" s="23">
        <f>EXP(-LN(2)/2)*DH14+(1-EXP(-LN(2)/2))/(LN(2)/2)*DB15*DE15*VLOOKUP('Données projet'!$B$13,Paramètres!$A$1:$I$88,3,0)*0.475*44/12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2.6904761904761907</v>
      </c>
      <c r="N16" s="14">
        <f>IF('Données projet'!$A$36&gt;35,N15+M16-V15,IF(A16&lt;'Données projet'!$A$36,$K$205^A16,IF(A16='Données projet'!$A$36,'Données projet'!$B$36,N15+M16-V15)))</f>
        <v>34.976190476190474</v>
      </c>
      <c r="O16" s="14">
        <f>N16*VLOOKUP('Données projet'!$B$9,Paramètres!$A$1:$I$88,3,0)*VLOOKUP('Données projet'!$B$9,Paramètres!$A$1:$I$88,5,0)</f>
        <v>31.646457142857141</v>
      </c>
      <c r="P16" s="14">
        <f t="shared" si="33"/>
        <v>9.7552706028032752</v>
      </c>
      <c r="Q16" s="22">
        <f t="shared" si="2"/>
        <v>72.108009157025222</v>
      </c>
      <c r="R16" s="62">
        <f t="shared" si="0"/>
        <v>344.66356471258075</v>
      </c>
      <c r="S16" s="62">
        <f ca="1">AVERAGE(OFFSET($R$3,0,0,'Données projet'!$E$9+1,1))-AVERAGE(OFFSET($H$3,0,0,'Données projet'!$E$9+1,1))</f>
        <v>286.81278534843665</v>
      </c>
      <c r="T16" s="62">
        <f t="shared" si="34"/>
        <v>199.43308683696642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2.6904761904761907</v>
      </c>
      <c r="AI16" s="14">
        <f>IF('Données projet'!$A$62&gt;35,AI15+AH16-AQ15,IF(A16&lt;'Données projet'!$A$62,$AF$205^A16,IF(A16='Données projet'!$A$62,'Données projet'!$B$62,AI15+AH16-AQ15)))</f>
        <v>34.976190476190474</v>
      </c>
      <c r="AJ16" s="14">
        <f>AI16*VLOOKUP('Données projet'!$B$10,Paramètres!$A$1:$I$88,3,0)*VLOOKUP('Données projet'!$B$10,Paramètres!$A$1:$I$88,5,0)</f>
        <v>35.465857142857146</v>
      </c>
      <c r="AK16" s="14">
        <f t="shared" si="35"/>
        <v>10.78858748604973</v>
      </c>
      <c r="AL16" s="22">
        <f t="shared" si="4"/>
        <v>80.559824395346126</v>
      </c>
      <c r="AM16" s="62">
        <f t="shared" si="5"/>
        <v>353.11537995090168</v>
      </c>
      <c r="AN16" s="62">
        <f ca="1">AVERAGE(OFFSET($AM$3,0,0,'Données projet'!$E$10+1,1))-AVERAGE(OFFSET($H$3,0,0,'Données projet'!$E$10+1,1))</f>
        <v>316.76504852082684</v>
      </c>
      <c r="AO16" s="62">
        <f t="shared" si="36"/>
        <v>218.5520645293999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2.6904761904761907</v>
      </c>
      <c r="BD16" s="13">
        <f>IF('Données projet'!$A$88&gt;35,BD15+BC16-BL15,IF(A16&lt;'Données projet'!$A$88,$BA$205^A16,IF(A16='Données projet'!$A$88,'Données projet'!$B$88,BD15+BC16-BL15)))</f>
        <v>34.976190476190474</v>
      </c>
      <c r="BE16" s="14">
        <f>BD16*VLOOKUP('Données projet'!$B$11,Paramètres!$A$1:$I$88,3,0)*VLOOKUP('Données projet'!$B$11,Paramètres!$A$1:$I$88,5,0)</f>
        <v>30.555199999999999</v>
      </c>
      <c r="BF16" s="14">
        <f t="shared" si="37"/>
        <v>9.4574332859722006</v>
      </c>
      <c r="BG16" s="22">
        <f t="shared" si="7"/>
        <v>69.688669639734925</v>
      </c>
      <c r="BH16" s="62">
        <f t="shared" si="8"/>
        <v>342.24422519529048</v>
      </c>
      <c r="BI16" s="62">
        <f ca="1">AVERAGE(OFFSET($BH$3,0,0,'Données projet'!$E$11+1,1))-AVERAGE(OFFSET($H$3,0,0,'Données projet'!$E$11+1,1))</f>
        <v>278.24093386944304</v>
      </c>
      <c r="BJ16" s="62">
        <f t="shared" si="38"/>
        <v>193.96102673885611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2.6904761904761907</v>
      </c>
      <c r="BY16" s="13">
        <f>IF('Données projet'!$A$114&gt;35,BY15+BX16-CG15,IF(A16&lt;'Données projet'!$A$114,$BV$205^A16,IF(A16='Données projet'!$A$114,'Données projet'!$B$114,BY15+BX16-CG15)))</f>
        <v>34.976190476190474</v>
      </c>
      <c r="BZ16" s="14">
        <f>BY16*VLOOKUP('Données projet'!$B$12,Paramètres!$A$1:$I$88,3,0)*VLOOKUP('Données projet'!$B$12,Paramètres!$A$1:$I$88,5,0)</f>
        <v>33.828971428571428</v>
      </c>
      <c r="CA16" s="14">
        <f t="shared" si="39"/>
        <v>10.347409640485331</v>
      </c>
      <c r="CB16" s="22">
        <f t="shared" si="10"/>
        <v>76.940530361940517</v>
      </c>
      <c r="CC16" s="62">
        <f t="shared" si="11"/>
        <v>349.49608591749609</v>
      </c>
      <c r="CD16" s="62">
        <f ca="1">AVERAGE(OFFSET($CC$3,0,0,'Données projet'!$E$12+1,1))-AVERAGE(OFFSET($H$3,0,0,'Données projet'!$E$12+1,1))</f>
        <v>303.93739496872121</v>
      </c>
      <c r="CE16" s="62">
        <f t="shared" si="40"/>
        <v>210.36431469568754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11.111111111111111</v>
      </c>
      <c r="CT16" s="13">
        <f>IF('Données projet'!$A$140&gt;35,CT15+CS16-DB15,IF(A16&lt;'Données projet'!$A$140,$CQ$205^A16,IF(A16='Données projet'!$A$140,'Données projet'!$B$140,CT15+CS16-DB15)))</f>
        <v>45.904472045557007</v>
      </c>
      <c r="CU16" s="18">
        <f>CT16*VLOOKUP('Données projet'!$B$13,Paramètres!$A$1:$I$88,3,0)*VLOOKUP('Données projet'!$B$13,Paramètres!$A$1:$I$88,5,0)</f>
        <v>23.130345374315265</v>
      </c>
      <c r="CV16" s="14">
        <f t="shared" si="41"/>
        <v>7.3950886396181952</v>
      </c>
      <c r="CW16" s="22">
        <f t="shared" si="13"/>
        <v>53.165130907600769</v>
      </c>
      <c r="CX16" s="62">
        <f t="shared" si="14"/>
        <v>325.72068646315631</v>
      </c>
      <c r="CY16" s="62">
        <f ca="1">AVERAGE(OFFSET($CX$3,0,0,'Données projet'!$E$13+1,1))-AVERAGE(OFFSET($H$3,0,0,'Données projet'!$E$13+1,1))</f>
        <v>57.812812891099895</v>
      </c>
      <c r="CZ16" s="62">
        <f t="shared" si="42"/>
        <v>244.79885157604684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projet'!$B$13,Paramètres!$A$1:$I$88,3,0)*0.475*44/12</f>
        <v>0</v>
      </c>
      <c r="DG16" s="23">
        <f>EXP(-LN(2)/25)*DG15+(1-EXP(-LN(2)/25))/(LN(2)/25)*Calculateur!DB16*Calculateur!DD16*VLOOKUP('Données projet'!$B$13,Paramètres!$A$1:$I$88,3,0)*0.475*44/12</f>
        <v>0</v>
      </c>
      <c r="DH16" s="23">
        <f>EXP(-LN(2)/2)*DH15+(1-EXP(-LN(2)/2))/(LN(2)/2)*DB16*DE16*VLOOKUP('Données projet'!$B$13,Paramètres!$A$1:$I$88,3,0)*0.475*44/12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2.6904761904761907</v>
      </c>
      <c r="N17" s="14">
        <f>IF('Données projet'!$A$36&gt;35,N16+M17-V16,IF(A17&lt;'Données projet'!$A$36,$K$205^A17,IF(A17='Données projet'!$A$36,'Données projet'!$B$36,N16+M17-V16)))</f>
        <v>37.666666666666664</v>
      </c>
      <c r="O17" s="14">
        <f>N17*VLOOKUP('Données projet'!$B$9,Paramètres!$A$1:$I$88,3,0)*VLOOKUP('Données projet'!$B$9,Paramètres!$A$1:$I$88,5,0)</f>
        <v>34.080799999999996</v>
      </c>
      <c r="P17" s="14">
        <f t="shared" si="33"/>
        <v>10.415442054064398</v>
      </c>
      <c r="Q17" s="22">
        <f t="shared" si="2"/>
        <v>77.497621577495494</v>
      </c>
      <c r="R17" s="62">
        <f t="shared" si="0"/>
        <v>351.27539935527329</v>
      </c>
      <c r="S17" s="62">
        <f ca="1">AVERAGE(OFFSET($R$3,0,0,'Données projet'!$E$9+1,1))-AVERAGE(OFFSET($H$3,0,0,'Données projet'!$E$9+1,1))</f>
        <v>286.81278534843665</v>
      </c>
      <c r="T17" s="62">
        <f t="shared" si="34"/>
        <v>199.43308683696642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2.6904761904761907</v>
      </c>
      <c r="AI17" s="14">
        <f>IF('Données projet'!$A$62&gt;35,AI16+AH17-AQ16,IF(A17&lt;'Données projet'!$A$62,$AF$205^A17,IF(A17='Données projet'!$A$62,'Données projet'!$B$62,AI16+AH17-AQ16)))</f>
        <v>37.666666666666664</v>
      </c>
      <c r="AJ17" s="14">
        <f>AI17*VLOOKUP('Données projet'!$B$10,Paramètres!$A$1:$I$88,3,0)*VLOOKUP('Données projet'!$B$10,Paramètres!$A$1:$I$88,5,0)</f>
        <v>38.194000000000003</v>
      </c>
      <c r="AK17" s="14">
        <f t="shared" si="35"/>
        <v>11.518686911039172</v>
      </c>
      <c r="AL17" s="22">
        <f t="shared" si="4"/>
        <v>86.582929703393233</v>
      </c>
      <c r="AM17" s="62">
        <f t="shared" si="5"/>
        <v>360.360707481171</v>
      </c>
      <c r="AN17" s="62">
        <f ca="1">AVERAGE(OFFSET($AM$3,0,0,'Données projet'!$E$10+1,1))-AVERAGE(OFFSET($H$3,0,0,'Données projet'!$E$10+1,1))</f>
        <v>316.76504852082684</v>
      </c>
      <c r="AO17" s="62">
        <f t="shared" si="36"/>
        <v>218.5520645293999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2.6904761904761907</v>
      </c>
      <c r="BD17" s="13">
        <f>IF('Données projet'!$A$88&gt;35,BD16+BC17-BL16,IF(A17&lt;'Données projet'!$A$88,$BA$205^A17,IF(A17='Données projet'!$A$88,'Données projet'!$B$88,BD16+BC17-BL16)))</f>
        <v>37.666666666666664</v>
      </c>
      <c r="BE17" s="14">
        <f>BD17*VLOOKUP('Données projet'!$B$11,Paramètres!$A$1:$I$88,3,0)*VLOOKUP('Données projet'!$B$11,Paramètres!$A$1:$I$88,5,0)</f>
        <v>32.9056</v>
      </c>
      <c r="BF17" s="14">
        <f t="shared" si="37"/>
        <v>10.097449100173334</v>
      </c>
      <c r="BG17" s="22">
        <f t="shared" si="7"/>
        <v>74.896977182801891</v>
      </c>
      <c r="BH17" s="62">
        <f t="shared" si="8"/>
        <v>348.67475496057966</v>
      </c>
      <c r="BI17" s="62">
        <f ca="1">AVERAGE(OFFSET($BH$3,0,0,'Données projet'!$E$11+1,1))-AVERAGE(OFFSET($H$3,0,0,'Données projet'!$E$11+1,1))</f>
        <v>278.24093386944304</v>
      </c>
      <c r="BJ17" s="62">
        <f t="shared" si="38"/>
        <v>193.96102673885611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2.6904761904761907</v>
      </c>
      <c r="BY17" s="13">
        <f>IF('Données projet'!$A$114&gt;35,BY16+BX17-CG16,IF(A17&lt;'Données projet'!$A$114,$BV$205^A17,IF(A17='Données projet'!$A$114,'Données projet'!$B$114,BY16+BX17-CG16)))</f>
        <v>37.666666666666664</v>
      </c>
      <c r="BZ17" s="14">
        <f>BY17*VLOOKUP('Données projet'!$B$12,Paramètres!$A$1:$I$88,3,0)*VLOOKUP('Données projet'!$B$12,Paramètres!$A$1:$I$88,5,0)</f>
        <v>36.431199999999997</v>
      </c>
      <c r="CA17" s="14">
        <f t="shared" si="39"/>
        <v>11.04765310038378</v>
      </c>
      <c r="CB17" s="22">
        <f t="shared" si="10"/>
        <v>82.692335816501739</v>
      </c>
      <c r="CC17" s="62">
        <f t="shared" si="11"/>
        <v>356.4701135942795</v>
      </c>
      <c r="CD17" s="62">
        <f ca="1">AVERAGE(OFFSET($CC$3,0,0,'Données projet'!$E$12+1,1))-AVERAGE(OFFSET($H$3,0,0,'Données projet'!$E$12+1,1))</f>
        <v>303.93739496872121</v>
      </c>
      <c r="CE17" s="62">
        <f t="shared" si="40"/>
        <v>210.36431469568754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11.111111111111111</v>
      </c>
      <c r="CT17" s="13">
        <f>IF('Données projet'!$A$140&gt;35,CT16+CS17-DB16,IF(A17&lt;'Données projet'!$A$140,$CQ$205^A17,IF(A17='Données projet'!$A$140,'Données projet'!$B$140,CT16+CS17-DB16)))</f>
        <v>61.615502775833384</v>
      </c>
      <c r="CU17" s="18">
        <f>CT17*VLOOKUP('Données projet'!$B$13,Paramètres!$A$1:$I$88,3,0)*VLOOKUP('Données projet'!$B$13,Paramètres!$A$1:$I$88,5,0)</f>
        <v>31.046819538686925</v>
      </c>
      <c r="CV17" s="14">
        <f t="shared" si="41"/>
        <v>9.5917619035781474</v>
      </c>
      <c r="CW17" s="22">
        <f t="shared" si="13"/>
        <v>70.778862678611659</v>
      </c>
      <c r="CX17" s="62">
        <f t="shared" si="14"/>
        <v>344.55664045638946</v>
      </c>
      <c r="CY17" s="62">
        <f ca="1">AVERAGE(OFFSET($CX$3,0,0,'Données projet'!$E$13+1,1))-AVERAGE(OFFSET($H$3,0,0,'Données projet'!$E$13+1,1))</f>
        <v>57.812812891099895</v>
      </c>
      <c r="CZ17" s="62">
        <f t="shared" si="42"/>
        <v>244.79885157604684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projet'!$B$13,Paramètres!$A$1:$I$88,3,0)*0.475*44/12</f>
        <v>0</v>
      </c>
      <c r="DG17" s="23">
        <f>EXP(-LN(2)/25)*DG16+(1-EXP(-LN(2)/25))/(LN(2)/25)*Calculateur!DB17*Calculateur!DD17*VLOOKUP('Données projet'!$B$13,Paramètres!$A$1:$I$88,3,0)*0.475*44/12</f>
        <v>0</v>
      </c>
      <c r="DH17" s="23">
        <f>EXP(-LN(2)/2)*DH16+(1-EXP(-LN(2)/2))/(LN(2)/2)*DB17*DE17*VLOOKUP('Données projet'!$B$13,Paramètres!$A$1:$I$88,3,0)*0.475*44/12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2.6904761904761907</v>
      </c>
      <c r="N18" s="14">
        <f>IF('Données projet'!$A$36&gt;35,N17+M18-V17,IF(A18&lt;'Données projet'!$A$36,$K$205^A18,IF(A18='Données projet'!$A$36,'Données projet'!$B$36,N17+M18-V17)))</f>
        <v>40.357142857142854</v>
      </c>
      <c r="O18" s="14">
        <f>N18*VLOOKUP('Données projet'!$B$9,Paramètres!$A$1:$I$88,3,0)*VLOOKUP('Données projet'!$B$9,Paramètres!$A$1:$I$88,5,0)</f>
        <v>36.515142857142855</v>
      </c>
      <c r="P18" s="14">
        <f t="shared" si="33"/>
        <v>11.070142497485797</v>
      </c>
      <c r="Q18" s="22">
        <f t="shared" si="2"/>
        <v>82.877705325978226</v>
      </c>
      <c r="R18" s="62">
        <f t="shared" si="0"/>
        <v>357.87770532597824</v>
      </c>
      <c r="S18" s="62">
        <f ca="1">AVERAGE(OFFSET($R$3,0,0,'Données projet'!$E$9+1,1))-AVERAGE(OFFSET($H$3,0,0,'Données projet'!$E$9+1,1))</f>
        <v>286.81278534843665</v>
      </c>
      <c r="T18" s="62">
        <f t="shared" si="34"/>
        <v>199.43308683696642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2.6904761904761907</v>
      </c>
      <c r="AI18" s="14">
        <f>IF('Données projet'!$A$62&gt;35,AI17+AH18-AQ17,IF(A18&lt;'Données projet'!$A$62,$AF$205^A18,IF(A18='Données projet'!$A$62,'Données projet'!$B$62,AI17+AH18-AQ17)))</f>
        <v>40.357142857142854</v>
      </c>
      <c r="AJ18" s="14">
        <f>AI18*VLOOKUP('Données projet'!$B$10,Paramètres!$A$1:$I$88,3,0)*VLOOKUP('Données projet'!$B$10,Paramètres!$A$1:$I$88,5,0)</f>
        <v>40.922142857142859</v>
      </c>
      <c r="AK18" s="14">
        <f t="shared" si="35"/>
        <v>12.242735817378851</v>
      </c>
      <c r="AL18" s="22">
        <f t="shared" si="4"/>
        <v>92.595497024791982</v>
      </c>
      <c r="AM18" s="62">
        <f t="shared" si="5"/>
        <v>367.595497024792</v>
      </c>
      <c r="AN18" s="62">
        <f ca="1">AVERAGE(OFFSET($AM$3,0,0,'Données projet'!$E$10+1,1))-AVERAGE(OFFSET($H$3,0,0,'Données projet'!$E$10+1,1))</f>
        <v>316.76504852082684</v>
      </c>
      <c r="AO18" s="62">
        <f t="shared" si="36"/>
        <v>218.5520645293999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2.6904761904761907</v>
      </c>
      <c r="BD18" s="13">
        <f>IF('Données projet'!$A$88&gt;35,BD17+BC18-BL17,IF(A18&lt;'Données projet'!$A$88,$BA$205^A18,IF(A18='Données projet'!$A$88,'Données projet'!$B$88,BD17+BC18-BL17)))</f>
        <v>40.357142857142854</v>
      </c>
      <c r="BE18" s="14">
        <f>BD18*VLOOKUP('Données projet'!$B$11,Paramètres!$A$1:$I$88,3,0)*VLOOKUP('Données projet'!$B$11,Paramètres!$A$1:$I$88,5,0)</f>
        <v>35.256</v>
      </c>
      <c r="BF18" s="14">
        <f t="shared" si="37"/>
        <v>10.732160941398433</v>
      </c>
      <c r="BG18" s="22">
        <f t="shared" si="7"/>
        <v>80.096046972935596</v>
      </c>
      <c r="BH18" s="62">
        <f t="shared" si="8"/>
        <v>355.0960469729356</v>
      </c>
      <c r="BI18" s="62">
        <f ca="1">AVERAGE(OFFSET($BH$3,0,0,'Données projet'!$E$11+1,1))-AVERAGE(OFFSET($H$3,0,0,'Données projet'!$E$11+1,1))</f>
        <v>278.24093386944304</v>
      </c>
      <c r="BJ18" s="62">
        <f t="shared" si="38"/>
        <v>193.96102673885611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2.6904761904761907</v>
      </c>
      <c r="BY18" s="13">
        <f>IF('Données projet'!$A$114&gt;35,BY17+BX18-CG17,IF(A18&lt;'Données projet'!$A$114,$BV$205^A18,IF(A18='Données projet'!$A$114,'Données projet'!$B$114,BY17+BX18-CG17)))</f>
        <v>40.357142857142854</v>
      </c>
      <c r="BZ18" s="14">
        <f>BY18*VLOOKUP('Données projet'!$B$12,Paramètres!$A$1:$I$88,3,0)*VLOOKUP('Données projet'!$B$12,Paramètres!$A$1:$I$88,5,0)</f>
        <v>39.033428571428566</v>
      </c>
      <c r="CA18" s="14">
        <f t="shared" si="39"/>
        <v>11.742093465568715</v>
      </c>
      <c r="CB18" s="22">
        <f t="shared" si="10"/>
        <v>88.43403421443692</v>
      </c>
      <c r="CC18" s="62">
        <f t="shared" si="11"/>
        <v>363.43403421443691</v>
      </c>
      <c r="CD18" s="62">
        <f ca="1">AVERAGE(OFFSET($CC$3,0,0,'Données projet'!$E$12+1,1))-AVERAGE(OFFSET($H$3,0,0,'Données projet'!$E$12+1,1))</f>
        <v>303.93739496872121</v>
      </c>
      <c r="CE18" s="62">
        <f t="shared" si="40"/>
        <v>210.36431469568754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11.111111111111111</v>
      </c>
      <c r="CT18" s="13">
        <f>IF('Données projet'!$A$140&gt;35,CT17+CS18-DB17,IF(A18&lt;'Données projet'!$A$140,$CQ$205^A18,IF(A18='Données projet'!$A$140,'Données projet'!$B$140,CT17+CS18-DB17)))</f>
        <v>82.703710840002643</v>
      </c>
      <c r="CU18" s="18">
        <f>CT18*VLOOKUP('Données projet'!$B$13,Paramètres!$A$1:$I$88,3,0)*VLOOKUP('Données projet'!$B$13,Paramètres!$A$1:$I$88,5,0)</f>
        <v>41.672745818060534</v>
      </c>
      <c r="CV18" s="14">
        <f t="shared" si="41"/>
        <v>12.440945727417692</v>
      </c>
      <c r="CW18" s="22">
        <f t="shared" si="13"/>
        <v>94.248012775041232</v>
      </c>
      <c r="CX18" s="62">
        <f t="shared" si="14"/>
        <v>369.24801277504122</v>
      </c>
      <c r="CY18" s="62">
        <f ca="1">AVERAGE(OFFSET($CX$3,0,0,'Données projet'!$E$13+1,1))-AVERAGE(OFFSET($H$3,0,0,'Données projet'!$E$13+1,1))</f>
        <v>57.812812891099895</v>
      </c>
      <c r="CZ18" s="62">
        <f t="shared" si="42"/>
        <v>244.79885157604684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projet'!$B$13,Paramètres!$A$1:$I$88,3,0)*0.475*44/12</f>
        <v>0</v>
      </c>
      <c r="DG18" s="23">
        <f>EXP(-LN(2)/25)*DG17+(1-EXP(-LN(2)/25))/(LN(2)/25)*Calculateur!DB18*Calculateur!DD18*VLOOKUP('Données projet'!$B$13,Paramètres!$A$1:$I$88,3,0)*0.475*44/12</f>
        <v>0</v>
      </c>
      <c r="DH18" s="23">
        <f>EXP(-LN(2)/2)*DH17+(1-EXP(-LN(2)/2))/(LN(2)/2)*DB18*DE18*VLOOKUP('Données projet'!$B$13,Paramètres!$A$1:$I$88,3,0)*0.475*44/12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2.6904761904761907</v>
      </c>
      <c r="N19" s="14">
        <f>IF('Données projet'!$A$36&gt;35,N18+M19-V18,IF(A19&lt;'Données projet'!$A$36,$K$205^A19,IF(A19='Données projet'!$A$36,'Données projet'!$B$36,N18+M19-V18)))</f>
        <v>43.047619047619044</v>
      </c>
      <c r="O19" s="14">
        <f>N19*VLOOKUP('Données projet'!$B$9,Paramètres!$A$1:$I$88,3,0)*VLOOKUP('Données projet'!$B$9,Paramètres!$A$1:$I$88,5,0)</f>
        <v>38.949485714285707</v>
      </c>
      <c r="P19" s="14">
        <f t="shared" si="33"/>
        <v>11.719778167903632</v>
      </c>
      <c r="Q19" s="22">
        <f t="shared" si="2"/>
        <v>88.248967928146428</v>
      </c>
      <c r="R19" s="62">
        <f t="shared" si="0"/>
        <v>364.47119015036867</v>
      </c>
      <c r="S19" s="62">
        <f ca="1">AVERAGE(OFFSET($R$3,0,0,'Données projet'!$E$9+1,1))-AVERAGE(OFFSET($H$3,0,0,'Données projet'!$E$9+1,1))</f>
        <v>286.81278534843665</v>
      </c>
      <c r="T19" s="62">
        <f t="shared" si="34"/>
        <v>199.43308683696642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2.6904761904761907</v>
      </c>
      <c r="AI19" s="14">
        <f>IF('Données projet'!$A$62&gt;35,AI18+AH19-AQ18,IF(A19&lt;'Données projet'!$A$62,$AF$205^A19,IF(A19='Données projet'!$A$62,'Données projet'!$B$62,AI18+AH19-AQ18)))</f>
        <v>43.047619047619044</v>
      </c>
      <c r="AJ19" s="14">
        <f>AI19*VLOOKUP('Données projet'!$B$10,Paramètres!$A$1:$I$88,3,0)*VLOOKUP('Données projet'!$B$10,Paramètres!$A$1:$I$88,5,0)</f>
        <v>43.650285714285715</v>
      </c>
      <c r="AK19" s="14">
        <f t="shared" si="35"/>
        <v>12.961183469907045</v>
      </c>
      <c r="AL19" s="22">
        <f t="shared" si="4"/>
        <v>98.598308829135718</v>
      </c>
      <c r="AM19" s="62">
        <f t="shared" si="5"/>
        <v>374.82053105135793</v>
      </c>
      <c r="AN19" s="62">
        <f ca="1">AVERAGE(OFFSET($AM$3,0,0,'Données projet'!$E$10+1,1))-AVERAGE(OFFSET($H$3,0,0,'Données projet'!$E$10+1,1))</f>
        <v>316.76504852082684</v>
      </c>
      <c r="AO19" s="62">
        <f t="shared" si="36"/>
        <v>218.5520645293999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2.6904761904761907</v>
      </c>
      <c r="BD19" s="13">
        <f>IF('Données projet'!$A$88&gt;35,BD18+BC19-BL18,IF(A19&lt;'Données projet'!$A$88,$BA$205^A19,IF(A19='Données projet'!$A$88,'Données projet'!$B$88,BD18+BC19-BL18)))</f>
        <v>43.047619047619044</v>
      </c>
      <c r="BE19" s="14">
        <f>BD19*VLOOKUP('Données projet'!$B$11,Paramètres!$A$1:$I$88,3,0)*VLOOKUP('Données projet'!$B$11,Paramètres!$A$1:$I$88,5,0)</f>
        <v>37.606400000000001</v>
      </c>
      <c r="BF19" s="14">
        <f t="shared" si="37"/>
        <v>11.361962641763258</v>
      </c>
      <c r="BG19" s="22">
        <f t="shared" si="7"/>
        <v>85.286564934404339</v>
      </c>
      <c r="BH19" s="62">
        <f t="shared" si="8"/>
        <v>361.50878715662657</v>
      </c>
      <c r="BI19" s="62">
        <f ca="1">AVERAGE(OFFSET($BH$3,0,0,'Données projet'!$E$11+1,1))-AVERAGE(OFFSET($H$3,0,0,'Données projet'!$E$11+1,1))</f>
        <v>278.24093386944304</v>
      </c>
      <c r="BJ19" s="62">
        <f t="shared" si="38"/>
        <v>193.96102673885611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2.6904761904761907</v>
      </c>
      <c r="BY19" s="13">
        <f>IF('Données projet'!$A$114&gt;35,BY18+BX19-CG18,IF(A19&lt;'Données projet'!$A$114,$BV$205^A19,IF(A19='Données projet'!$A$114,'Données projet'!$B$114,BY18+BX19-CG18)))</f>
        <v>43.047619047619044</v>
      </c>
      <c r="BZ19" s="14">
        <f>BY19*VLOOKUP('Données projet'!$B$12,Paramètres!$A$1:$I$88,3,0)*VLOOKUP('Données projet'!$B$12,Paramètres!$A$1:$I$88,5,0)</f>
        <v>41.635657142857141</v>
      </c>
      <c r="CA19" s="14">
        <f t="shared" si="39"/>
        <v>12.431161629085675</v>
      </c>
      <c r="CB19" s="22">
        <f t="shared" si="10"/>
        <v>94.16637602780041</v>
      </c>
      <c r="CC19" s="62">
        <f t="shared" si="11"/>
        <v>370.38859825002265</v>
      </c>
      <c r="CD19" s="62">
        <f ca="1">AVERAGE(OFFSET($CC$3,0,0,'Données projet'!$E$12+1,1))-AVERAGE(OFFSET($H$3,0,0,'Données projet'!$E$12+1,1))</f>
        <v>303.93739496872121</v>
      </c>
      <c r="CE19" s="62">
        <f t="shared" si="40"/>
        <v>210.36431469568754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11.111111111111111</v>
      </c>
      <c r="CT19" s="13">
        <f>IF('Données projet'!$A$140&gt;35,CT18+CS19-DB18,IF(A19&lt;'Données projet'!$A$140,$CQ$205^A19,IF(A19='Données projet'!$A$140,'Données projet'!$B$140,CT18+CS19-DB18)))</f>
        <v>111.00946155696215</v>
      </c>
      <c r="CU19" s="18">
        <f>CT19*VLOOKUP('Données projet'!$B$13,Paramètres!$A$1:$I$88,3,0)*VLOOKUP('Données projet'!$B$13,Paramètres!$A$1:$I$88,5,0)</f>
        <v>55.935447489322094</v>
      </c>
      <c r="CV19" s="14">
        <f t="shared" si="41"/>
        <v>16.136465036190469</v>
      </c>
      <c r="CW19" s="22">
        <f t="shared" si="13"/>
        <v>125.52524764860102</v>
      </c>
      <c r="CX19" s="62">
        <f t="shared" si="14"/>
        <v>401.74746987082324</v>
      </c>
      <c r="CY19" s="62">
        <f ca="1">AVERAGE(OFFSET($CX$3,0,0,'Données projet'!$E$13+1,1))-AVERAGE(OFFSET($H$3,0,0,'Données projet'!$E$13+1,1))</f>
        <v>57.812812891099895</v>
      </c>
      <c r="CZ19" s="62">
        <f t="shared" si="42"/>
        <v>244.79885157604684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projet'!$B$13,Paramètres!$A$1:$I$88,3,0)*0.475*44/12</f>
        <v>0</v>
      </c>
      <c r="DG19" s="23">
        <f>EXP(-LN(2)/25)*DG18+(1-EXP(-LN(2)/25))/(LN(2)/25)*Calculateur!DB19*Calculateur!DD19*VLOOKUP('Données projet'!$B$13,Paramètres!$A$1:$I$88,3,0)*0.475*44/12</f>
        <v>0</v>
      </c>
      <c r="DH19" s="23">
        <f>EXP(-LN(2)/2)*DH18+(1-EXP(-LN(2)/2))/(LN(2)/2)*DB19*DE19*VLOOKUP('Données projet'!$B$13,Paramètres!$A$1:$I$88,3,0)*0.475*44/12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2.6904761904761907</v>
      </c>
      <c r="N20" s="14">
        <f>IF('Données projet'!$A$36&gt;35,N19+M20-V19,IF(A20&lt;'Données projet'!$A$36,$K$205^A20,IF(A20='Données projet'!$A$36,'Données projet'!$B$36,N19+M20-V19)))</f>
        <v>45.738095238095234</v>
      </c>
      <c r="O20" s="14">
        <f>N20*VLOOKUP('Données projet'!$B$9,Paramètres!$A$1:$I$88,3,0)*VLOOKUP('Données projet'!$B$9,Paramètres!$A$1:$I$88,5,0)</f>
        <v>41.383828571428566</v>
      </c>
      <c r="P20" s="14">
        <f t="shared" si="33"/>
        <v>12.364701650741173</v>
      </c>
      <c r="Q20" s="22">
        <f t="shared" si="2"/>
        <v>93.61202347027897</v>
      </c>
      <c r="R20" s="62">
        <f t="shared" si="0"/>
        <v>371.05646791472344</v>
      </c>
      <c r="S20" s="62">
        <f ca="1">AVERAGE(OFFSET($R$3,0,0,'Données projet'!$E$9+1,1))-AVERAGE(OFFSET($H$3,0,0,'Données projet'!$E$9+1,1))</f>
        <v>286.81278534843665</v>
      </c>
      <c r="T20" s="62">
        <f t="shared" si="34"/>
        <v>199.43308683696642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2.6904761904761907</v>
      </c>
      <c r="AI20" s="14">
        <f>IF('Données projet'!$A$62&gt;35,AI19+AH20-AQ19,IF(A20&lt;'Données projet'!$A$62,$AF$205^A20,IF(A20='Données projet'!$A$62,'Données projet'!$B$62,AI19+AH20-AQ19)))</f>
        <v>45.738095238095234</v>
      </c>
      <c r="AJ20" s="14">
        <f>AI20*VLOOKUP('Données projet'!$B$10,Paramètres!$A$1:$I$88,3,0)*VLOOKUP('Données projet'!$B$10,Paramètres!$A$1:$I$88,5,0)</f>
        <v>46.378428571428572</v>
      </c>
      <c r="AK20" s="14">
        <f t="shared" si="35"/>
        <v>13.674419801290952</v>
      </c>
      <c r="AL20" s="22">
        <f t="shared" si="4"/>
        <v>104.59204424915316</v>
      </c>
      <c r="AM20" s="62">
        <f t="shared" si="5"/>
        <v>382.03648869359762</v>
      </c>
      <c r="AN20" s="62">
        <f ca="1">AVERAGE(OFFSET($AM$3,0,0,'Données projet'!$E$10+1,1))-AVERAGE(OFFSET($H$3,0,0,'Données projet'!$E$10+1,1))</f>
        <v>316.76504852082684</v>
      </c>
      <c r="AO20" s="62">
        <f t="shared" si="36"/>
        <v>218.5520645293999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2.6904761904761907</v>
      </c>
      <c r="BD20" s="13">
        <f>IF('Données projet'!$A$88&gt;35,BD19+BC20-BL19,IF(A20&lt;'Données projet'!$A$88,$BA$205^A20,IF(A20='Données projet'!$A$88,'Données projet'!$B$88,BD19+BC20-BL19)))</f>
        <v>45.738095238095234</v>
      </c>
      <c r="BE20" s="14">
        <f>BD20*VLOOKUP('Données projet'!$B$11,Paramètres!$A$1:$I$88,3,0)*VLOOKUP('Données projet'!$B$11,Paramètres!$A$1:$I$88,5,0)</f>
        <v>39.956800000000001</v>
      </c>
      <c r="BF20" s="14">
        <f t="shared" si="37"/>
        <v>11.987196021936242</v>
      </c>
      <c r="BG20" s="22">
        <f t="shared" si="7"/>
        <v>90.469126404872284</v>
      </c>
      <c r="BH20" s="62">
        <f t="shared" si="8"/>
        <v>367.91357084931673</v>
      </c>
      <c r="BI20" s="62">
        <f ca="1">AVERAGE(OFFSET($BH$3,0,0,'Données projet'!$E$11+1,1))-AVERAGE(OFFSET($H$3,0,0,'Données projet'!$E$11+1,1))</f>
        <v>278.24093386944304</v>
      </c>
      <c r="BJ20" s="62">
        <f t="shared" si="38"/>
        <v>193.96102673885611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2.6904761904761907</v>
      </c>
      <c r="BY20" s="13">
        <f>IF('Données projet'!$A$114&gt;35,BY19+BX20-CG19,IF(A20&lt;'Données projet'!$A$114,$BV$205^A20,IF(A20='Données projet'!$A$114,'Données projet'!$B$114,BY19+BX20-CG19)))</f>
        <v>45.738095238095234</v>
      </c>
      <c r="BZ20" s="14">
        <f>BY20*VLOOKUP('Données projet'!$B$12,Paramètres!$A$1:$I$88,3,0)*VLOOKUP('Données projet'!$B$12,Paramètres!$A$1:$I$88,5,0)</f>
        <v>44.23788571428571</v>
      </c>
      <c r="CA20" s="14">
        <f t="shared" si="39"/>
        <v>13.115231578080314</v>
      </c>
      <c r="CB20" s="22">
        <f t="shared" si="10"/>
        <v>99.890012617537479</v>
      </c>
      <c r="CC20" s="62">
        <f t="shared" si="11"/>
        <v>377.33445706198194</v>
      </c>
      <c r="CD20" s="62">
        <f ca="1">AVERAGE(OFFSET($CC$3,0,0,'Données projet'!$E$12+1,1))-AVERAGE(OFFSET($H$3,0,0,'Données projet'!$E$12+1,1))</f>
        <v>303.93739496872121</v>
      </c>
      <c r="CE20" s="62">
        <f t="shared" si="40"/>
        <v>210.36431469568754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11.111111111111111</v>
      </c>
      <c r="CT20" s="13">
        <f>IF('Données projet'!$A$140&gt;35,CT19+CS20-DB19,IF(A20&lt;'Données projet'!$A$140,$CQ$205^A20,IF(A20='Données projet'!$A$140,'Données projet'!$B$140,CT19+CS20-DB19)))</f>
        <v>149.00299430344478</v>
      </c>
      <c r="CU20" s="18">
        <f>CT20*VLOOKUP('Données projet'!$B$13,Paramètres!$A$1:$I$88,3,0)*VLOOKUP('Données projet'!$B$13,Paramètres!$A$1:$I$88,5,0)</f>
        <v>75.07962876961976</v>
      </c>
      <c r="CV20" s="14">
        <f t="shared" si="41"/>
        <v>20.929719457770229</v>
      </c>
      <c r="CW20" s="22">
        <f t="shared" si="13"/>
        <v>167.21628149603757</v>
      </c>
      <c r="CX20" s="62">
        <f t="shared" si="14"/>
        <v>444.66072594048205</v>
      </c>
      <c r="CY20" s="62">
        <f ca="1">AVERAGE(OFFSET($CX$3,0,0,'Données projet'!$E$13+1,1))-AVERAGE(OFFSET($H$3,0,0,'Données projet'!$E$13+1,1))</f>
        <v>57.812812891099895</v>
      </c>
      <c r="CZ20" s="62">
        <f t="shared" si="42"/>
        <v>244.79885157604684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projet'!$B$13,Paramètres!$A$1:$I$88,3,0)*0.475*44/12</f>
        <v>0</v>
      </c>
      <c r="DG20" s="23">
        <f>EXP(-LN(2)/25)*DG19+(1-EXP(-LN(2)/25))/(LN(2)/25)*Calculateur!DB20*Calculateur!DD20*VLOOKUP('Données projet'!$B$13,Paramètres!$A$1:$I$88,3,0)*0.475*44/12</f>
        <v>0</v>
      </c>
      <c r="DH20" s="23">
        <f>EXP(-LN(2)/2)*DH19+(1-EXP(-LN(2)/2))/(LN(2)/2)*DB20*DE20*VLOOKUP('Données projet'!$B$13,Paramètres!$A$1:$I$88,3,0)*0.475*44/12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2.6904761904761907</v>
      </c>
      <c r="N21" s="14">
        <f>IF('Données projet'!$A$36&gt;35,N20+M21-V20,IF(A21&lt;'Données projet'!$A$36,$K$205^A21,IF(A21='Données projet'!$A$36,'Données projet'!$B$36,N20+M21-V20)))</f>
        <v>48.428571428571423</v>
      </c>
      <c r="O21" s="14">
        <f>N21*VLOOKUP('Données projet'!$B$9,Paramètres!$A$1:$I$88,3,0)*VLOOKUP('Données projet'!$B$9,Paramètres!$A$1:$I$88,5,0)</f>
        <v>43.818171428571425</v>
      </c>
      <c r="P21" s="14">
        <f t="shared" si="33"/>
        <v>13.005221707512169</v>
      </c>
      <c r="Q21" s="22">
        <f t="shared" si="2"/>
        <v>98.96740971201227</v>
      </c>
      <c r="R21" s="62">
        <f t="shared" si="0"/>
        <v>377.63407637867897</v>
      </c>
      <c r="S21" s="62">
        <f ca="1">AVERAGE(OFFSET($R$3,0,0,'Données projet'!$E$9+1,1))-AVERAGE(OFFSET($H$3,0,0,'Données projet'!$E$9+1,1))</f>
        <v>286.81278534843665</v>
      </c>
      <c r="T21" s="62">
        <f t="shared" si="34"/>
        <v>199.43308683696642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2.6904761904761907</v>
      </c>
      <c r="AI21" s="14">
        <f>IF('Données projet'!$A$62&gt;35,AI20+AH21-AQ20,IF(A21&lt;'Données projet'!$A$62,$AF$205^A21,IF(A21='Données projet'!$A$62,'Données projet'!$B$62,AI20+AH21-AQ20)))</f>
        <v>48.428571428571423</v>
      </c>
      <c r="AJ21" s="14">
        <f>AI21*VLOOKUP('Données projet'!$B$10,Paramètres!$A$1:$I$88,3,0)*VLOOKUP('Données projet'!$B$10,Paramètres!$A$1:$I$88,5,0)</f>
        <v>49.106571428571428</v>
      </c>
      <c r="AK21" s="14">
        <f t="shared" si="35"/>
        <v>14.382786278286252</v>
      </c>
      <c r="AL21" s="22">
        <f t="shared" si="4"/>
        <v>110.57729800611047</v>
      </c>
      <c r="AM21" s="62">
        <f t="shared" si="5"/>
        <v>389.24396467277717</v>
      </c>
      <c r="AN21" s="62">
        <f ca="1">AVERAGE(OFFSET($AM$3,0,0,'Données projet'!$E$10+1,1))-AVERAGE(OFFSET($H$3,0,0,'Données projet'!$E$10+1,1))</f>
        <v>316.76504852082684</v>
      </c>
      <c r="AO21" s="62">
        <f t="shared" si="36"/>
        <v>218.5520645293999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2.6904761904761907</v>
      </c>
      <c r="BD21" s="13">
        <f>IF('Données projet'!$A$88&gt;35,BD20+BC21-BL20,IF(A21&lt;'Données projet'!$A$88,$BA$205^A21,IF(A21='Données projet'!$A$88,'Données projet'!$B$88,BD20+BC21-BL20)))</f>
        <v>48.428571428571423</v>
      </c>
      <c r="BE21" s="14">
        <f>BD21*VLOOKUP('Données projet'!$B$11,Paramètres!$A$1:$I$88,3,0)*VLOOKUP('Données projet'!$B$11,Paramètres!$A$1:$I$88,5,0)</f>
        <v>42.307200000000002</v>
      </c>
      <c r="BF21" s="14">
        <f t="shared" si="37"/>
        <v>12.608160416660274</v>
      </c>
      <c r="BG21" s="22">
        <f t="shared" si="7"/>
        <v>95.644252725683316</v>
      </c>
      <c r="BH21" s="62">
        <f t="shared" si="8"/>
        <v>374.31091939235</v>
      </c>
      <c r="BI21" s="62">
        <f ca="1">AVERAGE(OFFSET($BH$3,0,0,'Données projet'!$E$11+1,1))-AVERAGE(OFFSET($H$3,0,0,'Données projet'!$E$11+1,1))</f>
        <v>278.24093386944304</v>
      </c>
      <c r="BJ21" s="62">
        <f t="shared" si="38"/>
        <v>193.96102673885611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2.6904761904761907</v>
      </c>
      <c r="BY21" s="13">
        <f>IF('Données projet'!$A$114&gt;35,BY20+BX21-CG20,IF(A21&lt;'Données projet'!$A$114,$BV$205^A21,IF(A21='Données projet'!$A$114,'Données projet'!$B$114,BY20+BX21-CG20)))</f>
        <v>48.428571428571423</v>
      </c>
      <c r="BZ21" s="14">
        <f>BY21*VLOOKUP('Données projet'!$B$12,Paramètres!$A$1:$I$88,3,0)*VLOOKUP('Données projet'!$B$12,Paramètres!$A$1:$I$88,5,0)</f>
        <v>46.840114285714286</v>
      </c>
      <c r="CA21" s="14">
        <f t="shared" si="39"/>
        <v>13.794630815703917</v>
      </c>
      <c r="CB21" s="22">
        <f t="shared" si="10"/>
        <v>105.60551438497004</v>
      </c>
      <c r="CC21" s="62">
        <f t="shared" si="11"/>
        <v>384.27218105163672</v>
      </c>
      <c r="CD21" s="62">
        <f ca="1">AVERAGE(OFFSET($CC$3,0,0,'Données projet'!$E$12+1,1))-AVERAGE(OFFSET($H$3,0,0,'Données projet'!$E$12+1,1))</f>
        <v>303.93739496872121</v>
      </c>
      <c r="CE21" s="62">
        <f t="shared" si="40"/>
        <v>210.36431469568754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>
        <f>VLOOKUP(A21,'Données projet'!$A$139:$I$159,2,0)</f>
        <v>200</v>
      </c>
      <c r="CR21" s="13">
        <f>VLOOKUP(A21,'Données projet'!$A$139:$I$159,9,0)</f>
        <v>11.111111111111111</v>
      </c>
      <c r="CS21" s="13">
        <f t="array" ref="CS21">INDEX(CR:CR,MIN(IF(ISNUMBER(CR21:CR217),ROW(CR21:CR217),"")))</f>
        <v>11.111111111111111</v>
      </c>
      <c r="CT21" s="13">
        <f>IF('Données projet'!$A$140&gt;35,CT20+CS21-DB20,IF(A21&lt;'Données projet'!$A$140,$CQ$205^A21,IF(A21='Données projet'!$A$140,'Données projet'!$B$140,CT20+CS21-DB20)))</f>
        <v>200</v>
      </c>
      <c r="CU21" s="18">
        <f>CT21*VLOOKUP('Données projet'!$B$13,Paramètres!$A$1:$I$88,3,0)*VLOOKUP('Données projet'!$B$13,Paramètres!$A$1:$I$88,5,0)</f>
        <v>100.77600000000001</v>
      </c>
      <c r="CV21" s="14">
        <f t="shared" si="41"/>
        <v>27.146785593902472</v>
      </c>
      <c r="CW21" s="22">
        <f t="shared" si="13"/>
        <v>222.79885157604681</v>
      </c>
      <c r="CX21" s="62">
        <f t="shared" si="14"/>
        <v>501.46551824271353</v>
      </c>
      <c r="CY21" s="62">
        <f ca="1">AVERAGE(OFFSET($CX$3,0,0,'Données projet'!$E$13+1,1))-AVERAGE(OFFSET($H$3,0,0,'Données projet'!$E$13+1,1))</f>
        <v>57.812812891099895</v>
      </c>
      <c r="CZ21" s="62">
        <f t="shared" si="42"/>
        <v>244.79885157604684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200</v>
      </c>
      <c r="DC21" s="17">
        <f>IF(ISNA(VLOOKUP(A21,'Données projet'!$A$139:$I$159,5,0)),0%,VLOOKUP(A21,'Données projet'!$A$139:$I$159,5,0)*VLOOKUP('Données projet'!$B$13,Paramètres!$A$1:$I$88,7,0))</f>
        <v>0.438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0.27</v>
      </c>
      <c r="DF21" s="23">
        <f>EXP(-LN(2)/35)*DF20+(1-EXP(-LN(2)/35))/(LN(2)/35)*DB21*DC21*VLOOKUP('Données projet'!$B$13,Paramètres!$A$1:$I$88,3,0)*0.475*44/12</f>
        <v>48.795338739901915</v>
      </c>
      <c r="DG21" s="23">
        <f>EXP(-LN(2)/25)*DG20+(1-EXP(-LN(2)/25))/(LN(2)/25)*Calculateur!DB21*Calculateur!DD21*VLOOKUP('Données projet'!$B$13,Paramètres!$A$1:$I$88,3,0)*0.475*44/12</f>
        <v>0</v>
      </c>
      <c r="DH21" s="23">
        <f>EXP(-LN(2)/2)*DH20+(1-EXP(-LN(2)/2))/(LN(2)/2)*DB21*DE21*VLOOKUP('Données projet'!$B$13,Paramètres!$A$1:$I$88,3,0)*0.475*44/12</f>
        <v>25.672914453493604</v>
      </c>
      <c r="DI21" s="24">
        <f t="shared" si="15"/>
        <v>74.468253193395526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2.6904761904761907</v>
      </c>
      <c r="N22" s="14">
        <f>IF('Données projet'!$A$36&gt;35,N21+M22-V21,IF(A22&lt;'Données projet'!$A$36,$K$205^A22,IF(A22='Données projet'!$A$36,'Données projet'!$B$36,N21+M22-V21)))</f>
        <v>51.119047619047613</v>
      </c>
      <c r="O22" s="14">
        <f>N22*VLOOKUP('Données projet'!$B$9,Paramètres!$A$1:$I$88,3,0)*VLOOKUP('Données projet'!$B$9,Paramètres!$A$1:$I$88,5,0)</f>
        <v>46.252514285714277</v>
      </c>
      <c r="P22" s="14">
        <f t="shared" si="33"/>
        <v>13.641610855281657</v>
      </c>
      <c r="Q22" s="22">
        <f t="shared" si="2"/>
        <v>104.31560128723459</v>
      </c>
      <c r="R22" s="62">
        <f t="shared" si="0"/>
        <v>384.20449017612344</v>
      </c>
      <c r="S22" s="62">
        <f ca="1">AVERAGE(OFFSET($R$3,0,0,'Données projet'!$E$9+1,1))-AVERAGE(OFFSET($H$3,0,0,'Données projet'!$E$9+1,1))</f>
        <v>286.81278534843665</v>
      </c>
      <c r="T22" s="62">
        <f t="shared" si="34"/>
        <v>199.43308683696642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2.6904761904761907</v>
      </c>
      <c r="AI22" s="14">
        <f>IF('Données projet'!$A$62&gt;35,AI21+AH22-AQ21,IF(A22&lt;'Données projet'!$A$62,$AF$205^A22,IF(A22='Données projet'!$A$62,'Données projet'!$B$62,AI21+AH22-AQ21)))</f>
        <v>51.119047619047613</v>
      </c>
      <c r="AJ22" s="14">
        <f>AI22*VLOOKUP('Données projet'!$B$10,Paramètres!$A$1:$I$88,3,0)*VLOOKUP('Données projet'!$B$10,Paramètres!$A$1:$I$88,5,0)</f>
        <v>51.834714285714277</v>
      </c>
      <c r="AK22" s="14">
        <f t="shared" si="35"/>
        <v>15.086584284044363</v>
      </c>
      <c r="AL22" s="22">
        <f t="shared" si="4"/>
        <v>116.55459500899632</v>
      </c>
      <c r="AM22" s="62">
        <f t="shared" si="5"/>
        <v>396.44348389788519</v>
      </c>
      <c r="AN22" s="62">
        <f ca="1">AVERAGE(OFFSET($AM$3,0,0,'Données projet'!$E$10+1,1))-AVERAGE(OFFSET($H$3,0,0,'Données projet'!$E$10+1,1))</f>
        <v>316.76504852082684</v>
      </c>
      <c r="AO22" s="62">
        <f t="shared" si="36"/>
        <v>218.5520645293999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2.6904761904761907</v>
      </c>
      <c r="BD22" s="13">
        <f>IF('Données projet'!$A$88&gt;35,BD21+BC22-BL21,IF(A22&lt;'Données projet'!$A$88,$BA$205^A22,IF(A22='Données projet'!$A$88,'Données projet'!$B$88,BD21+BC22-BL21)))</f>
        <v>51.119047619047613</v>
      </c>
      <c r="BE22" s="14">
        <f>BD22*VLOOKUP('Données projet'!$B$11,Paramètres!$A$1:$I$88,3,0)*VLOOKUP('Données projet'!$B$11,Paramètres!$A$1:$I$88,5,0)</f>
        <v>44.657600000000002</v>
      </c>
      <c r="BF22" s="14">
        <f t="shared" si="37"/>
        <v>13.225120022805605</v>
      </c>
      <c r="BG22" s="22">
        <f t="shared" si="7"/>
        <v>100.81240403971977</v>
      </c>
      <c r="BH22" s="62">
        <f t="shared" si="8"/>
        <v>380.70129292860861</v>
      </c>
      <c r="BI22" s="62">
        <f ca="1">AVERAGE(OFFSET($BH$3,0,0,'Données projet'!$E$11+1,1))-AVERAGE(OFFSET($H$3,0,0,'Données projet'!$E$11+1,1))</f>
        <v>278.24093386944304</v>
      </c>
      <c r="BJ22" s="62">
        <f t="shared" si="38"/>
        <v>193.96102673885611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2.6904761904761907</v>
      </c>
      <c r="BY22" s="13">
        <f>IF('Données projet'!$A$114&gt;35,BY21+BX22-CG21,IF(A22&lt;'Données projet'!$A$114,$BV$205^A22,IF(A22='Données projet'!$A$114,'Données projet'!$B$114,BY21+BX22-CG21)))</f>
        <v>51.119047619047613</v>
      </c>
      <c r="BZ22" s="14">
        <f>BY22*VLOOKUP('Données projet'!$B$12,Paramètres!$A$1:$I$88,3,0)*VLOOKUP('Données projet'!$B$12,Paramètres!$A$1:$I$88,5,0)</f>
        <v>49.442342857142854</v>
      </c>
      <c r="CA22" s="14">
        <f t="shared" si="39"/>
        <v>14.469648400642876</v>
      </c>
      <c r="CB22" s="22">
        <f t="shared" si="10"/>
        <v>111.31338477397679</v>
      </c>
      <c r="CC22" s="62">
        <f t="shared" si="11"/>
        <v>391.20227366286565</v>
      </c>
      <c r="CD22" s="62">
        <f ca="1">AVERAGE(OFFSET($CC$3,0,0,'Données projet'!$E$12+1,1))-AVERAGE(OFFSET($H$3,0,0,'Données projet'!$E$12+1,1))</f>
        <v>303.93739496872121</v>
      </c>
      <c r="CE22" s="62">
        <f t="shared" si="40"/>
        <v>210.36431469568754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>
        <f>CT22*VLOOKUP('Données projet'!$B$13,Paramètres!$A$1:$I$88,3,0)*VLOOKUP('Données projet'!$B$13,Paramètres!$A$1:$I$88,5,0)</f>
        <v>0</v>
      </c>
      <c r="CV22" s="14" t="e">
        <f t="shared" si="41"/>
        <v>#NUM!</v>
      </c>
      <c r="CW22" s="22" t="e">
        <f t="shared" si="13"/>
        <v>#NUM!</v>
      </c>
      <c r="CX22" s="62" t="e">
        <f t="shared" si="14"/>
        <v>#NUM!</v>
      </c>
      <c r="CY22" s="62">
        <f ca="1">AVERAGE(OFFSET($CX$3,0,0,'Données projet'!$E$13+1,1))-AVERAGE(OFFSET($H$3,0,0,'Données projet'!$E$13+1,1))</f>
        <v>57.812812891099895</v>
      </c>
      <c r="CZ22" s="62">
        <f t="shared" si="42"/>
        <v>244.79885157604684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projet'!$B$13,Paramètres!$A$1:$I$88,3,0)*0.475*44/12</f>
        <v>47.838491909430296</v>
      </c>
      <c r="DG22" s="23">
        <f>EXP(-LN(2)/25)*DG21+(1-EXP(-LN(2)/25))/(LN(2)/25)*Calculateur!DB22*Calculateur!DD22*VLOOKUP('Données projet'!$B$13,Paramètres!$A$1:$I$88,3,0)*0.475*44/12</f>
        <v>0</v>
      </c>
      <c r="DH22" s="23">
        <f>EXP(-LN(2)/2)*DH21+(1-EXP(-LN(2)/2))/(LN(2)/2)*DB22*DE22*VLOOKUP('Données projet'!$B$13,Paramètres!$A$1:$I$88,3,0)*0.475*44/12</f>
        <v>18.153491902887456</v>
      </c>
      <c r="DI22" s="24">
        <f t="shared" si="15"/>
        <v>65.991983812317756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2.6904761904761907</v>
      </c>
      <c r="N23" s="14">
        <f>IF('Données projet'!$A$36&gt;35,N22+M23-V22,IF(A23&lt;'Données projet'!$A$36,$K$205^A23,IF(A23='Données projet'!$A$36,'Données projet'!$B$36,N22+M23-V22)))</f>
        <v>53.809523809523803</v>
      </c>
      <c r="O23" s="14">
        <f>N23*VLOOKUP('Données projet'!$B$9,Paramètres!$A$1:$I$88,3,0)*VLOOKUP('Données projet'!$B$9,Paramètres!$A$1:$I$88,5,0)</f>
        <v>48.686857142857136</v>
      </c>
      <c r="P23" s="14">
        <f t="shared" si="33"/>
        <v>14.274111304929692</v>
      </c>
      <c r="Q23" s="22">
        <f t="shared" si="2"/>
        <v>109.65702004656204</v>
      </c>
      <c r="R23" s="62">
        <f t="shared" si="0"/>
        <v>390.76813115767317</v>
      </c>
      <c r="S23" s="62">
        <f ca="1">AVERAGE(OFFSET($R$3,0,0,'Données projet'!$E$9+1,1))-AVERAGE(OFFSET($H$3,0,0,'Données projet'!$E$9+1,1))</f>
        <v>286.81278534843665</v>
      </c>
      <c r="T23" s="62">
        <f t="shared" si="34"/>
        <v>199.43308683696642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2.6904761904761907</v>
      </c>
      <c r="AI23" s="14">
        <f>IF('Données projet'!$A$62&gt;35,AI22+AH23-AQ22,IF(A23&lt;'Données projet'!$A$62,$AF$205^A23,IF(A23='Données projet'!$A$62,'Données projet'!$B$62,AI22+AH23-AQ22)))</f>
        <v>53.809523809523803</v>
      </c>
      <c r="AJ23" s="14">
        <f>AI23*VLOOKUP('Données projet'!$B$10,Paramètres!$A$1:$I$88,3,0)*VLOOKUP('Données projet'!$B$10,Paramètres!$A$1:$I$88,5,0)</f>
        <v>54.562857142857141</v>
      </c>
      <c r="AK23" s="14">
        <f t="shared" si="35"/>
        <v>15.786081685380697</v>
      </c>
      <c r="AL23" s="22">
        <f t="shared" si="4"/>
        <v>122.52440179251424</v>
      </c>
      <c r="AM23" s="62">
        <f t="shared" si="5"/>
        <v>403.6355129036254</v>
      </c>
      <c r="AN23" s="62">
        <f ca="1">AVERAGE(OFFSET($AM$3,0,0,'Données projet'!$E$10+1,1))-AVERAGE(OFFSET($H$3,0,0,'Données projet'!$E$10+1,1))</f>
        <v>316.76504852082684</v>
      </c>
      <c r="AO23" s="62">
        <f t="shared" si="36"/>
        <v>218.5520645293999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2.6904761904761907</v>
      </c>
      <c r="BD23" s="13">
        <f>IF('Données projet'!$A$88&gt;35,BD22+BC23-BL22,IF(A23&lt;'Données projet'!$A$88,$BA$205^A23,IF(A23='Données projet'!$A$88,'Données projet'!$B$88,BD22+BC23-BL22)))</f>
        <v>53.809523809523803</v>
      </c>
      <c r="BE23" s="14">
        <f>BD23*VLOOKUP('Données projet'!$B$11,Paramètres!$A$1:$I$88,3,0)*VLOOKUP('Données projet'!$B$11,Paramètres!$A$1:$I$88,5,0)</f>
        <v>47.008000000000003</v>
      </c>
      <c r="BF23" s="14">
        <f t="shared" si="37"/>
        <v>13.838309656333021</v>
      </c>
      <c r="BG23" s="22">
        <f t="shared" si="7"/>
        <v>105.97398931811334</v>
      </c>
      <c r="BH23" s="62">
        <f t="shared" si="8"/>
        <v>387.0851004292245</v>
      </c>
      <c r="BI23" s="62">
        <f ca="1">AVERAGE(OFFSET($BH$3,0,0,'Données projet'!$E$11+1,1))-AVERAGE(OFFSET($H$3,0,0,'Données projet'!$E$11+1,1))</f>
        <v>278.24093386944304</v>
      </c>
      <c r="BJ23" s="62">
        <f t="shared" si="38"/>
        <v>193.96102673885611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2.6904761904761907</v>
      </c>
      <c r="BY23" s="13">
        <f>IF('Données projet'!$A$114&gt;35,BY22+BX23-CG22,IF(A23&lt;'Données projet'!$A$114,$BV$205^A23,IF(A23='Données projet'!$A$114,'Données projet'!$B$114,BY22+BX23-CG22)))</f>
        <v>53.809523809523803</v>
      </c>
      <c r="BZ23" s="14">
        <f>BY23*VLOOKUP('Données projet'!$B$12,Paramètres!$A$1:$I$88,3,0)*VLOOKUP('Données projet'!$B$12,Paramètres!$A$1:$I$88,5,0)</f>
        <v>52.04457142857143</v>
      </c>
      <c r="CA23" s="14">
        <f t="shared" si="39"/>
        <v>15.140541245831477</v>
      </c>
      <c r="CB23" s="22">
        <f t="shared" si="10"/>
        <v>117.01407124125171</v>
      </c>
      <c r="CC23" s="62">
        <f t="shared" si="11"/>
        <v>398.12518235236286</v>
      </c>
      <c r="CD23" s="62">
        <f ca="1">AVERAGE(OFFSET($CC$3,0,0,'Données projet'!$E$12+1,1))-AVERAGE(OFFSET($H$3,0,0,'Données projet'!$E$12+1,1))</f>
        <v>303.93739496872121</v>
      </c>
      <c r="CE23" s="62">
        <f t="shared" si="40"/>
        <v>210.36431469568754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projet'!$B$12,Paramètres!$A$1:$I$88,3,0)*0.475*44/12</f>
        <v>0</v>
      </c>
      <c r="CL23" s="23">
        <f>EXP(-LN(2)/25)*CL22+(1-EXP(-LN(2)/25))/(LN(2)/25)*Calculateur!CG23*Calculateur!CI23*VLOOKUP('Données projet'!$B$12,Paramètres!$A$1:$I$88,3,0)*0.475*44/12</f>
        <v>0</v>
      </c>
      <c r="CM23" s="23">
        <f>EXP(-LN(2)/2)*CM22+(1-EXP(-LN(2)/2))/(LN(2)/2)*CG23*CJ23*VLOOKUP('Données projet'!$B$12,Paramètres!$A$1:$I$88,3,0)*0.475*44/12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>
        <f>CT23*VLOOKUP('Données projet'!$B$13,Paramètres!$A$1:$I$88,3,0)*VLOOKUP('Données projet'!$B$13,Paramètres!$A$1:$I$88,5,0)</f>
        <v>0</v>
      </c>
      <c r="CV23" s="14" t="e">
        <f t="shared" si="41"/>
        <v>#NUM!</v>
      </c>
      <c r="CW23" s="22" t="e">
        <f t="shared" si="13"/>
        <v>#NUM!</v>
      </c>
      <c r="CX23" s="62" t="e">
        <f t="shared" si="14"/>
        <v>#NUM!</v>
      </c>
      <c r="CY23" s="62">
        <f ca="1">AVERAGE(OFFSET($CX$3,0,0,'Données projet'!$E$13+1,1))-AVERAGE(OFFSET($H$3,0,0,'Données projet'!$E$13+1,1))</f>
        <v>57.812812891099895</v>
      </c>
      <c r="CZ23" s="62">
        <f t="shared" si="42"/>
        <v>244.79885157604684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projet'!$B$13,Paramètres!$A$1:$I$88,3,0)*0.475*44/12</f>
        <v>46.900408261685286</v>
      </c>
      <c r="DG23" s="23">
        <f>EXP(-LN(2)/25)*DG22+(1-EXP(-LN(2)/25))/(LN(2)/25)*Calculateur!DB23*Calculateur!DD23*VLOOKUP('Données projet'!$B$13,Paramètres!$A$1:$I$88,3,0)*0.475*44/12</f>
        <v>0</v>
      </c>
      <c r="DH23" s="23">
        <f>EXP(-LN(2)/2)*DH22+(1-EXP(-LN(2)/2))/(LN(2)/2)*DB23*DE23*VLOOKUP('Données projet'!$B$13,Paramètres!$A$1:$I$88,3,0)*0.475*44/12</f>
        <v>12.836457226746804</v>
      </c>
      <c r="DI23" s="24">
        <f t="shared" si="15"/>
        <v>59.736865488432088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2.6904761904761907</v>
      </c>
      <c r="N24" s="14">
        <f>IF('Données projet'!$A$36&gt;35,N23+M24-V23,IF(A24&lt;'Données projet'!$A$36,$K$205^A24,IF(A24='Données projet'!$A$36,'Données projet'!$B$36,N23+M24-V23)))</f>
        <v>56.499999999999993</v>
      </c>
      <c r="O24" s="14">
        <f>N24*VLOOKUP('Données projet'!$B$9,Paramètres!$A$1:$I$88,3,0)*VLOOKUP('Données projet'!$B$9,Paramètres!$A$1:$I$88,5,0)</f>
        <v>51.121199999999995</v>
      </c>
      <c r="P24" s="14">
        <f t="shared" si="33"/>
        <v>14.902939678011313</v>
      </c>
      <c r="Q24" s="22">
        <f t="shared" si="2"/>
        <v>114.99204327253635</v>
      </c>
      <c r="R24" s="62">
        <f t="shared" si="0"/>
        <v>397.32537660586968</v>
      </c>
      <c r="S24" s="62">
        <f ca="1">AVERAGE(OFFSET($R$3,0,0,'Données projet'!$E$9+1,1))-AVERAGE(OFFSET($H$3,0,0,'Données projet'!$E$9+1,1))</f>
        <v>286.81278534843665</v>
      </c>
      <c r="T24" s="62">
        <f t="shared" si="34"/>
        <v>199.43308683696642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2.6904761904761907</v>
      </c>
      <c r="AI24" s="14">
        <f>IF('Données projet'!$A$62&gt;35,AI23+AH24-AQ23,IF(A24&lt;'Données projet'!$A$62,$AF$205^A24,IF(A24='Données projet'!$A$62,'Données projet'!$B$62,AI23+AH24-AQ23)))</f>
        <v>56.499999999999993</v>
      </c>
      <c r="AJ24" s="14">
        <f>AI24*VLOOKUP('Données projet'!$B$10,Paramètres!$A$1:$I$88,3,0)*VLOOKUP('Données projet'!$B$10,Paramètres!$A$1:$I$88,5,0)</f>
        <v>57.29099999999999</v>
      </c>
      <c r="AK24" s="14">
        <f t="shared" si="35"/>
        <v>16.481518049262991</v>
      </c>
      <c r="AL24" s="22">
        <f t="shared" si="4"/>
        <v>128.48713560246634</v>
      </c>
      <c r="AM24" s="62">
        <f t="shared" si="5"/>
        <v>410.82046893579968</v>
      </c>
      <c r="AN24" s="62">
        <f ca="1">AVERAGE(OFFSET($AM$3,0,0,'Données projet'!$E$10+1,1))-AVERAGE(OFFSET($H$3,0,0,'Données projet'!$E$10+1,1))</f>
        <v>316.76504852082684</v>
      </c>
      <c r="AO24" s="62">
        <f t="shared" si="36"/>
        <v>218.5520645293999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2.6904761904761907</v>
      </c>
      <c r="BD24" s="13">
        <f>IF('Données projet'!$A$88&gt;35,BD23+BC24-BL23,IF(A24&lt;'Données projet'!$A$88,$BA$205^A24,IF(A24='Données projet'!$A$88,'Données projet'!$B$88,BD23+BC24-BL23)))</f>
        <v>56.499999999999993</v>
      </c>
      <c r="BE24" s="14">
        <f>BD24*VLOOKUP('Données projet'!$B$11,Paramètres!$A$1:$I$88,3,0)*VLOOKUP('Données projet'!$B$11,Paramètres!$A$1:$I$88,5,0)</f>
        <v>49.358400000000003</v>
      </c>
      <c r="BF24" s="14">
        <f t="shared" si="37"/>
        <v>14.44793932514373</v>
      </c>
      <c r="BG24" s="22">
        <f t="shared" si="7"/>
        <v>111.12937432462532</v>
      </c>
      <c r="BH24" s="62">
        <f t="shared" si="8"/>
        <v>393.46270765795862</v>
      </c>
      <c r="BI24" s="62">
        <f ca="1">AVERAGE(OFFSET($BH$3,0,0,'Données projet'!$E$11+1,1))-AVERAGE(OFFSET($H$3,0,0,'Données projet'!$E$11+1,1))</f>
        <v>278.24093386944304</v>
      </c>
      <c r="BJ24" s="62">
        <f t="shared" si="38"/>
        <v>193.96102673885611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2.6904761904761907</v>
      </c>
      <c r="BY24" s="13">
        <f>IF('Données projet'!$A$114&gt;35,BY23+BX24-CG23,IF(A24&lt;'Données projet'!$A$114,$BV$205^A24,IF(A24='Données projet'!$A$114,'Données projet'!$B$114,BY23+BX24-CG23)))</f>
        <v>56.499999999999993</v>
      </c>
      <c r="BZ24" s="14">
        <f>BY24*VLOOKUP('Données projet'!$B$12,Paramètres!$A$1:$I$88,3,0)*VLOOKUP('Données projet'!$B$12,Paramètres!$A$1:$I$88,5,0)</f>
        <v>54.646799999999992</v>
      </c>
      <c r="CA24" s="14">
        <f t="shared" si="39"/>
        <v>15.807539121622385</v>
      </c>
      <c r="CB24" s="22">
        <f t="shared" si="10"/>
        <v>122.70797397015896</v>
      </c>
      <c r="CC24" s="62">
        <f t="shared" si="11"/>
        <v>405.04130730349226</v>
      </c>
      <c r="CD24" s="62">
        <f ca="1">AVERAGE(OFFSET($CC$3,0,0,'Données projet'!$E$12+1,1))-AVERAGE(OFFSET($H$3,0,0,'Données projet'!$E$12+1,1))</f>
        <v>303.93739496872121</v>
      </c>
      <c r="CE24" s="62">
        <f t="shared" si="40"/>
        <v>210.36431469568754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0</v>
      </c>
      <c r="CL24" s="23">
        <f>EXP(-LN(2)/25)*CL23+(1-EXP(-LN(2)/25))/(LN(2)/25)*Calculateur!CG24*Calculateur!CI24*VLOOKUP('Données projet'!$B$12,Paramètres!$A$1:$I$88,3,0)*0.475*44/12</f>
        <v>0</v>
      </c>
      <c r="CM24" s="23">
        <f>EXP(-LN(2)/2)*CM23+(1-EXP(-LN(2)/2))/(LN(2)/2)*CG24*CJ24*VLOOKUP('Données projet'!$B$12,Paramètres!$A$1:$I$88,3,0)*0.475*44/12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>
        <f>CT24*VLOOKUP('Données projet'!$B$13,Paramètres!$A$1:$I$88,3,0)*VLOOKUP('Données projet'!$B$13,Paramètres!$A$1:$I$88,5,0)</f>
        <v>0</v>
      </c>
      <c r="CV24" s="14" t="e">
        <f t="shared" si="41"/>
        <v>#NUM!</v>
      </c>
      <c r="CW24" s="22" t="e">
        <f t="shared" si="13"/>
        <v>#NUM!</v>
      </c>
      <c r="CX24" s="62" t="e">
        <f t="shared" si="14"/>
        <v>#NUM!</v>
      </c>
      <c r="CY24" s="62">
        <f ca="1">AVERAGE(OFFSET($CX$3,0,0,'Données projet'!$E$13+1,1))-AVERAGE(OFFSET($H$3,0,0,'Données projet'!$E$13+1,1))</f>
        <v>57.812812891099895</v>
      </c>
      <c r="CZ24" s="62">
        <f t="shared" si="42"/>
        <v>244.79885157604684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projet'!$B$13,Paramètres!$A$1:$I$88,3,0)*0.475*44/12</f>
        <v>45.980719862098027</v>
      </c>
      <c r="DG24" s="23">
        <f>EXP(-LN(2)/25)*DG23+(1-EXP(-LN(2)/25))/(LN(2)/25)*Calculateur!DB24*Calculateur!DD24*VLOOKUP('Données projet'!$B$13,Paramètres!$A$1:$I$88,3,0)*0.475*44/12</f>
        <v>0</v>
      </c>
      <c r="DH24" s="23">
        <f>EXP(-LN(2)/2)*DH23+(1-EXP(-LN(2)/2))/(LN(2)/2)*DB24*DE24*VLOOKUP('Données projet'!$B$13,Paramètres!$A$1:$I$88,3,0)*0.475*44/12</f>
        <v>9.0767459514437299</v>
      </c>
      <c r="DI24" s="24">
        <f t="shared" si="15"/>
        <v>55.057465813541754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2.6904761904761907</v>
      </c>
      <c r="N25" s="14">
        <f>IF('Données projet'!$A$36&gt;35,N24+M25-V24,IF(A25&lt;'Données projet'!$A$36,$K$205^A25,IF(A25='Données projet'!$A$36,'Données projet'!$B$36,N24+M25-V24)))</f>
        <v>59.190476190476183</v>
      </c>
      <c r="O25" s="14">
        <f>N25*VLOOKUP('Données projet'!$B$9,Paramètres!$A$1:$I$88,3,0)*VLOOKUP('Données projet'!$B$9,Paramètres!$A$1:$I$88,5,0)</f>
        <v>53.555542857142846</v>
      </c>
      <c r="P25" s="14">
        <f t="shared" si="33"/>
        <v>15.528290799710788</v>
      </c>
      <c r="Q25" s="22">
        <f t="shared" si="2"/>
        <v>120.32101028568674</v>
      </c>
      <c r="R25" s="62">
        <f t="shared" si="0"/>
        <v>403.87656584124227</v>
      </c>
      <c r="S25" s="62">
        <f ca="1">AVERAGE(OFFSET($R$3,0,0,'Données projet'!$E$9+1,1))-AVERAGE(OFFSET($H$3,0,0,'Données projet'!$E$9+1,1))</f>
        <v>286.81278534843665</v>
      </c>
      <c r="T25" s="62">
        <f t="shared" si="34"/>
        <v>199.43308683696642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2.6904761904761907</v>
      </c>
      <c r="AI25" s="14">
        <f>IF('Données projet'!$A$62&gt;35,AI24+AH25-AQ24,IF(A25&lt;'Données projet'!$A$62,$AF$205^A25,IF(A25='Données projet'!$A$62,'Données projet'!$B$62,AI24+AH25-AQ24)))</f>
        <v>59.190476190476183</v>
      </c>
      <c r="AJ25" s="14">
        <f>AI25*VLOOKUP('Données projet'!$B$10,Paramètres!$A$1:$I$88,3,0)*VLOOKUP('Données projet'!$B$10,Paramètres!$A$1:$I$88,5,0)</f>
        <v>60.019142857142853</v>
      </c>
      <c r="AK25" s="14">
        <f t="shared" si="35"/>
        <v>17.17310883753035</v>
      </c>
      <c r="AL25" s="22">
        <f t="shared" si="4"/>
        <v>134.44317170155583</v>
      </c>
      <c r="AM25" s="62">
        <f t="shared" si="5"/>
        <v>417.99872725711134</v>
      </c>
      <c r="AN25" s="62">
        <f ca="1">AVERAGE(OFFSET($AM$3,0,0,'Données projet'!$E$10+1,1))-AVERAGE(OFFSET($H$3,0,0,'Données projet'!$E$10+1,1))</f>
        <v>316.76504852082684</v>
      </c>
      <c r="AO25" s="62">
        <f t="shared" si="36"/>
        <v>218.5520645293999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2.6904761904761907</v>
      </c>
      <c r="BD25" s="13">
        <f>IF('Données projet'!$A$88&gt;35,BD24+BC25-BL24,IF(A25&lt;'Données projet'!$A$88,$BA$205^A25,IF(A25='Données projet'!$A$88,'Données projet'!$B$88,BD24+BC25-BL24)))</f>
        <v>59.190476190476183</v>
      </c>
      <c r="BE25" s="14">
        <f>BD25*VLOOKUP('Données projet'!$B$11,Paramètres!$A$1:$I$88,3,0)*VLOOKUP('Données projet'!$B$11,Paramètres!$A$1:$I$88,5,0)</f>
        <v>51.708800000000004</v>
      </c>
      <c r="BF25" s="14">
        <f t="shared" si="37"/>
        <v>15.054197906231286</v>
      </c>
      <c r="BG25" s="22">
        <f t="shared" si="7"/>
        <v>116.27888802001949</v>
      </c>
      <c r="BH25" s="62">
        <f t="shared" si="8"/>
        <v>399.83444357557505</v>
      </c>
      <c r="BI25" s="62">
        <f ca="1">AVERAGE(OFFSET($BH$3,0,0,'Données projet'!$E$11+1,1))-AVERAGE(OFFSET($H$3,0,0,'Données projet'!$E$11+1,1))</f>
        <v>278.24093386944304</v>
      </c>
      <c r="BJ25" s="62">
        <f t="shared" si="38"/>
        <v>193.96102673885611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2.6904761904761907</v>
      </c>
      <c r="BY25" s="13">
        <f>IF('Données projet'!$A$114&gt;35,BY24+BX25-CG24,IF(A25&lt;'Données projet'!$A$114,$BV$205^A25,IF(A25='Données projet'!$A$114,'Données projet'!$B$114,BY24+BX25-CG24)))</f>
        <v>59.190476190476183</v>
      </c>
      <c r="BZ25" s="14">
        <f>BY25*VLOOKUP('Données projet'!$B$12,Paramètres!$A$1:$I$88,3,0)*VLOOKUP('Données projet'!$B$12,Paramètres!$A$1:$I$88,5,0)</f>
        <v>57.249028571428568</v>
      </c>
      <c r="CA25" s="14">
        <f t="shared" si="39"/>
        <v>16.47084867897102</v>
      </c>
      <c r="CB25" s="22">
        <f t="shared" si="10"/>
        <v>128.39545287777929</v>
      </c>
      <c r="CC25" s="62">
        <f t="shared" si="11"/>
        <v>411.95100843333483</v>
      </c>
      <c r="CD25" s="62">
        <f ca="1">AVERAGE(OFFSET($CC$3,0,0,'Données projet'!$E$12+1,1))-AVERAGE(OFFSET($H$3,0,0,'Données projet'!$E$12+1,1))</f>
        <v>303.93739496872121</v>
      </c>
      <c r="CE25" s="62">
        <f t="shared" si="40"/>
        <v>210.36431469568754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0</v>
      </c>
      <c r="CL25" s="23">
        <f>EXP(-LN(2)/25)*CL24+(1-EXP(-LN(2)/25))/(LN(2)/25)*Calculateur!CG25*Calculateur!CI25*VLOOKUP('Données projet'!$B$12,Paramètres!$A$1:$I$88,3,0)*0.475*44/12</f>
        <v>0</v>
      </c>
      <c r="CM25" s="23">
        <f>EXP(-LN(2)/2)*CM24+(1-EXP(-LN(2)/2))/(LN(2)/2)*CG25*CJ25*VLOOKUP('Données projet'!$B$12,Paramètres!$A$1:$I$88,3,0)*0.475*44/12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>
        <f>CT25*VLOOKUP('Données projet'!$B$13,Paramètres!$A$1:$I$88,3,0)*VLOOKUP('Données projet'!$B$13,Paramètres!$A$1:$I$88,5,0)</f>
        <v>0</v>
      </c>
      <c r="CV25" s="14" t="e">
        <f t="shared" si="41"/>
        <v>#NUM!</v>
      </c>
      <c r="CW25" s="22" t="e">
        <f t="shared" si="13"/>
        <v>#NUM!</v>
      </c>
      <c r="CX25" s="62" t="e">
        <f t="shared" si="14"/>
        <v>#NUM!</v>
      </c>
      <c r="CY25" s="62">
        <f ca="1">AVERAGE(OFFSET($CX$3,0,0,'Données projet'!$E$13+1,1))-AVERAGE(OFFSET($H$3,0,0,'Données projet'!$E$13+1,1))</f>
        <v>57.812812891099895</v>
      </c>
      <c r="CZ25" s="62">
        <f t="shared" si="42"/>
        <v>244.79885157604684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projet'!$B$13,Paramètres!$A$1:$I$88,3,0)*0.475*44/12</f>
        <v>45.079065991072142</v>
      </c>
      <c r="DG25" s="23">
        <f>EXP(-LN(2)/25)*DG24+(1-EXP(-LN(2)/25))/(LN(2)/25)*Calculateur!DB25*Calculateur!DD25*VLOOKUP('Données projet'!$B$13,Paramètres!$A$1:$I$88,3,0)*0.475*44/12</f>
        <v>0</v>
      </c>
      <c r="DH25" s="23">
        <f>EXP(-LN(2)/2)*DH24+(1-EXP(-LN(2)/2))/(LN(2)/2)*DB25*DE25*VLOOKUP('Données projet'!$B$13,Paramètres!$A$1:$I$88,3,0)*0.475*44/12</f>
        <v>6.4182286133734028</v>
      </c>
      <c r="DI25" s="24">
        <f t="shared" si="15"/>
        <v>51.497294604445543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2.6904761904761907</v>
      </c>
      <c r="N26" s="14">
        <f>IF('Données projet'!$A$36&gt;35,N25+M26-V25,IF(A26&lt;'Données projet'!$A$36,$K$205^A26,IF(A26='Données projet'!$A$36,'Données projet'!$B$36,N25+M26-V25)))</f>
        <v>61.880952380952372</v>
      </c>
      <c r="O26" s="14">
        <f>N26*VLOOKUP('Données projet'!$B$9,Paramètres!$A$1:$I$88,3,0)*VLOOKUP('Données projet'!$B$9,Paramètres!$A$1:$I$88,5,0)</f>
        <v>55.989885714285698</v>
      </c>
      <c r="P26" s="14">
        <f t="shared" si="33"/>
        <v>16.150340782673716</v>
      </c>
      <c r="Q26" s="22">
        <f t="shared" si="2"/>
        <v>125.64422781553765</v>
      </c>
      <c r="R26" s="62">
        <f t="shared" si="0"/>
        <v>410.42200559331542</v>
      </c>
      <c r="S26" s="62">
        <f ca="1">AVERAGE(OFFSET($R$3,0,0,'Données projet'!$E$9+1,1))-AVERAGE(OFFSET($H$3,0,0,'Données projet'!$E$9+1,1))</f>
        <v>286.81278534843665</v>
      </c>
      <c r="T26" s="62">
        <f t="shared" si="34"/>
        <v>199.43308683696642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2.6904761904761907</v>
      </c>
      <c r="AI26" s="14">
        <f>IF('Données projet'!$A$62&gt;35,AI25+AH26-AQ25,IF(A26&lt;'Données projet'!$A$62,$AF$205^A26,IF(A26='Données projet'!$A$62,'Données projet'!$B$62,AI25+AH26-AQ25)))</f>
        <v>61.880952380952372</v>
      </c>
      <c r="AJ26" s="14">
        <f>AI26*VLOOKUP('Données projet'!$B$10,Paramètres!$A$1:$I$88,3,0)*VLOOKUP('Données projet'!$B$10,Paramètres!$A$1:$I$88,5,0)</f>
        <v>62.747285714285709</v>
      </c>
      <c r="AK26" s="14">
        <f t="shared" si="35"/>
        <v>17.861048817377036</v>
      </c>
      <c r="AL26" s="22">
        <f t="shared" si="4"/>
        <v>140.39284930931262</v>
      </c>
      <c r="AM26" s="62">
        <f t="shared" si="5"/>
        <v>425.17062708709039</v>
      </c>
      <c r="AN26" s="62">
        <f ca="1">AVERAGE(OFFSET($AM$3,0,0,'Données projet'!$E$10+1,1))-AVERAGE(OFFSET($H$3,0,0,'Données projet'!$E$10+1,1))</f>
        <v>316.76504852082684</v>
      </c>
      <c r="AO26" s="62">
        <f t="shared" si="36"/>
        <v>218.5520645293999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2.6904761904761907</v>
      </c>
      <c r="BD26" s="13">
        <f>IF('Données projet'!$A$88&gt;35,BD25+BC26-BL25,IF(A26&lt;'Données projet'!$A$88,$BA$205^A26,IF(A26='Données projet'!$A$88,'Données projet'!$B$88,BD25+BC26-BL25)))</f>
        <v>61.880952380952372</v>
      </c>
      <c r="BE26" s="14">
        <f>BD26*VLOOKUP('Données projet'!$B$11,Paramètres!$A$1:$I$88,3,0)*VLOOKUP('Données projet'!$B$11,Paramètres!$A$1:$I$88,5,0)</f>
        <v>54.059199999999997</v>
      </c>
      <c r="BF26" s="14">
        <f t="shared" si="37"/>
        <v>15.657256135361452</v>
      </c>
      <c r="BG26" s="22">
        <f t="shared" si="7"/>
        <v>121.42282776908787</v>
      </c>
      <c r="BH26" s="62">
        <f t="shared" si="8"/>
        <v>406.20060554686563</v>
      </c>
      <c r="BI26" s="62">
        <f ca="1">AVERAGE(OFFSET($BH$3,0,0,'Données projet'!$E$11+1,1))-AVERAGE(OFFSET($H$3,0,0,'Données projet'!$E$11+1,1))</f>
        <v>278.24093386944304</v>
      </c>
      <c r="BJ26" s="62">
        <f t="shared" si="38"/>
        <v>193.96102673885611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2.6904761904761907</v>
      </c>
      <c r="BY26" s="13">
        <f>IF('Données projet'!$A$114&gt;35,BY25+BX26-CG25,IF(A26&lt;'Données projet'!$A$114,$BV$205^A26,IF(A26='Données projet'!$A$114,'Données projet'!$B$114,BY25+BX26-CG25)))</f>
        <v>61.880952380952372</v>
      </c>
      <c r="BZ26" s="14">
        <f>BY26*VLOOKUP('Données projet'!$B$12,Paramètres!$A$1:$I$88,3,0)*VLOOKUP('Données projet'!$B$12,Paramètres!$A$1:$I$88,5,0)</f>
        <v>59.851257142857129</v>
      </c>
      <c r="CA26" s="14">
        <f t="shared" si="39"/>
        <v>17.13065672045423</v>
      </c>
      <c r="CB26" s="22">
        <f t="shared" si="10"/>
        <v>134.07683331193397</v>
      </c>
      <c r="CC26" s="62">
        <f t="shared" si="11"/>
        <v>418.85461108971174</v>
      </c>
      <c r="CD26" s="62">
        <f ca="1">AVERAGE(OFFSET($CC$3,0,0,'Données projet'!$E$12+1,1))-AVERAGE(OFFSET($H$3,0,0,'Données projet'!$E$12+1,1))</f>
        <v>303.93739496872121</v>
      </c>
      <c r="CE26" s="62">
        <f t="shared" si="40"/>
        <v>210.36431469568754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0</v>
      </c>
      <c r="CL26" s="23">
        <f>EXP(-LN(2)/25)*CL25+(1-EXP(-LN(2)/25))/(LN(2)/25)*Calculateur!CG26*Calculateur!CI26*VLOOKUP('Données projet'!$B$12,Paramètres!$A$1:$I$88,3,0)*0.475*44/12</f>
        <v>0</v>
      </c>
      <c r="CM26" s="23">
        <f>EXP(-LN(2)/2)*CM25+(1-EXP(-LN(2)/2))/(LN(2)/2)*CG26*CJ26*VLOOKUP('Données projet'!$B$12,Paramètres!$A$1:$I$88,3,0)*0.475*44/12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>
        <f>CT26*VLOOKUP('Données projet'!$B$13,Paramètres!$A$1:$I$88,3,0)*VLOOKUP('Données projet'!$B$13,Paramètres!$A$1:$I$88,5,0)</f>
        <v>0</v>
      </c>
      <c r="CV26" s="14" t="e">
        <f t="shared" si="41"/>
        <v>#NUM!</v>
      </c>
      <c r="CW26" s="22" t="e">
        <f t="shared" si="13"/>
        <v>#NUM!</v>
      </c>
      <c r="CX26" s="62" t="e">
        <f t="shared" si="14"/>
        <v>#NUM!</v>
      </c>
      <c r="CY26" s="62">
        <f ca="1">AVERAGE(OFFSET($CX$3,0,0,'Données projet'!$E$13+1,1))-AVERAGE(OFFSET($H$3,0,0,'Données projet'!$E$13+1,1))</f>
        <v>57.812812891099895</v>
      </c>
      <c r="CZ26" s="62">
        <f t="shared" si="42"/>
        <v>244.79885157604684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projet'!$B$13,Paramètres!$A$1:$I$88,3,0)*0.475*44/12</f>
        <v>44.195093002502517</v>
      </c>
      <c r="DG26" s="23">
        <f>EXP(-LN(2)/25)*DG25+(1-EXP(-LN(2)/25))/(LN(2)/25)*Calculateur!DB26*Calculateur!DD26*VLOOKUP('Données projet'!$B$13,Paramètres!$A$1:$I$88,3,0)*0.475*44/12</f>
        <v>0</v>
      </c>
      <c r="DH26" s="23">
        <f>EXP(-LN(2)/2)*DH25+(1-EXP(-LN(2)/2))/(LN(2)/2)*DB26*DE26*VLOOKUP('Données projet'!$B$13,Paramètres!$A$1:$I$88,3,0)*0.475*44/12</f>
        <v>4.5383729757218649</v>
      </c>
      <c r="DI26" s="24">
        <f t="shared" si="15"/>
        <v>48.73346597822438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2.6904761904761907</v>
      </c>
      <c r="N27" s="14">
        <f>IF('Données projet'!$A$36&gt;35,N26+M27-V26,IF(A27&lt;'Données projet'!$A$36,$K$205^A27,IF(A27='Données projet'!$A$36,'Données projet'!$B$36,N26+M27-V26)))</f>
        <v>64.571428571428569</v>
      </c>
      <c r="O27" s="14">
        <f>N27*VLOOKUP('Données projet'!$B$9,Paramètres!$A$1:$I$88,3,0)*VLOOKUP('Données projet'!$B$9,Paramètres!$A$1:$I$88,5,0)</f>
        <v>58.424228571428564</v>
      </c>
      <c r="P27" s="14">
        <f t="shared" si="33"/>
        <v>16.769249559387148</v>
      </c>
      <c r="Q27" s="22">
        <f t="shared" si="2"/>
        <v>130.9619744111707</v>
      </c>
      <c r="R27" s="62">
        <f t="shared" si="0"/>
        <v>416.96197441117067</v>
      </c>
      <c r="S27" s="62">
        <f ca="1">AVERAGE(OFFSET($R$3,0,0,'Données projet'!$E$9+1,1))-AVERAGE(OFFSET($H$3,0,0,'Données projet'!$E$9+1,1))</f>
        <v>286.81278534843665</v>
      </c>
      <c r="T27" s="62">
        <f t="shared" si="34"/>
        <v>199.43308683696642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2.6904761904761907</v>
      </c>
      <c r="AI27" s="14">
        <f>IF('Données projet'!$A$62&gt;35,AI26+AH27-AQ26,IF(A27&lt;'Données projet'!$A$62,$AF$205^A27,IF(A27='Données projet'!$A$62,'Données projet'!$B$62,AI26+AH27-AQ26)))</f>
        <v>64.571428571428569</v>
      </c>
      <c r="AJ27" s="14">
        <f>AI27*VLOOKUP('Données projet'!$B$10,Paramètres!$A$1:$I$88,3,0)*VLOOKUP('Données projet'!$B$10,Paramètres!$A$1:$I$88,5,0)</f>
        <v>65.47542857142858</v>
      </c>
      <c r="AK27" s="14">
        <f t="shared" si="35"/>
        <v>18.545514861972247</v>
      </c>
      <c r="AL27" s="22">
        <f t="shared" si="4"/>
        <v>146.33647647983977</v>
      </c>
      <c r="AM27" s="62">
        <f t="shared" si="5"/>
        <v>432.3364764798398</v>
      </c>
      <c r="AN27" s="62">
        <f ca="1">AVERAGE(OFFSET($AM$3,0,0,'Données projet'!$E$10+1,1))-AVERAGE(OFFSET($H$3,0,0,'Données projet'!$E$10+1,1))</f>
        <v>316.76504852082684</v>
      </c>
      <c r="AO27" s="62">
        <f t="shared" si="36"/>
        <v>218.5520645293999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2.6904761904761907</v>
      </c>
      <c r="BD27" s="13">
        <f>IF('Données projet'!$A$88&gt;35,BD26+BC27-BL26,IF(A27&lt;'Données projet'!$A$88,$BA$205^A27,IF(A27='Données projet'!$A$88,'Données projet'!$B$88,BD26+BC27-BL26)))</f>
        <v>64.571428571428569</v>
      </c>
      <c r="BE27" s="14">
        <f>BD27*VLOOKUP('Données projet'!$B$11,Paramètres!$A$1:$I$88,3,0)*VLOOKUP('Données projet'!$B$11,Paramètres!$A$1:$I$88,5,0)</f>
        <v>56.409600000000005</v>
      </c>
      <c r="BF27" s="14">
        <f t="shared" si="37"/>
        <v>16.25726906213642</v>
      </c>
      <c r="BG27" s="22">
        <f t="shared" si="7"/>
        <v>126.56146361655429</v>
      </c>
      <c r="BH27" s="62">
        <f t="shared" si="8"/>
        <v>412.56146361655431</v>
      </c>
      <c r="BI27" s="62">
        <f ca="1">AVERAGE(OFFSET($BH$3,0,0,'Données projet'!$E$11+1,1))-AVERAGE(OFFSET($H$3,0,0,'Données projet'!$E$11+1,1))</f>
        <v>278.24093386944304</v>
      </c>
      <c r="BJ27" s="62">
        <f t="shared" si="38"/>
        <v>193.96102673885611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2.6904761904761907</v>
      </c>
      <c r="BY27" s="13">
        <f>IF('Données projet'!$A$114&gt;35,BY26+BX27-CG26,IF(A27&lt;'Données projet'!$A$114,$BV$205^A27,IF(A27='Données projet'!$A$114,'Données projet'!$B$114,BY26+BX27-CG26)))</f>
        <v>64.571428571428569</v>
      </c>
      <c r="BZ27" s="14">
        <f>BY27*VLOOKUP('Données projet'!$B$12,Paramètres!$A$1:$I$88,3,0)*VLOOKUP('Données projet'!$B$12,Paramètres!$A$1:$I$88,5,0)</f>
        <v>62.453485714285719</v>
      </c>
      <c r="CA27" s="14">
        <f t="shared" si="39"/>
        <v>17.787132886364507</v>
      </c>
      <c r="CB27" s="22">
        <f t="shared" si="10"/>
        <v>139.75241072946582</v>
      </c>
      <c r="CC27" s="62">
        <f t="shared" si="11"/>
        <v>425.75241072946585</v>
      </c>
      <c r="CD27" s="62">
        <f ca="1">AVERAGE(OFFSET($CC$3,0,0,'Données projet'!$E$12+1,1))-AVERAGE(OFFSET($H$3,0,0,'Données projet'!$E$12+1,1))</f>
        <v>303.93739496872121</v>
      </c>
      <c r="CE27" s="62">
        <f t="shared" si="40"/>
        <v>210.36431469568754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projet'!$B$12,Paramètres!$A$1:$I$88,3,0)*0.475*44/12</f>
        <v>0</v>
      </c>
      <c r="CL27" s="23">
        <f>EXP(-LN(2)/25)*CL26+(1-EXP(-LN(2)/25))/(LN(2)/25)*Calculateur!CG27*Calculateur!CI27*VLOOKUP('Données projet'!$B$12,Paramètres!$A$1:$I$88,3,0)*0.475*44/12</f>
        <v>0</v>
      </c>
      <c r="CM27" s="23">
        <f>EXP(-LN(2)/2)*CM26+(1-EXP(-LN(2)/2))/(LN(2)/2)*CG27*CJ27*VLOOKUP('Données projet'!$B$12,Paramètres!$A$1:$I$88,3,0)*0.475*44/12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>
        <f>CT27*VLOOKUP('Données projet'!$B$13,Paramètres!$A$1:$I$88,3,0)*VLOOKUP('Données projet'!$B$13,Paramètres!$A$1:$I$88,5,0)</f>
        <v>0</v>
      </c>
      <c r="CV27" s="14" t="e">
        <f t="shared" si="41"/>
        <v>#NUM!</v>
      </c>
      <c r="CW27" s="22" t="e">
        <f t="shared" si="13"/>
        <v>#NUM!</v>
      </c>
      <c r="CX27" s="62" t="e">
        <f t="shared" si="14"/>
        <v>#NUM!</v>
      </c>
      <c r="CY27" s="62">
        <f ca="1">AVERAGE(OFFSET($CX$3,0,0,'Données projet'!$E$13+1,1))-AVERAGE(OFFSET($H$3,0,0,'Données projet'!$E$13+1,1))</f>
        <v>57.812812891099895</v>
      </c>
      <c r="CZ27" s="62">
        <f t="shared" si="42"/>
        <v>244.79885157604684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projet'!$B$13,Paramètres!$A$1:$I$88,3,0)*0.475*44/12</f>
        <v>43.328454185068459</v>
      </c>
      <c r="DG27" s="23">
        <f>EXP(-LN(2)/25)*DG26+(1-EXP(-LN(2)/25))/(LN(2)/25)*Calculateur!DB27*Calculateur!DD27*VLOOKUP('Données projet'!$B$13,Paramètres!$A$1:$I$88,3,0)*0.475*44/12</f>
        <v>0</v>
      </c>
      <c r="DH27" s="23">
        <f>EXP(-LN(2)/2)*DH26+(1-EXP(-LN(2)/2))/(LN(2)/2)*DB27*DE27*VLOOKUP('Données projet'!$B$13,Paramètres!$A$1:$I$88,3,0)*0.475*44/12</f>
        <v>3.2091143066867014</v>
      </c>
      <c r="DI27" s="24">
        <f t="shared" si="15"/>
        <v>46.53756849175516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2.6904761904761907</v>
      </c>
      <c r="N28" s="14">
        <f>IF('Données projet'!$A$36&gt;35,N27+M28-V27,IF(A28&lt;'Données projet'!$A$36,$K$205^A28,IF(A28='Données projet'!$A$36,'Données projet'!$B$36,N27+M28-V27)))</f>
        <v>67.261904761904759</v>
      </c>
      <c r="O28" s="14">
        <f>N28*VLOOKUP('Données projet'!$B$9,Paramètres!$A$1:$I$88,3,0)*VLOOKUP('Données projet'!$B$9,Paramètres!$A$1:$I$88,5,0)</f>
        <v>60.858571428571423</v>
      </c>
      <c r="P28" s="14">
        <f t="shared" si="33"/>
        <v>17.385162980603361</v>
      </c>
      <c r="Q28" s="22">
        <f t="shared" si="2"/>
        <v>136.27450409597938</v>
      </c>
      <c r="R28" s="62">
        <f t="shared" si="0"/>
        <v>423.49672631820158</v>
      </c>
      <c r="S28" s="62">
        <f ca="1">AVERAGE(OFFSET($R$3,0,0,'Données projet'!$E$9+1,1))-AVERAGE(OFFSET($H$3,0,0,'Données projet'!$E$9+1,1))</f>
        <v>286.81278534843665</v>
      </c>
      <c r="T28" s="62">
        <f t="shared" si="34"/>
        <v>199.43308683696642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2.6904761904761907</v>
      </c>
      <c r="AI28" s="14">
        <f>IF('Données projet'!$A$62&gt;35,AI27+AH28-AQ27,IF(A28&lt;'Données projet'!$A$62,$AF$205^A28,IF(A28='Données projet'!$A$62,'Données projet'!$B$62,AI27+AH28-AQ27)))</f>
        <v>67.261904761904759</v>
      </c>
      <c r="AJ28" s="14">
        <f>AI28*VLOOKUP('Données projet'!$B$10,Paramètres!$A$1:$I$88,3,0)*VLOOKUP('Données projet'!$B$10,Paramètres!$A$1:$I$88,5,0)</f>
        <v>68.203571428571436</v>
      </c>
      <c r="AK28" s="14">
        <f t="shared" si="35"/>
        <v>19.226668271157425</v>
      </c>
      <c r="AL28" s="22">
        <f t="shared" si="4"/>
        <v>152.27433414369443</v>
      </c>
      <c r="AM28" s="62">
        <f t="shared" si="5"/>
        <v>439.49655636591666</v>
      </c>
      <c r="AN28" s="62">
        <f ca="1">AVERAGE(OFFSET($AM$3,0,0,'Données projet'!$E$10+1,1))-AVERAGE(OFFSET($H$3,0,0,'Données projet'!$E$10+1,1))</f>
        <v>316.76504852082684</v>
      </c>
      <c r="AO28" s="62">
        <f t="shared" si="36"/>
        <v>218.5520645293999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2.6904761904761907</v>
      </c>
      <c r="BD28" s="13">
        <f>IF('Données projet'!$A$88&gt;35,BD27+BC28-BL27,IF(A28&lt;'Données projet'!$A$88,$BA$205^A28,IF(A28='Données projet'!$A$88,'Données projet'!$B$88,BD27+BC28-BL27)))</f>
        <v>67.261904761904759</v>
      </c>
      <c r="BE28" s="14">
        <f>BD28*VLOOKUP('Données projet'!$B$11,Paramètres!$A$1:$I$88,3,0)*VLOOKUP('Données projet'!$B$11,Paramètres!$A$1:$I$88,5,0)</f>
        <v>58.760000000000012</v>
      </c>
      <c r="BF28" s="14">
        <f t="shared" si="37"/>
        <v>16.854378084351918</v>
      </c>
      <c r="BG28" s="22">
        <f t="shared" si="7"/>
        <v>131.69504183024628</v>
      </c>
      <c r="BH28" s="62">
        <f t="shared" si="8"/>
        <v>418.91726405246851</v>
      </c>
      <c r="BI28" s="62">
        <f ca="1">AVERAGE(OFFSET($BH$3,0,0,'Données projet'!$E$11+1,1))-AVERAGE(OFFSET($H$3,0,0,'Données projet'!$E$11+1,1))</f>
        <v>278.24093386944304</v>
      </c>
      <c r="BJ28" s="62">
        <f t="shared" si="38"/>
        <v>193.96102673885611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2.6904761904761907</v>
      </c>
      <c r="BY28" s="13">
        <f>IF('Données projet'!$A$114&gt;35,BY27+BX28-CG27,IF(A28&lt;'Données projet'!$A$114,$BV$205^A28,IF(A28='Données projet'!$A$114,'Données projet'!$B$114,BY27+BX28-CG27)))</f>
        <v>67.261904761904759</v>
      </c>
      <c r="BZ28" s="14">
        <f>BY28*VLOOKUP('Données projet'!$B$12,Paramètres!$A$1:$I$88,3,0)*VLOOKUP('Données projet'!$B$12,Paramètres!$A$1:$I$88,5,0)</f>
        <v>65.055714285714288</v>
      </c>
      <c r="CA28" s="14">
        <f t="shared" si="39"/>
        <v>18.440431880506768</v>
      </c>
      <c r="CB28" s="22">
        <f t="shared" si="10"/>
        <v>145.42245457283499</v>
      </c>
      <c r="CC28" s="62">
        <f t="shared" si="11"/>
        <v>432.64467679505719</v>
      </c>
      <c r="CD28" s="62">
        <f ca="1">AVERAGE(OFFSET($CC$3,0,0,'Données projet'!$E$12+1,1))-AVERAGE(OFFSET($H$3,0,0,'Données projet'!$E$12+1,1))</f>
        <v>303.93739496872121</v>
      </c>
      <c r="CE28" s="62">
        <f t="shared" si="40"/>
        <v>210.36431469568754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0</v>
      </c>
      <c r="CL28" s="23">
        <f>EXP(-LN(2)/25)*CL27+(1-EXP(-LN(2)/25))/(LN(2)/25)*Calculateur!CG28*Calculateur!CI28*VLOOKUP('Données projet'!$B$12,Paramètres!$A$1:$I$88,3,0)*0.475*44/12</f>
        <v>0</v>
      </c>
      <c r="CM28" s="23">
        <f>EXP(-LN(2)/2)*CM27+(1-EXP(-LN(2)/2))/(LN(2)/2)*CG28*CJ28*VLOOKUP('Données projet'!$B$12,Paramètres!$A$1:$I$88,3,0)*0.475*44/12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>
        <f>CT28*VLOOKUP('Données projet'!$B$13,Paramètres!$A$1:$I$88,3,0)*VLOOKUP('Données projet'!$B$13,Paramètres!$A$1:$I$88,5,0)</f>
        <v>0</v>
      </c>
      <c r="CV28" s="14" t="e">
        <f t="shared" si="41"/>
        <v>#NUM!</v>
      </c>
      <c r="CW28" s="22" t="e">
        <f t="shared" si="13"/>
        <v>#NUM!</v>
      </c>
      <c r="CX28" s="62" t="e">
        <f t="shared" si="14"/>
        <v>#NUM!</v>
      </c>
      <c r="CY28" s="62">
        <f ca="1">AVERAGE(OFFSET($CX$3,0,0,'Données projet'!$E$13+1,1))-AVERAGE(OFFSET($H$3,0,0,'Données projet'!$E$13+1,1))</f>
        <v>57.812812891099895</v>
      </c>
      <c r="CZ28" s="62">
        <f t="shared" si="42"/>
        <v>244.79885157604684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projet'!$B$13,Paramètres!$A$1:$I$88,3,0)*0.475*44/12</f>
        <v>42.478809626246793</v>
      </c>
      <c r="DG28" s="23">
        <f>EXP(-LN(2)/25)*DG27+(1-EXP(-LN(2)/25))/(LN(2)/25)*Calculateur!DB28*Calculateur!DD28*VLOOKUP('Données projet'!$B$13,Paramètres!$A$1:$I$88,3,0)*0.475*44/12</f>
        <v>0</v>
      </c>
      <c r="DH28" s="23">
        <f>EXP(-LN(2)/2)*DH27+(1-EXP(-LN(2)/2))/(LN(2)/2)*DB28*DE28*VLOOKUP('Données projet'!$B$13,Paramètres!$A$1:$I$88,3,0)*0.475*44/12</f>
        <v>2.2691864878609325</v>
      </c>
      <c r="DI28" s="24">
        <f t="shared" si="15"/>
        <v>44.747996114107728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2.6904761904761907</v>
      </c>
      <c r="N29" s="14">
        <f>IF('Données projet'!$A$36&gt;35,N28+M29-V28,IF(A29&lt;'Données projet'!$A$36,$K$205^A29,IF(A29='Données projet'!$A$36,'Données projet'!$B$36,N28+M29-V28)))</f>
        <v>69.952380952380949</v>
      </c>
      <c r="O29" s="14">
        <f>N29*VLOOKUP('Données projet'!$B$9,Paramètres!$A$1:$I$88,3,0)*VLOOKUP('Données projet'!$B$9,Paramètres!$A$1:$I$88,5,0)</f>
        <v>63.292914285714282</v>
      </c>
      <c r="P29" s="14">
        <f t="shared" si="33"/>
        <v>17.998214568565054</v>
      </c>
      <c r="Q29" s="22">
        <f t="shared" si="2"/>
        <v>141.58204942120318</v>
      </c>
      <c r="R29" s="62">
        <f t="shared" si="0"/>
        <v>430.02649386564764</v>
      </c>
      <c r="S29" s="62">
        <f ca="1">AVERAGE(OFFSET($R$3,0,0,'Données projet'!$E$9+1,1))-AVERAGE(OFFSET($H$3,0,0,'Données projet'!$E$9+1,1))</f>
        <v>286.81278534843665</v>
      </c>
      <c r="T29" s="62">
        <f t="shared" si="34"/>
        <v>199.43308683696642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2.6904761904761907</v>
      </c>
      <c r="AI29" s="14">
        <f>IF('Données projet'!$A$62&gt;35,AI28+AH29-AQ28,IF(A29&lt;'Données projet'!$A$62,$AF$205^A29,IF(A29='Données projet'!$A$62,'Données projet'!$B$62,AI28+AH29-AQ28)))</f>
        <v>69.952380952380949</v>
      </c>
      <c r="AJ29" s="14">
        <f>AI29*VLOOKUP('Données projet'!$B$10,Paramètres!$A$1:$I$88,3,0)*VLOOKUP('Données projet'!$B$10,Paramètres!$A$1:$I$88,5,0)</f>
        <v>70.931714285714293</v>
      </c>
      <c r="AK29" s="14">
        <f t="shared" si="35"/>
        <v>19.904656710379786</v>
      </c>
      <c r="AL29" s="22">
        <f t="shared" si="4"/>
        <v>158.20667948486386</v>
      </c>
      <c r="AM29" s="62">
        <f t="shared" si="5"/>
        <v>446.65112392930831</v>
      </c>
      <c r="AN29" s="62">
        <f ca="1">AVERAGE(OFFSET($AM$3,0,0,'Données projet'!$E$10+1,1))-AVERAGE(OFFSET($H$3,0,0,'Données projet'!$E$10+1,1))</f>
        <v>316.76504852082684</v>
      </c>
      <c r="AO29" s="62">
        <f t="shared" si="36"/>
        <v>218.5520645293999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2.6904761904761907</v>
      </c>
      <c r="BD29" s="13">
        <f>IF('Données projet'!$A$88&gt;35,BD28+BC29-BL28,IF(A29&lt;'Données projet'!$A$88,$BA$205^A29,IF(A29='Données projet'!$A$88,'Données projet'!$B$88,BD28+BC29-BL28)))</f>
        <v>69.952380952380949</v>
      </c>
      <c r="BE29" s="14">
        <f>BD29*VLOOKUP('Données projet'!$B$11,Paramètres!$A$1:$I$88,3,0)*VLOOKUP('Données projet'!$B$11,Paramètres!$A$1:$I$88,5,0)</f>
        <v>61.110399999999998</v>
      </c>
      <c r="BF29" s="14">
        <f t="shared" si="37"/>
        <v>17.44871264769461</v>
      </c>
      <c r="BG29" s="22">
        <f t="shared" si="7"/>
        <v>136.82378786140143</v>
      </c>
      <c r="BH29" s="62">
        <f t="shared" si="8"/>
        <v>425.26823230584591</v>
      </c>
      <c r="BI29" s="62">
        <f ca="1">AVERAGE(OFFSET($BH$3,0,0,'Données projet'!$E$11+1,1))-AVERAGE(OFFSET($H$3,0,0,'Données projet'!$E$11+1,1))</f>
        <v>278.24093386944304</v>
      </c>
      <c r="BJ29" s="62">
        <f t="shared" si="38"/>
        <v>193.96102673885611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2.6904761904761907</v>
      </c>
      <c r="BY29" s="13">
        <f>IF('Données projet'!$A$114&gt;35,BY28+BX29-CG28,IF(A29&lt;'Données projet'!$A$114,$BV$205^A29,IF(A29='Données projet'!$A$114,'Données projet'!$B$114,BY28+BX29-CG28)))</f>
        <v>69.952380952380949</v>
      </c>
      <c r="BZ29" s="14">
        <f>BY29*VLOOKUP('Données projet'!$B$12,Paramètres!$A$1:$I$88,3,0)*VLOOKUP('Données projet'!$B$12,Paramètres!$A$1:$I$88,5,0)</f>
        <v>67.657942857142856</v>
      </c>
      <c r="CA29" s="14">
        <f t="shared" si="39"/>
        <v>19.090695329843253</v>
      </c>
      <c r="CB29" s="22">
        <f t="shared" si="10"/>
        <v>151.08721150900081</v>
      </c>
      <c r="CC29" s="62">
        <f t="shared" si="11"/>
        <v>439.53165595344524</v>
      </c>
      <c r="CD29" s="62">
        <f ca="1">AVERAGE(OFFSET($CC$3,0,0,'Données projet'!$E$12+1,1))-AVERAGE(OFFSET($H$3,0,0,'Données projet'!$E$12+1,1))</f>
        <v>303.93739496872121</v>
      </c>
      <c r="CE29" s="62">
        <f t="shared" si="40"/>
        <v>210.36431469568754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0</v>
      </c>
      <c r="CL29" s="23">
        <f>EXP(-LN(2)/25)*CL28+(1-EXP(-LN(2)/25))/(LN(2)/25)*Calculateur!CG29*Calculateur!CI29*VLOOKUP('Données projet'!$B$12,Paramètres!$A$1:$I$88,3,0)*0.475*44/12</f>
        <v>0</v>
      </c>
      <c r="CM29" s="23">
        <f>EXP(-LN(2)/2)*CM28+(1-EXP(-LN(2)/2))/(LN(2)/2)*CG29*CJ29*VLOOKUP('Données projet'!$B$12,Paramètres!$A$1:$I$88,3,0)*0.475*44/12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>
        <f>CT29*VLOOKUP('Données projet'!$B$13,Paramètres!$A$1:$I$88,3,0)*VLOOKUP('Données projet'!$B$13,Paramètres!$A$1:$I$88,5,0)</f>
        <v>0</v>
      </c>
      <c r="CV29" s="14" t="e">
        <f t="shared" si="41"/>
        <v>#NUM!</v>
      </c>
      <c r="CW29" s="22" t="e">
        <f t="shared" si="13"/>
        <v>#NUM!</v>
      </c>
      <c r="CX29" s="62" t="e">
        <f t="shared" si="14"/>
        <v>#NUM!</v>
      </c>
      <c r="CY29" s="62">
        <f ca="1">AVERAGE(OFFSET($CX$3,0,0,'Données projet'!$E$13+1,1))-AVERAGE(OFFSET($H$3,0,0,'Données projet'!$E$13+1,1))</f>
        <v>57.812812891099895</v>
      </c>
      <c r="CZ29" s="62">
        <f t="shared" si="42"/>
        <v>244.79885157604684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projet'!$B$13,Paramètres!$A$1:$I$88,3,0)*0.475*44/12</f>
        <v>41.645826078991611</v>
      </c>
      <c r="DG29" s="23">
        <f>EXP(-LN(2)/25)*DG28+(1-EXP(-LN(2)/25))/(LN(2)/25)*Calculateur!DB29*Calculateur!DD29*VLOOKUP('Données projet'!$B$13,Paramètres!$A$1:$I$88,3,0)*0.475*44/12</f>
        <v>0</v>
      </c>
      <c r="DH29" s="23">
        <f>EXP(-LN(2)/2)*DH28+(1-EXP(-LN(2)/2))/(LN(2)/2)*DB29*DE29*VLOOKUP('Données projet'!$B$13,Paramètres!$A$1:$I$88,3,0)*0.475*44/12</f>
        <v>1.6045571533433507</v>
      </c>
      <c r="DI29" s="24">
        <f t="shared" si="15"/>
        <v>43.250383232334961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2.6904761904761907</v>
      </c>
      <c r="N30" s="14">
        <f>IF('Données projet'!$A$36&gt;35,N29+M30-V29,IF(A30&lt;'Données projet'!$A$36,$K$205^A30,IF(A30='Données projet'!$A$36,'Données projet'!$B$36,N29+M30-V29)))</f>
        <v>72.642857142857139</v>
      </c>
      <c r="O30" s="14">
        <f>N30*VLOOKUP('Données projet'!$B$9,Paramètres!$A$1:$I$88,3,0)*VLOOKUP('Données projet'!$B$9,Paramètres!$A$1:$I$88,5,0)</f>
        <v>65.727257142857141</v>
      </c>
      <c r="P30" s="14">
        <f t="shared" si="33"/>
        <v>18.608526992916694</v>
      </c>
      <c r="Q30" s="22">
        <f t="shared" si="2"/>
        <v>146.88482403647276</v>
      </c>
      <c r="R30" s="62">
        <f t="shared" si="0"/>
        <v>436.55149070313945</v>
      </c>
      <c r="S30" s="62">
        <f ca="1">AVERAGE(OFFSET($R$3,0,0,'Données projet'!$E$9+1,1))-AVERAGE(OFFSET($H$3,0,0,'Données projet'!$E$9+1,1))</f>
        <v>286.81278534843665</v>
      </c>
      <c r="T30" s="62">
        <f t="shared" si="34"/>
        <v>199.43308683696642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2.6904761904761907</v>
      </c>
      <c r="AI30" s="14">
        <f>IF('Données projet'!$A$62&gt;35,AI29+AH30-AQ29,IF(A30&lt;'Données projet'!$A$62,$AF$205^A30,IF(A30='Données projet'!$A$62,'Données projet'!$B$62,AI29+AH30-AQ29)))</f>
        <v>72.642857142857139</v>
      </c>
      <c r="AJ30" s="14">
        <f>AI30*VLOOKUP('Données projet'!$B$10,Paramètres!$A$1:$I$88,3,0)*VLOOKUP('Données projet'!$B$10,Paramètres!$A$1:$I$88,5,0)</f>
        <v>73.659857142857149</v>
      </c>
      <c r="AK30" s="14">
        <f t="shared" si="35"/>
        <v>20.579615842938225</v>
      </c>
      <c r="AL30" s="22">
        <f t="shared" si="4"/>
        <v>164.1337487835936</v>
      </c>
      <c r="AM30" s="62">
        <f t="shared" si="5"/>
        <v>453.80041545026029</v>
      </c>
      <c r="AN30" s="62">
        <f ca="1">AVERAGE(OFFSET($AM$3,0,0,'Données projet'!$E$10+1,1))-AVERAGE(OFFSET($H$3,0,0,'Données projet'!$E$10+1,1))</f>
        <v>316.76504852082684</v>
      </c>
      <c r="AO30" s="62">
        <f t="shared" si="36"/>
        <v>218.5520645293999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2.6904761904761907</v>
      </c>
      <c r="BD30" s="13">
        <f>IF('Données projet'!$A$88&gt;35,BD29+BC30-BL29,IF(A30&lt;'Données projet'!$A$88,$BA$205^A30,IF(A30='Données projet'!$A$88,'Données projet'!$B$88,BD29+BC30-BL29)))</f>
        <v>72.642857142857139</v>
      </c>
      <c r="BE30" s="14">
        <f>BD30*VLOOKUP('Données projet'!$B$11,Paramètres!$A$1:$I$88,3,0)*VLOOKUP('Données projet'!$B$11,Paramètres!$A$1:$I$88,5,0)</f>
        <v>63.460799999999999</v>
      </c>
      <c r="BF30" s="14">
        <f t="shared" si="37"/>
        <v>18.040391676592805</v>
      </c>
      <c r="BG30" s="22">
        <f t="shared" si="7"/>
        <v>141.94790883673247</v>
      </c>
      <c r="BH30" s="62">
        <f t="shared" si="8"/>
        <v>431.61457550339912</v>
      </c>
      <c r="BI30" s="62">
        <f ca="1">AVERAGE(OFFSET($BH$3,0,0,'Données projet'!$E$11+1,1))-AVERAGE(OFFSET($H$3,0,0,'Données projet'!$E$11+1,1))</f>
        <v>278.24093386944304</v>
      </c>
      <c r="BJ30" s="62">
        <f t="shared" si="38"/>
        <v>193.96102673885611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2.6904761904761907</v>
      </c>
      <c r="BY30" s="13">
        <f>IF('Données projet'!$A$114&gt;35,BY29+BX30-CG29,IF(A30&lt;'Données projet'!$A$114,$BV$205^A30,IF(A30='Données projet'!$A$114,'Données projet'!$B$114,BY29+BX30-CG29)))</f>
        <v>72.642857142857139</v>
      </c>
      <c r="BZ30" s="14">
        <f>BY30*VLOOKUP('Données projet'!$B$12,Paramètres!$A$1:$I$88,3,0)*VLOOKUP('Données projet'!$B$12,Paramètres!$A$1:$I$88,5,0)</f>
        <v>70.260171428571425</v>
      </c>
      <c r="CA30" s="14">
        <f t="shared" si="39"/>
        <v>19.738053349991809</v>
      </c>
      <c r="CB30" s="22">
        <f t="shared" si="10"/>
        <v>156.74690815599766</v>
      </c>
      <c r="CC30" s="62">
        <f t="shared" si="11"/>
        <v>446.41357482266437</v>
      </c>
      <c r="CD30" s="62">
        <f ca="1">AVERAGE(OFFSET($CC$3,0,0,'Données projet'!$E$12+1,1))-AVERAGE(OFFSET($H$3,0,0,'Données projet'!$E$12+1,1))</f>
        <v>303.93739496872121</v>
      </c>
      <c r="CE30" s="62">
        <f t="shared" si="40"/>
        <v>210.36431469568754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0</v>
      </c>
      <c r="CL30" s="23">
        <f>EXP(-LN(2)/25)*CL29+(1-EXP(-LN(2)/25))/(LN(2)/25)*Calculateur!CG30*Calculateur!CI30*VLOOKUP('Données projet'!$B$12,Paramètres!$A$1:$I$88,3,0)*0.475*44/12</f>
        <v>0</v>
      </c>
      <c r="CM30" s="23">
        <f>EXP(-LN(2)/2)*CM29+(1-EXP(-LN(2)/2))/(LN(2)/2)*CG30*CJ30*VLOOKUP('Données projet'!$B$12,Paramètres!$A$1:$I$88,3,0)*0.475*44/12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>
        <f>CT30*VLOOKUP('Données projet'!$B$13,Paramètres!$A$1:$I$88,3,0)*VLOOKUP('Données projet'!$B$13,Paramètres!$A$1:$I$88,5,0)</f>
        <v>0</v>
      </c>
      <c r="CV30" s="14" t="e">
        <f t="shared" si="41"/>
        <v>#NUM!</v>
      </c>
      <c r="CW30" s="22" t="e">
        <f t="shared" si="13"/>
        <v>#NUM!</v>
      </c>
      <c r="CX30" s="62" t="e">
        <f t="shared" si="14"/>
        <v>#NUM!</v>
      </c>
      <c r="CY30" s="62">
        <f ca="1">AVERAGE(OFFSET($CX$3,0,0,'Données projet'!$E$13+1,1))-AVERAGE(OFFSET($H$3,0,0,'Données projet'!$E$13+1,1))</f>
        <v>57.812812891099895</v>
      </c>
      <c r="CZ30" s="62">
        <f t="shared" si="42"/>
        <v>244.79885157604684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projet'!$B$13,Paramètres!$A$1:$I$88,3,0)*0.475*44/12</f>
        <v>40.829176831028306</v>
      </c>
      <c r="DG30" s="23">
        <f>EXP(-LN(2)/25)*DG29+(1-EXP(-LN(2)/25))/(LN(2)/25)*Calculateur!DB30*Calculateur!DD30*VLOOKUP('Données projet'!$B$13,Paramètres!$A$1:$I$88,3,0)*0.475*44/12</f>
        <v>0</v>
      </c>
      <c r="DH30" s="23">
        <f>EXP(-LN(2)/2)*DH29+(1-EXP(-LN(2)/2))/(LN(2)/2)*DB30*DE30*VLOOKUP('Données projet'!$B$13,Paramètres!$A$1:$I$88,3,0)*0.475*44/12</f>
        <v>1.1345932439304662</v>
      </c>
      <c r="DI30" s="24">
        <f t="shared" si="15"/>
        <v>41.963770074958774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2.6904761904761907</v>
      </c>
      <c r="N31" s="14">
        <f>IF('Données projet'!$A$36&gt;35,N30+M31-V30,IF(A31&lt;'Données projet'!$A$36,$K$205^A31,IF(A31='Données projet'!$A$36,'Données projet'!$B$36,N30+M31-V30)))</f>
        <v>75.333333333333329</v>
      </c>
      <c r="O31" s="14">
        <f>N31*VLOOKUP('Données projet'!$B$9,Paramètres!$A$1:$I$88,3,0)*VLOOKUP('Données projet'!$B$9,Paramètres!$A$1:$I$88,5,0)</f>
        <v>68.161599999999993</v>
      </c>
      <c r="P31" s="14">
        <f t="shared" si="33"/>
        <v>19.216213321815864</v>
      </c>
      <c r="Q31" s="22">
        <f t="shared" si="2"/>
        <v>152.18302486882931</v>
      </c>
      <c r="R31" s="62">
        <f t="shared" si="0"/>
        <v>443.07191375771816</v>
      </c>
      <c r="S31" s="62">
        <f ca="1">AVERAGE(OFFSET($R$3,0,0,'Données projet'!$E$9+1,1))-AVERAGE(OFFSET($H$3,0,0,'Données projet'!$E$9+1,1))</f>
        <v>286.81278534843665</v>
      </c>
      <c r="T31" s="62">
        <f t="shared" si="34"/>
        <v>199.43308683696642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2.6904761904761907</v>
      </c>
      <c r="AI31" s="14">
        <f>IF('Données projet'!$A$62&gt;35,AI30+AH31-AQ30,IF(A31&lt;'Données projet'!$A$62,$AF$205^A31,IF(A31='Données projet'!$A$62,'Données projet'!$B$62,AI30+AH31-AQ30)))</f>
        <v>75.333333333333329</v>
      </c>
      <c r="AJ31" s="14">
        <f>AI31*VLOOKUP('Données projet'!$B$10,Paramètres!$A$1:$I$88,3,0)*VLOOKUP('Données projet'!$B$10,Paramètres!$A$1:$I$88,5,0)</f>
        <v>76.388000000000005</v>
      </c>
      <c r="AK31" s="14">
        <f t="shared" si="35"/>
        <v>21.251670713617155</v>
      </c>
      <c r="AL31" s="22">
        <f t="shared" si="4"/>
        <v>170.05575982621656</v>
      </c>
      <c r="AM31" s="62">
        <f t="shared" si="5"/>
        <v>460.94464871510542</v>
      </c>
      <c r="AN31" s="62">
        <f ca="1">AVERAGE(OFFSET($AM$3,0,0,'Données projet'!$E$10+1,1))-AVERAGE(OFFSET($H$3,0,0,'Données projet'!$E$10+1,1))</f>
        <v>316.76504852082684</v>
      </c>
      <c r="AO31" s="62">
        <f t="shared" si="36"/>
        <v>218.5520645293999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2.6904761904761907</v>
      </c>
      <c r="BD31" s="13">
        <f>IF('Données projet'!$A$88&gt;35,BD30+BC31-BL30,IF(A31&lt;'Données projet'!$A$88,$BA$205^A31,IF(A31='Données projet'!$A$88,'Données projet'!$B$88,BD30+BC31-BL30)))</f>
        <v>75.333333333333329</v>
      </c>
      <c r="BE31" s="14">
        <f>BD31*VLOOKUP('Données projet'!$B$11,Paramètres!$A$1:$I$88,3,0)*VLOOKUP('Données projet'!$B$11,Paramètres!$A$1:$I$88,5,0)</f>
        <v>65.811199999999999</v>
      </c>
      <c r="BF31" s="14">
        <f t="shared" si="37"/>
        <v>18.629524787129956</v>
      </c>
      <c r="BG31" s="22">
        <f t="shared" si="7"/>
        <v>147.067595670918</v>
      </c>
      <c r="BH31" s="62">
        <f t="shared" si="8"/>
        <v>437.95648455980688</v>
      </c>
      <c r="BI31" s="62">
        <f ca="1">AVERAGE(OFFSET($BH$3,0,0,'Données projet'!$E$11+1,1))-AVERAGE(OFFSET($H$3,0,0,'Données projet'!$E$11+1,1))</f>
        <v>278.24093386944304</v>
      </c>
      <c r="BJ31" s="62">
        <f t="shared" si="38"/>
        <v>193.96102673885611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2.6904761904761907</v>
      </c>
      <c r="BY31" s="13">
        <f>IF('Données projet'!$A$114&gt;35,BY30+BX31-CG30,IF(A31&lt;'Données projet'!$A$114,$BV$205^A31,IF(A31='Données projet'!$A$114,'Données projet'!$B$114,BY30+BX31-CG30)))</f>
        <v>75.333333333333329</v>
      </c>
      <c r="BZ31" s="14">
        <f>BY31*VLOOKUP('Données projet'!$B$12,Paramètres!$A$1:$I$88,3,0)*VLOOKUP('Données projet'!$B$12,Paramètres!$A$1:$I$88,5,0)</f>
        <v>72.862399999999994</v>
      </c>
      <c r="CA31" s="14">
        <f t="shared" si="39"/>
        <v>20.382625872278943</v>
      </c>
      <c r="CB31" s="22">
        <f t="shared" si="10"/>
        <v>162.40175339421916</v>
      </c>
      <c r="CC31" s="62">
        <f t="shared" si="11"/>
        <v>453.29064228310801</v>
      </c>
      <c r="CD31" s="62">
        <f ca="1">AVERAGE(OFFSET($CC$3,0,0,'Données projet'!$E$12+1,1))-AVERAGE(OFFSET($H$3,0,0,'Données projet'!$E$12+1,1))</f>
        <v>303.93739496872121</v>
      </c>
      <c r="CE31" s="62">
        <f t="shared" si="40"/>
        <v>210.36431469568754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projet'!$B$12,Paramètres!$A$1:$I$88,3,0)*0.475*44/12</f>
        <v>0</v>
      </c>
      <c r="CL31" s="23">
        <f>EXP(-LN(2)/25)*CL30+(1-EXP(-LN(2)/25))/(LN(2)/25)*Calculateur!CG31*Calculateur!CI31*VLOOKUP('Données projet'!$B$12,Paramètres!$A$1:$I$88,3,0)*0.475*44/12</f>
        <v>0</v>
      </c>
      <c r="CM31" s="23">
        <f>EXP(-LN(2)/2)*CM30+(1-EXP(-LN(2)/2))/(LN(2)/2)*CG31*CJ31*VLOOKUP('Données projet'!$B$12,Paramètres!$A$1:$I$88,3,0)*0.475*44/12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>
        <f>CT31*VLOOKUP('Données projet'!$B$13,Paramètres!$A$1:$I$88,3,0)*VLOOKUP('Données projet'!$B$13,Paramètres!$A$1:$I$88,5,0)</f>
        <v>0</v>
      </c>
      <c r="CV31" s="14" t="e">
        <f t="shared" si="41"/>
        <v>#NUM!</v>
      </c>
      <c r="CW31" s="22" t="e">
        <f t="shared" si="13"/>
        <v>#NUM!</v>
      </c>
      <c r="CX31" s="62" t="e">
        <f t="shared" si="14"/>
        <v>#NUM!</v>
      </c>
      <c r="CY31" s="62">
        <f ca="1">AVERAGE(OFFSET($CX$3,0,0,'Données projet'!$E$13+1,1))-AVERAGE(OFFSET($H$3,0,0,'Données projet'!$E$13+1,1))</f>
        <v>57.812812891099895</v>
      </c>
      <c r="CZ31" s="62">
        <f t="shared" si="42"/>
        <v>244.79885157604684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projet'!$B$13,Paramètres!$A$1:$I$88,3,0)*0.475*44/12</f>
        <v>40.028541576710708</v>
      </c>
      <c r="DG31" s="23">
        <f>EXP(-LN(2)/25)*DG30+(1-EXP(-LN(2)/25))/(LN(2)/25)*Calculateur!DB31*Calculateur!DD31*VLOOKUP('Données projet'!$B$13,Paramètres!$A$1:$I$88,3,0)*0.475*44/12</f>
        <v>0</v>
      </c>
      <c r="DH31" s="23">
        <f>EXP(-LN(2)/2)*DH30+(1-EXP(-LN(2)/2))/(LN(2)/2)*DB31*DE31*VLOOKUP('Données projet'!$B$13,Paramètres!$A$1:$I$88,3,0)*0.475*44/12</f>
        <v>0.80227857667167535</v>
      </c>
      <c r="DI31" s="24">
        <f t="shared" si="15"/>
        <v>40.830820153382383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2.6904761904761907</v>
      </c>
      <c r="N32" s="14">
        <f>IF('Données projet'!$A$36&gt;35,N31+M32-V31,IF(A32&lt;'Données projet'!$A$36,$K$205^A32,IF(A32='Données projet'!$A$36,'Données projet'!$B$36,N31+M32-V31)))</f>
        <v>78.023809523809518</v>
      </c>
      <c r="O32" s="14">
        <f>N32*VLOOKUP('Données projet'!$B$9,Paramètres!$A$1:$I$88,3,0)*VLOOKUP('Données projet'!$B$9,Paramètres!$A$1:$I$88,5,0)</f>
        <v>70.595942857142845</v>
      </c>
      <c r="P32" s="14">
        <f t="shared" si="33"/>
        <v>19.82137808929166</v>
      </c>
      <c r="Q32" s="22">
        <f t="shared" si="2"/>
        <v>157.47683398170673</v>
      </c>
      <c r="R32" s="62">
        <f t="shared" si="0"/>
        <v>449.5879450928179</v>
      </c>
      <c r="S32" s="62">
        <f ca="1">AVERAGE(OFFSET($R$3,0,0,'Données projet'!$E$9+1,1))-AVERAGE(OFFSET($H$3,0,0,'Données projet'!$E$9+1,1))</f>
        <v>286.81278534843665</v>
      </c>
      <c r="T32" s="62">
        <f t="shared" si="34"/>
        <v>199.43308683696642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2.6904761904761907</v>
      </c>
      <c r="AI32" s="14">
        <f>IF('Données projet'!$A$62&gt;35,AI31+AH32-AQ31,IF(A32&lt;'Données projet'!$A$62,$AF$205^A32,IF(A32='Données projet'!$A$62,'Données projet'!$B$62,AI31+AH32-AQ31)))</f>
        <v>78.023809523809518</v>
      </c>
      <c r="AJ32" s="14">
        <f>AI32*VLOOKUP('Données projet'!$B$10,Paramètres!$A$1:$I$88,3,0)*VLOOKUP('Données projet'!$B$10,Paramètres!$A$1:$I$88,5,0)</f>
        <v>79.116142857142862</v>
      </c>
      <c r="AK32" s="14">
        <f t="shared" si="35"/>
        <v>21.920936929103938</v>
      </c>
      <c r="AL32" s="22">
        <f t="shared" si="4"/>
        <v>175.97291396104652</v>
      </c>
      <c r="AM32" s="62">
        <f t="shared" si="5"/>
        <v>468.08402507215766</v>
      </c>
      <c r="AN32" s="62">
        <f ca="1">AVERAGE(OFFSET($AM$3,0,0,'Données projet'!$E$10+1,1))-AVERAGE(OFFSET($H$3,0,0,'Données projet'!$E$10+1,1))</f>
        <v>316.76504852082684</v>
      </c>
      <c r="AO32" s="62">
        <f t="shared" si="36"/>
        <v>218.5520645293999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2.6904761904761907</v>
      </c>
      <c r="BD32" s="13">
        <f>IF('Données projet'!$A$88&gt;35,BD31+BC32-BL31,IF(A32&lt;'Données projet'!$A$88,$BA$205^A32,IF(A32='Données projet'!$A$88,'Données projet'!$B$88,BD31+BC32-BL31)))</f>
        <v>78.023809523809518</v>
      </c>
      <c r="BE32" s="14">
        <f>BD32*VLOOKUP('Données projet'!$B$11,Paramètres!$A$1:$I$88,3,0)*VLOOKUP('Données projet'!$B$11,Paramètres!$A$1:$I$88,5,0)</f>
        <v>68.161600000000007</v>
      </c>
      <c r="BF32" s="14">
        <f t="shared" si="37"/>
        <v>19.216213321815864</v>
      </c>
      <c r="BG32" s="22">
        <f t="shared" si="7"/>
        <v>152.18302486882931</v>
      </c>
      <c r="BH32" s="62">
        <f t="shared" si="8"/>
        <v>444.29413597994045</v>
      </c>
      <c r="BI32" s="62">
        <f ca="1">AVERAGE(OFFSET($BH$3,0,0,'Données projet'!$E$11+1,1))-AVERAGE(OFFSET($H$3,0,0,'Données projet'!$E$11+1,1))</f>
        <v>278.24093386944304</v>
      </c>
      <c r="BJ32" s="62">
        <f t="shared" si="38"/>
        <v>193.96102673885611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2.6904761904761907</v>
      </c>
      <c r="BY32" s="13">
        <f>IF('Données projet'!$A$114&gt;35,BY31+BX32-CG31,IF(A32&lt;'Données projet'!$A$114,$BV$205^A32,IF(A32='Données projet'!$A$114,'Données projet'!$B$114,BY31+BX32-CG31)))</f>
        <v>78.023809523809518</v>
      </c>
      <c r="BZ32" s="14">
        <f>BY32*VLOOKUP('Données projet'!$B$12,Paramètres!$A$1:$I$88,3,0)*VLOOKUP('Données projet'!$B$12,Paramètres!$A$1:$I$88,5,0)</f>
        <v>75.464628571428577</v>
      </c>
      <c r="CA32" s="14">
        <f t="shared" si="39"/>
        <v>21.024523775886216</v>
      </c>
      <c r="CB32" s="22">
        <f t="shared" si="10"/>
        <v>168.05194033823992</v>
      </c>
      <c r="CC32" s="62">
        <f t="shared" si="11"/>
        <v>460.16305144935109</v>
      </c>
      <c r="CD32" s="62">
        <f ca="1">AVERAGE(OFFSET($CC$3,0,0,'Données projet'!$E$12+1,1))-AVERAGE(OFFSET($H$3,0,0,'Données projet'!$E$12+1,1))</f>
        <v>303.93739496872121</v>
      </c>
      <c r="CE32" s="62">
        <f t="shared" si="40"/>
        <v>210.36431469568754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0</v>
      </c>
      <c r="CL32" s="23">
        <f>EXP(-LN(2)/25)*CL31+(1-EXP(-LN(2)/25))/(LN(2)/25)*Calculateur!CG32*Calculateur!CI32*VLOOKUP('Données projet'!$B$12,Paramètres!$A$1:$I$88,3,0)*0.475*44/12</f>
        <v>0</v>
      </c>
      <c r="CM32" s="23">
        <f>EXP(-LN(2)/2)*CM31+(1-EXP(-LN(2)/2))/(LN(2)/2)*CG32*CJ32*VLOOKUP('Données projet'!$B$12,Paramètres!$A$1:$I$88,3,0)*0.475*44/12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>
        <f>CT32*VLOOKUP('Données projet'!$B$13,Paramètres!$A$1:$I$88,3,0)*VLOOKUP('Données projet'!$B$13,Paramètres!$A$1:$I$88,5,0)</f>
        <v>0</v>
      </c>
      <c r="CV32" s="14" t="e">
        <f t="shared" si="41"/>
        <v>#NUM!</v>
      </c>
      <c r="CW32" s="22" t="e">
        <f t="shared" si="13"/>
        <v>#NUM!</v>
      </c>
      <c r="CX32" s="62" t="e">
        <f t="shared" si="14"/>
        <v>#NUM!</v>
      </c>
      <c r="CY32" s="62">
        <f ca="1">AVERAGE(OFFSET($CX$3,0,0,'Données projet'!$E$13+1,1))-AVERAGE(OFFSET($H$3,0,0,'Données projet'!$E$13+1,1))</f>
        <v>57.812812891099895</v>
      </c>
      <c r="CZ32" s="62">
        <f t="shared" si="42"/>
        <v>244.79885157604684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projet'!$B$13,Paramètres!$A$1:$I$88,3,0)*0.475*44/12</f>
        <v>39.243606291390989</v>
      </c>
      <c r="DG32" s="23">
        <f>EXP(-LN(2)/25)*DG31+(1-EXP(-LN(2)/25))/(LN(2)/25)*Calculateur!DB32*Calculateur!DD32*VLOOKUP('Données projet'!$B$13,Paramètres!$A$1:$I$88,3,0)*0.475*44/12</f>
        <v>0</v>
      </c>
      <c r="DH32" s="23">
        <f>EXP(-LN(2)/2)*DH31+(1-EXP(-LN(2)/2))/(LN(2)/2)*DB32*DE32*VLOOKUP('Données projet'!$B$13,Paramètres!$A$1:$I$88,3,0)*0.475*44/12</f>
        <v>0.56729662196523312</v>
      </c>
      <c r="DI32" s="24">
        <f t="shared" si="15"/>
        <v>39.810902913356223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2.6904761904761907</v>
      </c>
      <c r="N33" s="14">
        <f>IF('Données projet'!$A$36&gt;35,N32+M33-V32,IF(A33&lt;'Données projet'!$A$36,$K$205^A33,IF(A33='Données projet'!$A$36,'Données projet'!$B$36,N32+M33-V32)))</f>
        <v>80.714285714285708</v>
      </c>
      <c r="O33" s="14">
        <f>N33*VLOOKUP('Données projet'!$B$9,Paramètres!$A$1:$I$88,3,0)*VLOOKUP('Données projet'!$B$9,Paramètres!$A$1:$I$88,5,0)</f>
        <v>73.030285714285711</v>
      </c>
      <c r="P33" s="14">
        <f t="shared" si="33"/>
        <v>20.424118211245272</v>
      </c>
      <c r="Q33" s="22">
        <f t="shared" si="2"/>
        <v>162.76642017029977</v>
      </c>
      <c r="R33" s="62">
        <f t="shared" si="0"/>
        <v>456.09975350363311</v>
      </c>
      <c r="S33" s="62">
        <f ca="1">AVERAGE(OFFSET($R$3,0,0,'Données projet'!$E$9+1,1))-AVERAGE(OFFSET($H$3,0,0,'Données projet'!$E$9+1,1))</f>
        <v>286.81278534843665</v>
      </c>
      <c r="T33" s="62">
        <f t="shared" si="34"/>
        <v>199.43308683696642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2.6904761904761907</v>
      </c>
      <c r="AI33" s="14">
        <f>IF('Données projet'!$A$62&gt;35,AI32+AH33-AQ32,IF(A33&lt;'Données projet'!$A$62,$AF$205^A33,IF(A33='Données projet'!$A$62,'Données projet'!$B$62,AI32+AH33-AQ32)))</f>
        <v>80.714285714285708</v>
      </c>
      <c r="AJ33" s="14">
        <f>AI33*VLOOKUP('Données projet'!$B$10,Paramètres!$A$1:$I$88,3,0)*VLOOKUP('Données projet'!$B$10,Paramètres!$A$1:$I$88,5,0)</f>
        <v>81.844285714285718</v>
      </c>
      <c r="AK33" s="14">
        <f t="shared" si="35"/>
        <v>22.587521671015683</v>
      </c>
      <c r="AL33" s="22">
        <f t="shared" si="4"/>
        <v>181.88539786273327</v>
      </c>
      <c r="AM33" s="62">
        <f t="shared" si="5"/>
        <v>475.21873119606659</v>
      </c>
      <c r="AN33" s="62">
        <f ca="1">AVERAGE(OFFSET($AM$3,0,0,'Données projet'!$E$10+1,1))-AVERAGE(OFFSET($H$3,0,0,'Données projet'!$E$10+1,1))</f>
        <v>316.76504852082684</v>
      </c>
      <c r="AO33" s="62">
        <f t="shared" si="36"/>
        <v>218.5520645293999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2.6904761904761907</v>
      </c>
      <c r="BD33" s="13">
        <f>IF('Données projet'!$A$88&gt;35,BD32+BC33-BL32,IF(A33&lt;'Données projet'!$A$88,$BA$205^A33,IF(A33='Données projet'!$A$88,'Données projet'!$B$88,BD32+BC33-BL32)))</f>
        <v>80.714285714285708</v>
      </c>
      <c r="BE33" s="14">
        <f>BD33*VLOOKUP('Données projet'!$B$11,Paramètres!$A$1:$I$88,3,0)*VLOOKUP('Données projet'!$B$11,Paramètres!$A$1:$I$88,5,0)</f>
        <v>70.512</v>
      </c>
      <c r="BF33" s="14">
        <f t="shared" si="37"/>
        <v>19.800551237620784</v>
      </c>
      <c r="BG33" s="22">
        <f t="shared" si="7"/>
        <v>157.29436007218951</v>
      </c>
      <c r="BH33" s="62">
        <f t="shared" si="8"/>
        <v>450.62769340552279</v>
      </c>
      <c r="BI33" s="62">
        <f ca="1">AVERAGE(OFFSET($BH$3,0,0,'Données projet'!$E$11+1,1))-AVERAGE(OFFSET($H$3,0,0,'Données projet'!$E$11+1,1))</f>
        <v>278.24093386944304</v>
      </c>
      <c r="BJ33" s="62">
        <f t="shared" si="38"/>
        <v>193.96102673885611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2.6904761904761907</v>
      </c>
      <c r="BY33" s="13">
        <f>IF('Données projet'!$A$114&gt;35,BY32+BX33-CG32,IF(A33&lt;'Données projet'!$A$114,$BV$205^A33,IF(A33='Données projet'!$A$114,'Données projet'!$B$114,BY32+BX33-CG32)))</f>
        <v>80.714285714285708</v>
      </c>
      <c r="BZ33" s="14">
        <f>BY33*VLOOKUP('Données projet'!$B$12,Paramètres!$A$1:$I$88,3,0)*VLOOKUP('Données projet'!$B$12,Paramètres!$A$1:$I$88,5,0)</f>
        <v>78.066857142857131</v>
      </c>
      <c r="CA33" s="14">
        <f t="shared" si="39"/>
        <v>21.663849859451528</v>
      </c>
      <c r="CB33" s="22">
        <f t="shared" si="10"/>
        <v>173.69764802902091</v>
      </c>
      <c r="CC33" s="62">
        <f t="shared" si="11"/>
        <v>467.03098136235423</v>
      </c>
      <c r="CD33" s="62">
        <f ca="1">AVERAGE(OFFSET($CC$3,0,0,'Données projet'!$E$12+1,1))-AVERAGE(OFFSET($H$3,0,0,'Données projet'!$E$12+1,1))</f>
        <v>303.93739496872121</v>
      </c>
      <c r="CE33" s="62">
        <f t="shared" si="40"/>
        <v>210.36431469568754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projet'!$B$12,Paramètres!$A$1:$I$88,3,0)*0.475*44/12</f>
        <v>0</v>
      </c>
      <c r="CL33" s="23">
        <f>EXP(-LN(2)/25)*CL32+(1-EXP(-LN(2)/25))/(LN(2)/25)*Calculateur!CG33*Calculateur!CI33*VLOOKUP('Données projet'!$B$12,Paramètres!$A$1:$I$88,3,0)*0.475*44/12</f>
        <v>0</v>
      </c>
      <c r="CM33" s="23">
        <f>EXP(-LN(2)/2)*CM32+(1-EXP(-LN(2)/2))/(LN(2)/2)*CG33*CJ33*VLOOKUP('Données projet'!$B$12,Paramètres!$A$1:$I$88,3,0)*0.475*44/12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>
        <f>CT33*VLOOKUP('Données projet'!$B$13,Paramètres!$A$1:$I$88,3,0)*VLOOKUP('Données projet'!$B$13,Paramètres!$A$1:$I$88,5,0)</f>
        <v>0</v>
      </c>
      <c r="CV33" s="14" t="e">
        <f t="shared" si="41"/>
        <v>#NUM!</v>
      </c>
      <c r="CW33" s="22" t="e">
        <f t="shared" si="13"/>
        <v>#NUM!</v>
      </c>
      <c r="CX33" s="62" t="e">
        <f t="shared" si="14"/>
        <v>#NUM!</v>
      </c>
      <c r="CY33" s="62">
        <f ca="1">AVERAGE(OFFSET($CX$3,0,0,'Données projet'!$E$13+1,1))-AVERAGE(OFFSET($H$3,0,0,'Données projet'!$E$13+1,1))</f>
        <v>57.812812891099895</v>
      </c>
      <c r="CZ33" s="62">
        <f t="shared" si="42"/>
        <v>244.79885157604684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projet'!$B$13,Paramètres!$A$1:$I$88,3,0)*0.475*44/12</f>
        <v>38.474063108253141</v>
      </c>
      <c r="DG33" s="23">
        <f>EXP(-LN(2)/25)*DG32+(1-EXP(-LN(2)/25))/(LN(2)/25)*Calculateur!DB33*Calculateur!DD33*VLOOKUP('Données projet'!$B$13,Paramètres!$A$1:$I$88,3,0)*0.475*44/12</f>
        <v>0</v>
      </c>
      <c r="DH33" s="23">
        <f>EXP(-LN(2)/2)*DH32+(1-EXP(-LN(2)/2))/(LN(2)/2)*DB33*DE33*VLOOKUP('Données projet'!$B$13,Paramètres!$A$1:$I$88,3,0)*0.475*44/12</f>
        <v>0.40113928833583767</v>
      </c>
      <c r="DI33" s="24">
        <f t="shared" si="15"/>
        <v>38.875202396588982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2.6904761904761907</v>
      </c>
      <c r="N34" s="14">
        <f>IF('Données projet'!$A$36&gt;35,N33+M34-V33,IF(A34&lt;'Données projet'!$A$36,$K$205^A34,IF(A34='Données projet'!$A$36,'Données projet'!$B$36,N33+M34-V33)))</f>
        <v>83.404761904761898</v>
      </c>
      <c r="O34" s="14">
        <f>N34*VLOOKUP('Données projet'!$B$9,Paramètres!$A$1:$I$88,3,0)*VLOOKUP('Données projet'!$B$9,Paramètres!$A$1:$I$88,5,0)</f>
        <v>75.464628571428563</v>
      </c>
      <c r="P34" s="14">
        <f t="shared" si="33"/>
        <v>21.024523775886198</v>
      </c>
      <c r="Q34" s="22">
        <f t="shared" si="2"/>
        <v>168.05194033823986</v>
      </c>
      <c r="R34" s="62">
        <f t="shared" si="0"/>
        <v>461.38527367157315</v>
      </c>
      <c r="S34" s="62">
        <f ca="1">AVERAGE(OFFSET($R$3,0,0,'Données projet'!$E$9+1,1))-AVERAGE(OFFSET($H$3,0,0,'Données projet'!$E$9+1,1))</f>
        <v>286.81278534843665</v>
      </c>
      <c r="T34" s="62">
        <f t="shared" si="34"/>
        <v>199.43308683696642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2.6904761904761907</v>
      </c>
      <c r="AI34" s="14">
        <f>IF('Données projet'!$A$62&gt;35,AI33+AH34-AQ33,IF(A34&lt;'Données projet'!$A$62,$AF$205^A34,IF(A34='Données projet'!$A$62,'Données projet'!$B$62,AI33+AH34-AQ33)))</f>
        <v>83.404761904761898</v>
      </c>
      <c r="AJ34" s="14">
        <f>AI34*VLOOKUP('Données projet'!$B$10,Paramètres!$A$1:$I$88,3,0)*VLOOKUP('Données projet'!$B$10,Paramètres!$A$1:$I$88,5,0)</f>
        <v>84.572428571428574</v>
      </c>
      <c r="AK34" s="14">
        <f t="shared" si="35"/>
        <v>23.251524570061715</v>
      </c>
      <c r="AL34" s="22">
        <f t="shared" si="4"/>
        <v>187.79338505476224</v>
      </c>
      <c r="AM34" s="62">
        <f t="shared" si="5"/>
        <v>481.12671838809558</v>
      </c>
      <c r="AN34" s="62">
        <f ca="1">AVERAGE(OFFSET($AM$3,0,0,'Données projet'!$E$10+1,1))-AVERAGE(OFFSET($H$3,0,0,'Données projet'!$E$10+1,1))</f>
        <v>316.76504852082684</v>
      </c>
      <c r="AO34" s="62">
        <f t="shared" si="36"/>
        <v>218.5520645293999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2.6904761904761907</v>
      </c>
      <c r="BD34" s="13">
        <f>IF('Données projet'!$A$88&gt;35,BD33+BC34-BL33,IF(A34&lt;'Données projet'!$A$88,$BA$205^A34,IF(A34='Données projet'!$A$88,'Données projet'!$B$88,BD33+BC34-BL33)))</f>
        <v>83.404761904761898</v>
      </c>
      <c r="BE34" s="14">
        <f>BD34*VLOOKUP('Données projet'!$B$11,Paramètres!$A$1:$I$88,3,0)*VLOOKUP('Données projet'!$B$11,Paramètres!$A$1:$I$88,5,0)</f>
        <v>72.862400000000008</v>
      </c>
      <c r="BF34" s="14">
        <f t="shared" si="37"/>
        <v>20.382625872278943</v>
      </c>
      <c r="BG34" s="22">
        <f t="shared" si="7"/>
        <v>162.40175339421916</v>
      </c>
      <c r="BH34" s="62">
        <f t="shared" si="8"/>
        <v>455.73508672755247</v>
      </c>
      <c r="BI34" s="62">
        <f ca="1">AVERAGE(OFFSET($BH$3,0,0,'Données projet'!$E$11+1,1))-AVERAGE(OFFSET($H$3,0,0,'Données projet'!$E$11+1,1))</f>
        <v>278.24093386944304</v>
      </c>
      <c r="BJ34" s="62">
        <f t="shared" si="38"/>
        <v>193.96102673885611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2.6904761904761907</v>
      </c>
      <c r="BY34" s="13">
        <f>IF('Données projet'!$A$114&gt;35,BY33+BX34-CG33,IF(A34&lt;'Données projet'!$A$114,$BV$205^A34,IF(A34='Données projet'!$A$114,'Données projet'!$B$114,BY33+BX34-CG33)))</f>
        <v>83.404761904761898</v>
      </c>
      <c r="BZ34" s="14">
        <f>BY34*VLOOKUP('Données projet'!$B$12,Paramètres!$A$1:$I$88,3,0)*VLOOKUP('Données projet'!$B$12,Paramètres!$A$1:$I$88,5,0)</f>
        <v>80.669085714285714</v>
      </c>
      <c r="CA34" s="14">
        <f t="shared" si="39"/>
        <v>22.300699679484339</v>
      </c>
      <c r="CB34" s="22">
        <f t="shared" si="10"/>
        <v>179.33904289414951</v>
      </c>
      <c r="CC34" s="62">
        <f t="shared" si="11"/>
        <v>472.6723762274828</v>
      </c>
      <c r="CD34" s="62">
        <f ca="1">AVERAGE(OFFSET($CC$3,0,0,'Données projet'!$E$12+1,1))-AVERAGE(OFFSET($H$3,0,0,'Données projet'!$E$12+1,1))</f>
        <v>303.93739496872121</v>
      </c>
      <c r="CE34" s="62">
        <f t="shared" si="40"/>
        <v>210.36431469568754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0</v>
      </c>
      <c r="CL34" s="23">
        <f>EXP(-LN(2)/25)*CL33+(1-EXP(-LN(2)/25))/(LN(2)/25)*Calculateur!CG34*Calculateur!CI34*VLOOKUP('Données projet'!$B$12,Paramètres!$A$1:$I$88,3,0)*0.475*44/12</f>
        <v>0</v>
      </c>
      <c r="CM34" s="23">
        <f>EXP(-LN(2)/2)*CM33+(1-EXP(-LN(2)/2))/(LN(2)/2)*CG34*CJ34*VLOOKUP('Données projet'!$B$12,Paramètres!$A$1:$I$88,3,0)*0.475*44/12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>
        <f>CT34*VLOOKUP('Données projet'!$B$13,Paramètres!$A$1:$I$88,3,0)*VLOOKUP('Données projet'!$B$13,Paramètres!$A$1:$I$88,5,0)</f>
        <v>0</v>
      </c>
      <c r="CV34" s="14" t="e">
        <f t="shared" si="41"/>
        <v>#NUM!</v>
      </c>
      <c r="CW34" s="22" t="e">
        <f t="shared" si="13"/>
        <v>#NUM!</v>
      </c>
      <c r="CX34" s="62" t="e">
        <f t="shared" si="14"/>
        <v>#NUM!</v>
      </c>
      <c r="CY34" s="62">
        <f ca="1">AVERAGE(OFFSET($CX$3,0,0,'Données projet'!$E$13+1,1))-AVERAGE(OFFSET($H$3,0,0,'Données projet'!$E$13+1,1))</f>
        <v>57.812812891099895</v>
      </c>
      <c r="CZ34" s="62">
        <f t="shared" si="42"/>
        <v>244.79885157604684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projet'!$B$13,Paramètres!$A$1:$I$88,3,0)*0.475*44/12</f>
        <v>37.719610197561636</v>
      </c>
      <c r="DG34" s="23">
        <f>EXP(-LN(2)/25)*DG33+(1-EXP(-LN(2)/25))/(LN(2)/25)*Calculateur!DB34*Calculateur!DD34*VLOOKUP('Données projet'!$B$13,Paramètres!$A$1:$I$88,3,0)*0.475*44/12</f>
        <v>0</v>
      </c>
      <c r="DH34" s="23">
        <f>EXP(-LN(2)/2)*DH33+(1-EXP(-LN(2)/2))/(LN(2)/2)*DB34*DE34*VLOOKUP('Données projet'!$B$13,Paramètres!$A$1:$I$88,3,0)*0.475*44/12</f>
        <v>0.28364831098261656</v>
      </c>
      <c r="DI34" s="24">
        <f t="shared" si="15"/>
        <v>38.003258508544249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2.6904761904761907</v>
      </c>
      <c r="N35" s="14">
        <f>IF('Données projet'!$A$36&gt;35,N34+M35-V34,IF(A35&lt;'Données projet'!$A$36,$K$205^A35,IF(A35='Données projet'!$A$36,'Données projet'!$B$36,N34+M35-V34)))</f>
        <v>86.095238095238088</v>
      </c>
      <c r="O35" s="14">
        <f>N35*VLOOKUP('Données projet'!$B$9,Paramètres!$A$1:$I$88,3,0)*VLOOKUP('Données projet'!$B$9,Paramètres!$A$1:$I$88,5,0)</f>
        <v>77.898971428571414</v>
      </c>
      <c r="P35" s="14">
        <f t="shared" si="33"/>
        <v>21.622678729311669</v>
      </c>
      <c r="Q35" s="22">
        <f t="shared" ref="Q35:Q66" si="53">(O35+P35)*0.475*44/12</f>
        <v>173.33354069164636</v>
      </c>
      <c r="R35" s="62">
        <f t="shared" si="0"/>
        <v>466.66687402497968</v>
      </c>
      <c r="S35" s="62">
        <f ca="1">AVERAGE(OFFSET($R$3,0,0,'Données projet'!$E$9+1,1))-AVERAGE(OFFSET($H$3,0,0,'Données projet'!$E$9+1,1))</f>
        <v>286.81278534843665</v>
      </c>
      <c r="T35" s="62">
        <f t="shared" si="34"/>
        <v>199.43308683696642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2.6904761904761907</v>
      </c>
      <c r="AI35" s="14">
        <f>IF('Données projet'!$A$62&gt;35,AI34+AH35-AQ34,IF(A35&lt;'Données projet'!$A$62,$AF$205^A35,IF(A35='Données projet'!$A$62,'Données projet'!$B$62,AI34+AH35-AQ34)))</f>
        <v>86.095238095238088</v>
      </c>
      <c r="AJ35" s="14">
        <f>AI35*VLOOKUP('Données projet'!$B$10,Paramètres!$A$1:$I$88,3,0)*VLOOKUP('Données projet'!$B$10,Paramètres!$A$1:$I$88,5,0)</f>
        <v>87.30057142857143</v>
      </c>
      <c r="AK35" s="14">
        <f t="shared" si="35"/>
        <v>23.91303846424216</v>
      </c>
      <c r="AL35" s="22">
        <f t="shared" si="4"/>
        <v>193.69703722998369</v>
      </c>
      <c r="AM35" s="62">
        <f t="shared" si="5"/>
        <v>487.03037056331698</v>
      </c>
      <c r="AN35" s="62">
        <f ca="1">AVERAGE(OFFSET($AM$3,0,0,'Données projet'!$E$10+1,1))-AVERAGE(OFFSET($H$3,0,0,'Données projet'!$E$10+1,1))</f>
        <v>316.76504852082684</v>
      </c>
      <c r="AO35" s="62">
        <f t="shared" si="36"/>
        <v>218.5520645293999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2.6904761904761907</v>
      </c>
      <c r="BD35" s="13">
        <f>IF('Données projet'!$A$88&gt;35,BD34+BC35-BL34,IF(A35&lt;'Données projet'!$A$88,$BA$205^A35,IF(A35='Données projet'!$A$88,'Données projet'!$B$88,BD34+BC35-BL34)))</f>
        <v>86.095238095238088</v>
      </c>
      <c r="BE35" s="14">
        <f>BD35*VLOOKUP('Données projet'!$B$11,Paramètres!$A$1:$I$88,3,0)*VLOOKUP('Données projet'!$B$11,Paramètres!$A$1:$I$88,5,0)</f>
        <v>75.212800000000001</v>
      </c>
      <c r="BF35" s="14">
        <f t="shared" si="37"/>
        <v>20.962518608936545</v>
      </c>
      <c r="BG35" s="22">
        <f t="shared" si="7"/>
        <v>167.50534657723114</v>
      </c>
      <c r="BH35" s="62">
        <f t="shared" si="8"/>
        <v>460.83867991056445</v>
      </c>
      <c r="BI35" s="62">
        <f ca="1">AVERAGE(OFFSET($BH$3,0,0,'Données projet'!$E$11+1,1))-AVERAGE(OFFSET($H$3,0,0,'Données projet'!$E$11+1,1))</f>
        <v>278.24093386944304</v>
      </c>
      <c r="BJ35" s="62">
        <f t="shared" si="38"/>
        <v>193.96102673885611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2.6904761904761907</v>
      </c>
      <c r="BY35" s="13">
        <f>IF('Données projet'!$A$114&gt;35,BY34+BX35-CG34,IF(A35&lt;'Données projet'!$A$114,$BV$205^A35,IF(A35='Données projet'!$A$114,'Données projet'!$B$114,BY34+BX35-CG34)))</f>
        <v>86.095238095238088</v>
      </c>
      <c r="BZ35" s="14">
        <f>BY35*VLOOKUP('Données projet'!$B$12,Paramètres!$A$1:$I$88,3,0)*VLOOKUP('Données projet'!$B$12,Paramètres!$A$1:$I$88,5,0)</f>
        <v>83.271314285714283</v>
      </c>
      <c r="CA35" s="14">
        <f t="shared" si="39"/>
        <v>22.935162277559293</v>
      </c>
      <c r="CB35" s="22">
        <f t="shared" si="10"/>
        <v>184.97628001436814</v>
      </c>
      <c r="CC35" s="62">
        <f t="shared" si="11"/>
        <v>478.30961334770143</v>
      </c>
      <c r="CD35" s="62">
        <f ca="1">AVERAGE(OFFSET($CC$3,0,0,'Données projet'!$E$12+1,1))-AVERAGE(OFFSET($H$3,0,0,'Données projet'!$E$12+1,1))</f>
        <v>303.93739496872121</v>
      </c>
      <c r="CE35" s="62">
        <f t="shared" si="40"/>
        <v>210.36431469568754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0</v>
      </c>
      <c r="CL35" s="23">
        <f>EXP(-LN(2)/25)*CL34+(1-EXP(-LN(2)/25))/(LN(2)/25)*Calculateur!CG35*Calculateur!CI35*VLOOKUP('Données projet'!$B$12,Paramètres!$A$1:$I$88,3,0)*0.475*44/12</f>
        <v>0</v>
      </c>
      <c r="CM35" s="23">
        <f>EXP(-LN(2)/2)*CM34+(1-EXP(-LN(2)/2))/(LN(2)/2)*CG35*CJ35*VLOOKUP('Données projet'!$B$12,Paramètres!$A$1:$I$88,3,0)*0.475*44/12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>
        <f>CT35*VLOOKUP('Données projet'!$B$13,Paramètres!$A$1:$I$88,3,0)*VLOOKUP('Données projet'!$B$13,Paramètres!$A$1:$I$88,5,0)</f>
        <v>0</v>
      </c>
      <c r="CV35" s="14" t="e">
        <f t="shared" si="41"/>
        <v>#NUM!</v>
      </c>
      <c r="CW35" s="22" t="e">
        <f t="shared" si="13"/>
        <v>#NUM!</v>
      </c>
      <c r="CX35" s="62" t="e">
        <f t="shared" si="14"/>
        <v>#NUM!</v>
      </c>
      <c r="CY35" s="62">
        <f ca="1">AVERAGE(OFFSET($CX$3,0,0,'Données projet'!$E$13+1,1))-AVERAGE(OFFSET($H$3,0,0,'Données projet'!$E$13+1,1))</f>
        <v>57.812812891099895</v>
      </c>
      <c r="CZ35" s="62">
        <f t="shared" si="42"/>
        <v>244.79885157604684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projet'!$B$13,Paramètres!$A$1:$I$88,3,0)*0.475*44/12</f>
        <v>36.979951648277954</v>
      </c>
      <c r="DG35" s="23">
        <f>EXP(-LN(2)/25)*DG34+(1-EXP(-LN(2)/25))/(LN(2)/25)*Calculateur!DB35*Calculateur!DD35*VLOOKUP('Données projet'!$B$13,Paramètres!$A$1:$I$88,3,0)*0.475*44/12</f>
        <v>0</v>
      </c>
      <c r="DH35" s="23">
        <f>EXP(-LN(2)/2)*DH34+(1-EXP(-LN(2)/2))/(LN(2)/2)*DB35*DE35*VLOOKUP('Données projet'!$B$13,Paramètres!$A$1:$I$88,3,0)*0.475*44/12</f>
        <v>0.20056964416791884</v>
      </c>
      <c r="DI35" s="24">
        <f t="shared" si="15"/>
        <v>37.180521292445874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2.6904761904761907</v>
      </c>
      <c r="N36" s="14">
        <f>IF('Données projet'!$A$36&gt;35,N35+M36-V35,IF(A36&lt;'Données projet'!$A$36,$K$205^A36,IF(A36='Données projet'!$A$36,'Données projet'!$B$36,N35+M36-V35)))</f>
        <v>88.785714285714278</v>
      </c>
      <c r="O36" s="14">
        <f>N36*VLOOKUP('Données projet'!$B$9,Paramètres!$A$1:$I$88,3,0)*VLOOKUP('Données projet'!$B$9,Paramètres!$A$1:$I$88,5,0)</f>
        <v>80.33331428571428</v>
      </c>
      <c r="P36" s="14">
        <f t="shared" si="33"/>
        <v>22.218661472981104</v>
      </c>
      <c r="Q36" s="22">
        <f t="shared" si="53"/>
        <v>178.6113577797278</v>
      </c>
      <c r="R36" s="62">
        <f t="shared" si="0"/>
        <v>471.94469111306114</v>
      </c>
      <c r="S36" s="62">
        <f ca="1">AVERAGE(OFFSET($R$3,0,0,'Données projet'!$E$9+1,1))-AVERAGE(OFFSET($H$3,0,0,'Données projet'!$E$9+1,1))</f>
        <v>286.81278534843665</v>
      </c>
      <c r="T36" s="62">
        <f t="shared" si="34"/>
        <v>199.43308683696642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2.6904761904761907</v>
      </c>
      <c r="AI36" s="14">
        <f>IF('Données projet'!$A$62&gt;35,AI35+AH36-AQ35,IF(A36&lt;'Données projet'!$A$62,$AF$205^A36,IF(A36='Données projet'!$A$62,'Données projet'!$B$62,AI35+AH36-AQ35)))</f>
        <v>88.785714285714278</v>
      </c>
      <c r="AJ36" s="14">
        <f>AI36*VLOOKUP('Données projet'!$B$10,Paramètres!$A$1:$I$88,3,0)*VLOOKUP('Données projet'!$B$10,Paramètres!$A$1:$I$88,5,0)</f>
        <v>90.028714285714287</v>
      </c>
      <c r="AK36" s="14">
        <f t="shared" si="35"/>
        <v>24.572150059609498</v>
      </c>
      <c r="AL36" s="22">
        <f t="shared" si="4"/>
        <v>199.59650540143889</v>
      </c>
      <c r="AM36" s="62">
        <f t="shared" si="5"/>
        <v>492.9298387347722</v>
      </c>
      <c r="AN36" s="62">
        <f ca="1">AVERAGE(OFFSET($AM$3,0,0,'Données projet'!$E$10+1,1))-AVERAGE(OFFSET($H$3,0,0,'Données projet'!$E$10+1,1))</f>
        <v>316.76504852082684</v>
      </c>
      <c r="AO36" s="62">
        <f t="shared" si="36"/>
        <v>218.5520645293999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2.6904761904761907</v>
      </c>
      <c r="BD36" s="13">
        <f>IF('Données projet'!$A$88&gt;35,BD35+BC36-BL35,IF(A36&lt;'Données projet'!$A$88,$BA$205^A36,IF(A36='Données projet'!$A$88,'Données projet'!$B$88,BD35+BC36-BL35)))</f>
        <v>88.785714285714278</v>
      </c>
      <c r="BE36" s="14">
        <f>BD36*VLOOKUP('Données projet'!$B$11,Paramètres!$A$1:$I$88,3,0)*VLOOKUP('Données projet'!$B$11,Paramètres!$A$1:$I$88,5,0)</f>
        <v>77.563199999999995</v>
      </c>
      <c r="BF36" s="14">
        <f t="shared" si="37"/>
        <v>21.540305455384928</v>
      </c>
      <c r="BG36" s="22">
        <f t="shared" si="7"/>
        <v>172.60527200146205</v>
      </c>
      <c r="BH36" s="62">
        <f t="shared" si="8"/>
        <v>465.9386053347954</v>
      </c>
      <c r="BI36" s="62">
        <f ca="1">AVERAGE(OFFSET($BH$3,0,0,'Données projet'!$E$11+1,1))-AVERAGE(OFFSET($H$3,0,0,'Données projet'!$E$11+1,1))</f>
        <v>278.24093386944304</v>
      </c>
      <c r="BJ36" s="62">
        <f t="shared" si="38"/>
        <v>193.96102673885611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2.6904761904761907</v>
      </c>
      <c r="BY36" s="13">
        <f>IF('Données projet'!$A$114&gt;35,BY35+BX36-CG35,IF(A36&lt;'Données projet'!$A$114,$BV$205^A36,IF(A36='Données projet'!$A$114,'Données projet'!$B$114,BY35+BX36-CG35)))</f>
        <v>88.785714285714278</v>
      </c>
      <c r="BZ36" s="14">
        <f>BY36*VLOOKUP('Données projet'!$B$12,Paramètres!$A$1:$I$88,3,0)*VLOOKUP('Données projet'!$B$12,Paramètres!$A$1:$I$88,5,0)</f>
        <v>85.873542857142851</v>
      </c>
      <c r="CA36" s="14">
        <f t="shared" si="39"/>
        <v>23.56732081405708</v>
      </c>
      <c r="CB36" s="22">
        <f t="shared" si="10"/>
        <v>190.6095042273399</v>
      </c>
      <c r="CC36" s="62">
        <f t="shared" si="11"/>
        <v>483.94283756067318</v>
      </c>
      <c r="CD36" s="62">
        <f ca="1">AVERAGE(OFFSET($CC$3,0,0,'Données projet'!$E$12+1,1))-AVERAGE(OFFSET($H$3,0,0,'Données projet'!$E$12+1,1))</f>
        <v>303.93739496872121</v>
      </c>
      <c r="CE36" s="62">
        <f t="shared" si="40"/>
        <v>210.36431469568754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0</v>
      </c>
      <c r="CL36" s="23">
        <f>EXP(-LN(2)/25)*CL35+(1-EXP(-LN(2)/25))/(LN(2)/25)*Calculateur!CG36*Calculateur!CI36*VLOOKUP('Données projet'!$B$12,Paramètres!$A$1:$I$88,3,0)*0.475*44/12</f>
        <v>0</v>
      </c>
      <c r="CM36" s="23">
        <f>EXP(-LN(2)/2)*CM35+(1-EXP(-LN(2)/2))/(LN(2)/2)*CG36*CJ36*VLOOKUP('Données projet'!$B$12,Paramètres!$A$1:$I$88,3,0)*0.475*44/12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>
        <f>CT36*VLOOKUP('Données projet'!$B$13,Paramètres!$A$1:$I$88,3,0)*VLOOKUP('Données projet'!$B$13,Paramètres!$A$1:$I$88,5,0)</f>
        <v>0</v>
      </c>
      <c r="CV36" s="14" t="e">
        <f t="shared" si="41"/>
        <v>#NUM!</v>
      </c>
      <c r="CW36" s="22" t="e">
        <f t="shared" si="13"/>
        <v>#NUM!</v>
      </c>
      <c r="CX36" s="62" t="e">
        <f t="shared" si="14"/>
        <v>#NUM!</v>
      </c>
      <c r="CY36" s="62">
        <f ca="1">AVERAGE(OFFSET($CX$3,0,0,'Données projet'!$E$13+1,1))-AVERAGE(OFFSET($H$3,0,0,'Données projet'!$E$13+1,1))</f>
        <v>57.812812891099895</v>
      </c>
      <c r="CZ36" s="62">
        <f t="shared" si="42"/>
        <v>244.79885157604684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projet'!$B$13,Paramètres!$A$1:$I$88,3,0)*0.475*44/12</f>
        <v>36.254797351998555</v>
      </c>
      <c r="DG36" s="23">
        <f>EXP(-LN(2)/25)*DG35+(1-EXP(-LN(2)/25))/(LN(2)/25)*Calculateur!DB36*Calculateur!DD36*VLOOKUP('Données projet'!$B$13,Paramètres!$A$1:$I$88,3,0)*0.475*44/12</f>
        <v>0</v>
      </c>
      <c r="DH36" s="23">
        <f>EXP(-LN(2)/2)*DH35+(1-EXP(-LN(2)/2))/(LN(2)/2)*DB36*DE36*VLOOKUP('Données projet'!$B$13,Paramètres!$A$1:$I$88,3,0)*0.475*44/12</f>
        <v>0.14182415549130828</v>
      </c>
      <c r="DI36" s="24">
        <f t="shared" si="15"/>
        <v>36.396621507489861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2.6904761904761907</v>
      </c>
      <c r="N37" s="14">
        <f>IF('Données projet'!$A$36&gt;35,N36+M37-V36,IF(A37&lt;'Données projet'!$A$36,$K$205^A37,IF(A37='Données projet'!$A$36,'Données projet'!$B$36,N36+M37-V36)))</f>
        <v>91.476190476190467</v>
      </c>
      <c r="O37" s="14">
        <f>N37*VLOOKUP('Données projet'!$B$9,Paramètres!$A$1:$I$88,3,0)*VLOOKUP('Données projet'!$B$9,Paramètres!$A$1:$I$88,5,0)</f>
        <v>82.767657142857132</v>
      </c>
      <c r="P37" s="14">
        <f t="shared" si="33"/>
        <v>22.812545386734861</v>
      </c>
      <c r="Q37" s="22">
        <f t="shared" si="53"/>
        <v>183.88551940570605</v>
      </c>
      <c r="R37" s="62">
        <f t="shared" si="0"/>
        <v>477.21885273903933</v>
      </c>
      <c r="S37" s="62">
        <f ca="1">AVERAGE(OFFSET($R$3,0,0,'Données projet'!$E$9+1,1))-AVERAGE(OFFSET($H$3,0,0,'Données projet'!$E$9+1,1))</f>
        <v>286.81278534843665</v>
      </c>
      <c r="T37" s="62">
        <f t="shared" si="34"/>
        <v>199.43308683696642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2.6904761904761907</v>
      </c>
      <c r="AI37" s="14">
        <f>IF('Données projet'!$A$62&gt;35,AI36+AH37-AQ36,IF(A37&lt;'Données projet'!$A$62,$AF$205^A37,IF(A37='Données projet'!$A$62,'Données projet'!$B$62,AI36+AH37-AQ36)))</f>
        <v>91.476190476190467</v>
      </c>
      <c r="AJ37" s="14">
        <f>AI37*VLOOKUP('Données projet'!$B$10,Paramètres!$A$1:$I$88,3,0)*VLOOKUP('Données projet'!$B$10,Paramètres!$A$1:$I$88,5,0)</f>
        <v>92.756857142857143</v>
      </c>
      <c r="AK37" s="14">
        <f t="shared" si="35"/>
        <v>25.228940508687224</v>
      </c>
      <c r="AL37" s="22">
        <f t="shared" si="4"/>
        <v>205.49193090977312</v>
      </c>
      <c r="AM37" s="62">
        <f t="shared" si="5"/>
        <v>498.8252642431064</v>
      </c>
      <c r="AN37" s="62">
        <f ca="1">AVERAGE(OFFSET($AM$3,0,0,'Données projet'!$E$10+1,1))-AVERAGE(OFFSET($H$3,0,0,'Données projet'!$E$10+1,1))</f>
        <v>316.76504852082684</v>
      </c>
      <c r="AO37" s="62">
        <f t="shared" si="36"/>
        <v>218.5520645293999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2.6904761904761907</v>
      </c>
      <c r="BD37" s="13">
        <f>IF('Données projet'!$A$88&gt;35,BD36+BC37-BL36,IF(A37&lt;'Données projet'!$A$88,$BA$205^A37,IF(A37='Données projet'!$A$88,'Données projet'!$B$88,BD36+BC37-BL36)))</f>
        <v>91.476190476190467</v>
      </c>
      <c r="BE37" s="14">
        <f>BD37*VLOOKUP('Données projet'!$B$11,Paramètres!$A$1:$I$88,3,0)*VLOOKUP('Données projet'!$B$11,Paramètres!$A$1:$I$88,5,0)</f>
        <v>79.913600000000002</v>
      </c>
      <c r="BF37" s="14">
        <f t="shared" si="37"/>
        <v>22.116057551110949</v>
      </c>
      <c r="BG37" s="22">
        <f t="shared" si="7"/>
        <v>177.70165356818487</v>
      </c>
      <c r="BH37" s="62">
        <f t="shared" si="8"/>
        <v>471.03498690151821</v>
      </c>
      <c r="BI37" s="62">
        <f ca="1">AVERAGE(OFFSET($BH$3,0,0,'Données projet'!$E$11+1,1))-AVERAGE(OFFSET($H$3,0,0,'Données projet'!$E$11+1,1))</f>
        <v>278.24093386944304</v>
      </c>
      <c r="BJ37" s="62">
        <f t="shared" si="38"/>
        <v>193.96102673885611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2.6904761904761907</v>
      </c>
      <c r="BY37" s="13">
        <f>IF('Données projet'!$A$114&gt;35,BY36+BX37-CG36,IF(A37&lt;'Données projet'!$A$114,$BV$205^A37,IF(A37='Données projet'!$A$114,'Données projet'!$B$114,BY36+BX37-CG36)))</f>
        <v>91.476190476190467</v>
      </c>
      <c r="BZ37" s="14">
        <f>BY37*VLOOKUP('Données projet'!$B$12,Paramètres!$A$1:$I$88,3,0)*VLOOKUP('Données projet'!$B$12,Paramètres!$A$1:$I$88,5,0)</f>
        <v>88.47577142857142</v>
      </c>
      <c r="CA37" s="14">
        <f t="shared" si="39"/>
        <v>24.197253122930082</v>
      </c>
      <c r="CB37" s="22">
        <f t="shared" si="10"/>
        <v>196.23885109386507</v>
      </c>
      <c r="CC37" s="62">
        <f t="shared" si="11"/>
        <v>489.57218442719841</v>
      </c>
      <c r="CD37" s="62">
        <f ca="1">AVERAGE(OFFSET($CC$3,0,0,'Données projet'!$E$12+1,1))-AVERAGE(OFFSET($H$3,0,0,'Données projet'!$E$12+1,1))</f>
        <v>303.93739496872121</v>
      </c>
      <c r="CE37" s="62">
        <f t="shared" si="40"/>
        <v>210.36431469568754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projet'!$B$12,Paramètres!$A$1:$I$88,3,0)*0.475*44/12</f>
        <v>0</v>
      </c>
      <c r="CL37" s="23">
        <f>EXP(-LN(2)/25)*CL36+(1-EXP(-LN(2)/25))/(LN(2)/25)*Calculateur!CG37*Calculateur!CI37*VLOOKUP('Données projet'!$B$12,Paramètres!$A$1:$I$88,3,0)*0.475*44/12</f>
        <v>0</v>
      </c>
      <c r="CM37" s="23">
        <f>EXP(-LN(2)/2)*CM36+(1-EXP(-LN(2)/2))/(LN(2)/2)*CG37*CJ37*VLOOKUP('Données projet'!$B$12,Paramètres!$A$1:$I$88,3,0)*0.475*44/12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>
        <f>CT37*VLOOKUP('Données projet'!$B$13,Paramètres!$A$1:$I$88,3,0)*VLOOKUP('Données projet'!$B$13,Paramètres!$A$1:$I$88,5,0)</f>
        <v>0</v>
      </c>
      <c r="CV37" s="14" t="e">
        <f t="shared" si="41"/>
        <v>#NUM!</v>
      </c>
      <c r="CW37" s="22" t="e">
        <f t="shared" si="13"/>
        <v>#NUM!</v>
      </c>
      <c r="CX37" s="62" t="e">
        <f t="shared" si="14"/>
        <v>#NUM!</v>
      </c>
      <c r="CY37" s="62">
        <f ca="1">AVERAGE(OFFSET($CX$3,0,0,'Données projet'!$E$13+1,1))-AVERAGE(OFFSET($H$3,0,0,'Données projet'!$E$13+1,1))</f>
        <v>57.812812891099895</v>
      </c>
      <c r="CZ37" s="62">
        <f t="shared" si="42"/>
        <v>244.79885157604684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projet'!$B$13,Paramètres!$A$1:$I$88,3,0)*0.475*44/12</f>
        <v>35.543862889168743</v>
      </c>
      <c r="DG37" s="23">
        <f>EXP(-LN(2)/25)*DG36+(1-EXP(-LN(2)/25))/(LN(2)/25)*Calculateur!DB37*Calculateur!DD37*VLOOKUP('Données projet'!$B$13,Paramètres!$A$1:$I$88,3,0)*0.475*44/12</f>
        <v>0</v>
      </c>
      <c r="DH37" s="23">
        <f>EXP(-LN(2)/2)*DH36+(1-EXP(-LN(2)/2))/(LN(2)/2)*DB37*DE37*VLOOKUP('Données projet'!$B$13,Paramètres!$A$1:$I$88,3,0)*0.475*44/12</f>
        <v>0.10028482208395942</v>
      </c>
      <c r="DI37" s="24">
        <f t="shared" si="15"/>
        <v>35.6441477112527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2.6904761904761907</v>
      </c>
      <c r="N38" s="14">
        <f>IF('Données projet'!$A$36&gt;35,N37+M38-V37,IF(A38&lt;'Données projet'!$A$36,$K$205^A38,IF(A38='Données projet'!$A$36,'Données projet'!$B$36,N37+M38-V37)))</f>
        <v>94.166666666666657</v>
      </c>
      <c r="O38" s="14">
        <f>N38*VLOOKUP('Données projet'!$B$9,Paramètres!$A$1:$I$88,3,0)*VLOOKUP('Données projet'!$B$9,Paramètres!$A$1:$I$88,5,0)</f>
        <v>85.201999999999998</v>
      </c>
      <c r="P38" s="14">
        <f t="shared" si="33"/>
        <v>23.404399288552128</v>
      </c>
      <c r="Q38" s="22">
        <f t="shared" si="53"/>
        <v>189.1561454275616</v>
      </c>
      <c r="R38" s="62">
        <f t="shared" si="0"/>
        <v>482.48947876089494</v>
      </c>
      <c r="S38" s="62">
        <f ca="1">AVERAGE(OFFSET($R$3,0,0,'Données projet'!$E$9+1,1))-AVERAGE(OFFSET($H$3,0,0,'Données projet'!$E$9+1,1))</f>
        <v>286.81278534843665</v>
      </c>
      <c r="T38" s="62">
        <f t="shared" si="34"/>
        <v>199.43308683696642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2.6904761904761907</v>
      </c>
      <c r="AI38" s="14">
        <f>IF('Données projet'!$A$62&gt;35,AI37+AH38-AQ37,IF(A38&lt;'Données projet'!$A$62,$AF$205^A38,IF(A38='Données projet'!$A$62,'Données projet'!$B$62,AI37+AH38-AQ37)))</f>
        <v>94.166666666666657</v>
      </c>
      <c r="AJ38" s="14">
        <f>AI38*VLOOKUP('Données projet'!$B$10,Paramètres!$A$1:$I$88,3,0)*VLOOKUP('Données projet'!$B$10,Paramètres!$A$1:$I$88,5,0)</f>
        <v>95.484999999999999</v>
      </c>
      <c r="AK38" s="14">
        <f t="shared" si="35"/>
        <v>25.883485918927366</v>
      </c>
      <c r="AL38" s="22">
        <f t="shared" si="4"/>
        <v>211.38344630879848</v>
      </c>
      <c r="AM38" s="62">
        <f t="shared" si="5"/>
        <v>504.71677964213177</v>
      </c>
      <c r="AN38" s="62">
        <f ca="1">AVERAGE(OFFSET($AM$3,0,0,'Données projet'!$E$10+1,1))-AVERAGE(OFFSET($H$3,0,0,'Données projet'!$E$10+1,1))</f>
        <v>316.76504852082684</v>
      </c>
      <c r="AO38" s="62">
        <f t="shared" si="36"/>
        <v>218.5520645293999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2.6904761904761907</v>
      </c>
      <c r="BD38" s="13">
        <f>IF('Données projet'!$A$88&gt;35,BD37+BC38-BL37,IF(A38&lt;'Données projet'!$A$88,$BA$205^A38,IF(A38='Données projet'!$A$88,'Données projet'!$B$88,BD37+BC38-BL37)))</f>
        <v>94.166666666666657</v>
      </c>
      <c r="BE38" s="14">
        <f>BD38*VLOOKUP('Données projet'!$B$11,Paramètres!$A$1:$I$88,3,0)*VLOOKUP('Données projet'!$B$11,Paramètres!$A$1:$I$88,5,0)</f>
        <v>82.26400000000001</v>
      </c>
      <c r="BF38" s="14">
        <f t="shared" si="37"/>
        <v>22.689841613018014</v>
      </c>
      <c r="BG38" s="22">
        <f t="shared" si="7"/>
        <v>182.79460747600638</v>
      </c>
      <c r="BH38" s="62">
        <f t="shared" si="8"/>
        <v>476.12794080933969</v>
      </c>
      <c r="BI38" s="62">
        <f ca="1">AVERAGE(OFFSET($BH$3,0,0,'Données projet'!$E$11+1,1))-AVERAGE(OFFSET($H$3,0,0,'Données projet'!$E$11+1,1))</f>
        <v>278.24093386944304</v>
      </c>
      <c r="BJ38" s="62">
        <f t="shared" si="38"/>
        <v>193.96102673885611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2.6904761904761907</v>
      </c>
      <c r="BY38" s="13">
        <f>IF('Données projet'!$A$114&gt;35,BY37+BX38-CG37,IF(A38&lt;'Données projet'!$A$114,$BV$205^A38,IF(A38='Données projet'!$A$114,'Données projet'!$B$114,BY37+BX38-CG37)))</f>
        <v>94.166666666666657</v>
      </c>
      <c r="BZ38" s="14">
        <f>BY38*VLOOKUP('Données projet'!$B$12,Paramètres!$A$1:$I$88,3,0)*VLOOKUP('Données projet'!$B$12,Paramètres!$A$1:$I$88,5,0)</f>
        <v>91.077999999999989</v>
      </c>
      <c r="CA38" s="14">
        <f t="shared" si="39"/>
        <v>24.825032199367286</v>
      </c>
      <c r="CB38" s="22">
        <f t="shared" si="10"/>
        <v>201.86444774723134</v>
      </c>
      <c r="CC38" s="62">
        <f t="shared" si="11"/>
        <v>495.19778108056465</v>
      </c>
      <c r="CD38" s="62">
        <f ca="1">AVERAGE(OFFSET($CC$3,0,0,'Données projet'!$E$12+1,1))-AVERAGE(OFFSET($H$3,0,0,'Données projet'!$E$12+1,1))</f>
        <v>303.93739496872121</v>
      </c>
      <c r="CE38" s="62">
        <f t="shared" si="40"/>
        <v>210.36431469568754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0</v>
      </c>
      <c r="CL38" s="23">
        <f>EXP(-LN(2)/25)*CL37+(1-EXP(-LN(2)/25))/(LN(2)/25)*Calculateur!CG38*Calculateur!CI38*VLOOKUP('Données projet'!$B$12,Paramètres!$A$1:$I$88,3,0)*0.475*44/12</f>
        <v>0</v>
      </c>
      <c r="CM38" s="23">
        <f>EXP(-LN(2)/2)*CM37+(1-EXP(-LN(2)/2))/(LN(2)/2)*CG38*CJ38*VLOOKUP('Données projet'!$B$12,Paramètres!$A$1:$I$88,3,0)*0.475*44/12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>
        <f>CT38*VLOOKUP('Données projet'!$B$13,Paramètres!$A$1:$I$88,3,0)*VLOOKUP('Données projet'!$B$13,Paramètres!$A$1:$I$88,5,0)</f>
        <v>0</v>
      </c>
      <c r="CV38" s="14" t="e">
        <f t="shared" si="41"/>
        <v>#NUM!</v>
      </c>
      <c r="CW38" s="22" t="e">
        <f t="shared" si="13"/>
        <v>#NUM!</v>
      </c>
      <c r="CX38" s="62" t="e">
        <f t="shared" si="14"/>
        <v>#NUM!</v>
      </c>
      <c r="CY38" s="62">
        <f ca="1">AVERAGE(OFFSET($CX$3,0,0,'Données projet'!$E$13+1,1))-AVERAGE(OFFSET($H$3,0,0,'Données projet'!$E$13+1,1))</f>
        <v>57.812812891099895</v>
      </c>
      <c r="CZ38" s="62">
        <f t="shared" si="42"/>
        <v>244.79885157604684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projet'!$B$13,Paramètres!$A$1:$I$88,3,0)*0.475*44/12</f>
        <v>34.84686941752782</v>
      </c>
      <c r="DG38" s="23">
        <f>EXP(-LN(2)/25)*DG37+(1-EXP(-LN(2)/25))/(LN(2)/25)*Calculateur!DB38*Calculateur!DD38*VLOOKUP('Données projet'!$B$13,Paramètres!$A$1:$I$88,3,0)*0.475*44/12</f>
        <v>0</v>
      </c>
      <c r="DH38" s="23">
        <f>EXP(-LN(2)/2)*DH37+(1-EXP(-LN(2)/2))/(LN(2)/2)*DB38*DE38*VLOOKUP('Données projet'!$B$13,Paramètres!$A$1:$I$88,3,0)*0.475*44/12</f>
        <v>7.091207774565414E-2</v>
      </c>
      <c r="DI38" s="24">
        <f t="shared" si="15"/>
        <v>34.917781495273474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2.6904761904761907</v>
      </c>
      <c r="N39" s="14">
        <f>IF('Données projet'!$A$36&gt;35,N38+M39-V38,IF(A39&lt;'Données projet'!$A$36,$K$205^A39,IF(A39='Données projet'!$A$36,'Données projet'!$B$36,N38+M39-V38)))</f>
        <v>96.857142857142847</v>
      </c>
      <c r="O39" s="14">
        <f>N39*VLOOKUP('Données projet'!$B$9,Paramètres!$A$1:$I$88,3,0)*VLOOKUP('Données projet'!$B$9,Paramètres!$A$1:$I$88,5,0)</f>
        <v>87.63634285714285</v>
      </c>
      <c r="P39" s="14">
        <f t="shared" si="33"/>
        <v>23.994287840288255</v>
      </c>
      <c r="Q39" s="22">
        <f t="shared" si="53"/>
        <v>194.42334846469248</v>
      </c>
      <c r="R39" s="62">
        <f t="shared" si="0"/>
        <v>487.7566817980258</v>
      </c>
      <c r="S39" s="62">
        <f ca="1">AVERAGE(OFFSET($R$3,0,0,'Données projet'!$E$9+1,1))-AVERAGE(OFFSET($H$3,0,0,'Données projet'!$E$9+1,1))</f>
        <v>286.81278534843665</v>
      </c>
      <c r="T39" s="62">
        <f t="shared" si="34"/>
        <v>199.43308683696642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2.6904761904761907</v>
      </c>
      <c r="AI39" s="14">
        <f>IF('Données projet'!$A$62&gt;35,AI38+AH39-AQ38,IF(A39&lt;'Données projet'!$A$62,$AF$205^A39,IF(A39='Données projet'!$A$62,'Données projet'!$B$62,AI38+AH39-AQ38)))</f>
        <v>96.857142857142847</v>
      </c>
      <c r="AJ39" s="14">
        <f>AI39*VLOOKUP('Données projet'!$B$10,Paramètres!$A$1:$I$88,3,0)*VLOOKUP('Données projet'!$B$10,Paramètres!$A$1:$I$88,5,0)</f>
        <v>98.213142857142856</v>
      </c>
      <c r="AK39" s="14">
        <f t="shared" si="35"/>
        <v>26.535857801424978</v>
      </c>
      <c r="AL39" s="22">
        <f t="shared" si="4"/>
        <v>217.27117614700566</v>
      </c>
      <c r="AM39" s="62">
        <f t="shared" si="5"/>
        <v>510.60450948033895</v>
      </c>
      <c r="AN39" s="62">
        <f ca="1">AVERAGE(OFFSET($AM$3,0,0,'Données projet'!$E$10+1,1))-AVERAGE(OFFSET($H$3,0,0,'Données projet'!$E$10+1,1))</f>
        <v>316.76504852082684</v>
      </c>
      <c r="AO39" s="62">
        <f t="shared" si="36"/>
        <v>218.5520645293999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0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2.6904761904761907</v>
      </c>
      <c r="BD39" s="13">
        <f>IF('Données projet'!$A$88&gt;35,BD38+BC39-BL38,IF(A39&lt;'Données projet'!$A$88,$BA$205^A39,IF(A39='Données projet'!$A$88,'Données projet'!$B$88,BD38+BC39-BL38)))</f>
        <v>96.857142857142847</v>
      </c>
      <c r="BE39" s="14">
        <f>BD39*VLOOKUP('Données projet'!$B$11,Paramètres!$A$1:$I$88,3,0)*VLOOKUP('Données projet'!$B$11,Paramètres!$A$1:$I$88,5,0)</f>
        <v>84.614400000000003</v>
      </c>
      <c r="BF39" s="14">
        <f t="shared" si="37"/>
        <v>23.261720328776033</v>
      </c>
      <c r="BG39" s="22">
        <f t="shared" si="7"/>
        <v>187.8842429059516</v>
      </c>
      <c r="BH39" s="62">
        <f t="shared" si="8"/>
        <v>481.21757623928488</v>
      </c>
      <c r="BI39" s="62">
        <f ca="1">AVERAGE(OFFSET($BH$3,0,0,'Données projet'!$E$11+1,1))-AVERAGE(OFFSET($H$3,0,0,'Données projet'!$E$11+1,1))</f>
        <v>278.24093386944304</v>
      </c>
      <c r="BJ39" s="62">
        <f t="shared" si="38"/>
        <v>193.96102673885611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2.6904761904761907</v>
      </c>
      <c r="BY39" s="13">
        <f>IF('Données projet'!$A$114&gt;35,BY38+BX39-CG38,IF(A39&lt;'Données projet'!$A$114,$BV$205^A39,IF(A39='Données projet'!$A$114,'Données projet'!$B$114,BY38+BX39-CG38)))</f>
        <v>96.857142857142847</v>
      </c>
      <c r="BZ39" s="14">
        <f>BY39*VLOOKUP('Données projet'!$B$12,Paramètres!$A$1:$I$88,3,0)*VLOOKUP('Données projet'!$B$12,Paramètres!$A$1:$I$88,5,0)</f>
        <v>93.680228571428572</v>
      </c>
      <c r="CA39" s="14">
        <f t="shared" si="39"/>
        <v>25.450726630159625</v>
      </c>
      <c r="CB39" s="22">
        <f t="shared" si="10"/>
        <v>207.48641364276611</v>
      </c>
      <c r="CC39" s="62">
        <f t="shared" si="11"/>
        <v>500.8197469760994</v>
      </c>
      <c r="CD39" s="62">
        <f ca="1">AVERAGE(OFFSET($CC$3,0,0,'Données projet'!$E$12+1,1))-AVERAGE(OFFSET($H$3,0,0,'Données projet'!$E$12+1,1))</f>
        <v>303.93739496872121</v>
      </c>
      <c r="CE39" s="62">
        <f t="shared" si="40"/>
        <v>210.36431469568754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0</v>
      </c>
      <c r="CL39" s="23">
        <f>EXP(-LN(2)/25)*CL38+(1-EXP(-LN(2)/25))/(LN(2)/25)*Calculateur!CG39*Calculateur!CI39*VLOOKUP('Données projet'!$B$12,Paramètres!$A$1:$I$88,3,0)*0.475*44/12</f>
        <v>0</v>
      </c>
      <c r="CM39" s="23">
        <f>EXP(-LN(2)/2)*CM38+(1-EXP(-LN(2)/2))/(LN(2)/2)*CG39*CJ39*VLOOKUP('Données projet'!$B$12,Paramètres!$A$1:$I$88,3,0)*0.475*44/12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>
        <f>CT39*VLOOKUP('Données projet'!$B$13,Paramètres!$A$1:$I$88,3,0)*VLOOKUP('Données projet'!$B$13,Paramètres!$A$1:$I$88,5,0)</f>
        <v>0</v>
      </c>
      <c r="CV39" s="14" t="e">
        <f t="shared" si="41"/>
        <v>#NUM!</v>
      </c>
      <c r="CW39" s="22" t="e">
        <f t="shared" si="13"/>
        <v>#NUM!</v>
      </c>
      <c r="CX39" s="62" t="e">
        <f t="shared" si="14"/>
        <v>#NUM!</v>
      </c>
      <c r="CY39" s="62">
        <f ca="1">AVERAGE(OFFSET($CX$3,0,0,'Données projet'!$E$13+1,1))-AVERAGE(OFFSET($H$3,0,0,'Données projet'!$E$13+1,1))</f>
        <v>57.812812891099895</v>
      </c>
      <c r="CZ39" s="62">
        <f t="shared" si="42"/>
        <v>244.79885157604684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projet'!$B$13,Paramètres!$A$1:$I$88,3,0)*0.475*44/12</f>
        <v>34.163543562741737</v>
      </c>
      <c r="DG39" s="23">
        <f>EXP(-LN(2)/25)*DG38+(1-EXP(-LN(2)/25))/(LN(2)/25)*Calculateur!DB39*Calculateur!DD39*VLOOKUP('Données projet'!$B$13,Paramètres!$A$1:$I$88,3,0)*0.475*44/12</f>
        <v>0</v>
      </c>
      <c r="DH39" s="23">
        <f>EXP(-LN(2)/2)*DH38+(1-EXP(-LN(2)/2))/(LN(2)/2)*DB39*DE39*VLOOKUP('Données projet'!$B$13,Paramètres!$A$1:$I$88,3,0)*0.475*44/12</f>
        <v>5.0142411041979709E-2</v>
      </c>
      <c r="DI39" s="24">
        <f t="shared" si="15"/>
        <v>34.213685973783718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2.6904761904761907</v>
      </c>
      <c r="N40" s="14">
        <f>IF('Données projet'!$A$36&gt;35,N39+M40-V39,IF(A40&lt;'Données projet'!$A$36,$K$205^A40,IF(A40='Données projet'!$A$36,'Données projet'!$B$36,N39+M40-V39)))</f>
        <v>99.547619047619037</v>
      </c>
      <c r="O40" s="14">
        <f>N40*VLOOKUP('Données projet'!$B$9,Paramètres!$A$1:$I$88,3,0)*VLOOKUP('Données projet'!$B$9,Paramètres!$A$1:$I$88,5,0)</f>
        <v>90.070685714285702</v>
      </c>
      <c r="P40" s="14">
        <f t="shared" si="33"/>
        <v>24.582271907062804</v>
      </c>
      <c r="Q40" s="22">
        <f t="shared" si="53"/>
        <v>199.68723452384862</v>
      </c>
      <c r="R40" s="62">
        <f t="shared" si="0"/>
        <v>493.02056785718196</v>
      </c>
      <c r="S40" s="62">
        <f ca="1">AVERAGE(OFFSET($R$3,0,0,'Données projet'!$E$9+1,1))-AVERAGE(OFFSET($H$3,0,0,'Données projet'!$E$9+1,1))</f>
        <v>286.81278534843665</v>
      </c>
      <c r="T40" s="62">
        <f t="shared" si="34"/>
        <v>199.43308683696642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2.6904761904761907</v>
      </c>
      <c r="AI40" s="14">
        <f>IF('Données projet'!$A$62&gt;35,AI39+AH40-AQ39,IF(A40&lt;'Données projet'!$A$62,$AF$205^A40,IF(A40='Données projet'!$A$62,'Données projet'!$B$62,AI39+AH40-AQ39)))</f>
        <v>99.547619047619037</v>
      </c>
      <c r="AJ40" s="14">
        <f>AI40*VLOOKUP('Données projet'!$B$10,Paramètres!$A$1:$I$88,3,0)*VLOOKUP('Données projet'!$B$10,Paramètres!$A$1:$I$88,5,0)</f>
        <v>100.94128571428573</v>
      </c>
      <c r="AK40" s="14">
        <f t="shared" si="35"/>
        <v>27.186123468374046</v>
      </c>
      <c r="AL40" s="22">
        <f t="shared" si="4"/>
        <v>223.15523765979904</v>
      </c>
      <c r="AM40" s="62">
        <f t="shared" si="5"/>
        <v>516.48857099313238</v>
      </c>
      <c r="AN40" s="62">
        <f ca="1">AVERAGE(OFFSET($AM$3,0,0,'Données projet'!$E$10+1,1))-AVERAGE(OFFSET($H$3,0,0,'Données projet'!$E$10+1,1))</f>
        <v>316.76504852082684</v>
      </c>
      <c r="AO40" s="62">
        <f t="shared" si="36"/>
        <v>218.5520645293999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0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2.6904761904761907</v>
      </c>
      <c r="BD40" s="13">
        <f>IF('Données projet'!$A$88&gt;35,BD39+BC40-BL39,IF(A40&lt;'Données projet'!$A$88,$BA$205^A40,IF(A40='Données projet'!$A$88,'Données projet'!$B$88,BD39+BC40-BL39)))</f>
        <v>99.547619047619037</v>
      </c>
      <c r="BE40" s="14">
        <f>BD40*VLOOKUP('Données projet'!$B$11,Paramètres!$A$1:$I$88,3,0)*VLOOKUP('Données projet'!$B$11,Paramètres!$A$1:$I$88,5,0)</f>
        <v>86.964799999999997</v>
      </c>
      <c r="BF40" s="14">
        <f t="shared" si="37"/>
        <v>23.831752705236912</v>
      </c>
      <c r="BG40" s="22">
        <f t="shared" si="7"/>
        <v>192.97066262828761</v>
      </c>
      <c r="BH40" s="62">
        <f t="shared" si="8"/>
        <v>486.3039959616209</v>
      </c>
      <c r="BI40" s="62">
        <f ca="1">AVERAGE(OFFSET($BH$3,0,0,'Données projet'!$E$11+1,1))-AVERAGE(OFFSET($H$3,0,0,'Données projet'!$E$11+1,1))</f>
        <v>278.24093386944304</v>
      </c>
      <c r="BJ40" s="62">
        <f t="shared" si="38"/>
        <v>193.96102673885611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2.6904761904761907</v>
      </c>
      <c r="BY40" s="13">
        <f>IF('Données projet'!$A$114&gt;35,BY39+BX40-CG39,IF(A40&lt;'Données projet'!$A$114,$BV$205^A40,IF(A40='Données projet'!$A$114,'Données projet'!$B$114,BY39+BX40-CG39)))</f>
        <v>99.547619047619037</v>
      </c>
      <c r="BZ40" s="14">
        <f>BY40*VLOOKUP('Données projet'!$B$12,Paramètres!$A$1:$I$88,3,0)*VLOOKUP('Données projet'!$B$12,Paramètres!$A$1:$I$88,5,0)</f>
        <v>96.282457142857126</v>
      </c>
      <c r="CA40" s="14">
        <f t="shared" si="39"/>
        <v>26.074400974902723</v>
      </c>
      <c r="CB40" s="22">
        <f t="shared" si="10"/>
        <v>213.10486122176508</v>
      </c>
      <c r="CC40" s="62">
        <f t="shared" si="11"/>
        <v>506.43819455509839</v>
      </c>
      <c r="CD40" s="62">
        <f ca="1">AVERAGE(OFFSET($CC$3,0,0,'Données projet'!$E$12+1,1))-AVERAGE(OFFSET($H$3,0,0,'Données projet'!$E$12+1,1))</f>
        <v>303.93739496872121</v>
      </c>
      <c r="CE40" s="62">
        <f t="shared" si="40"/>
        <v>210.36431469568754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0</v>
      </c>
      <c r="CL40" s="23">
        <f>EXP(-LN(2)/25)*CL39+(1-EXP(-LN(2)/25))/(LN(2)/25)*Calculateur!CG40*Calculateur!CI40*VLOOKUP('Données projet'!$B$12,Paramètres!$A$1:$I$88,3,0)*0.475*44/12</f>
        <v>0</v>
      </c>
      <c r="CM40" s="23">
        <f>EXP(-LN(2)/2)*CM39+(1-EXP(-LN(2)/2))/(LN(2)/2)*CG40*CJ40*VLOOKUP('Données projet'!$B$12,Paramètres!$A$1:$I$88,3,0)*0.475*44/12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>
        <f>CT40*VLOOKUP('Données projet'!$B$13,Paramètres!$A$1:$I$88,3,0)*VLOOKUP('Données projet'!$B$13,Paramètres!$A$1:$I$88,5,0)</f>
        <v>0</v>
      </c>
      <c r="CV40" s="14" t="e">
        <f t="shared" si="41"/>
        <v>#NUM!</v>
      </c>
      <c r="CW40" s="22" t="e">
        <f t="shared" si="13"/>
        <v>#NUM!</v>
      </c>
      <c r="CX40" s="62" t="e">
        <f t="shared" si="14"/>
        <v>#NUM!</v>
      </c>
      <c r="CY40" s="62">
        <f ca="1">AVERAGE(OFFSET($CX$3,0,0,'Données projet'!$E$13+1,1))-AVERAGE(OFFSET($H$3,0,0,'Données projet'!$E$13+1,1))</f>
        <v>57.812812891099895</v>
      </c>
      <c r="CZ40" s="62">
        <f t="shared" si="42"/>
        <v>244.79885157604684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projet'!$B$13,Paramètres!$A$1:$I$88,3,0)*0.475*44/12</f>
        <v>33.493617311180394</v>
      </c>
      <c r="DG40" s="23">
        <f>EXP(-LN(2)/25)*DG39+(1-EXP(-LN(2)/25))/(LN(2)/25)*Calculateur!DB40*Calculateur!DD40*VLOOKUP('Données projet'!$B$13,Paramètres!$A$1:$I$88,3,0)*0.475*44/12</f>
        <v>0</v>
      </c>
      <c r="DH40" s="23">
        <f>EXP(-LN(2)/2)*DH39+(1-EXP(-LN(2)/2))/(LN(2)/2)*DB40*DE40*VLOOKUP('Données projet'!$B$13,Paramètres!$A$1:$I$88,3,0)*0.475*44/12</f>
        <v>3.545603887282707E-2</v>
      </c>
      <c r="DI40" s="24">
        <f t="shared" si="15"/>
        <v>33.529073350053224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2.6904761904761907</v>
      </c>
      <c r="N41" s="14">
        <f>IF('Données projet'!$A$36&gt;35,N40+M41-V40,IF(A41&lt;'Données projet'!$A$36,$K$205^A41,IF(A41='Données projet'!$A$36,'Données projet'!$B$36,N40+M41-V40)))</f>
        <v>102.23809523809523</v>
      </c>
      <c r="O41" s="14">
        <f>N41*VLOOKUP('Données projet'!$B$9,Paramètres!$A$1:$I$88,3,0)*VLOOKUP('Données projet'!$B$9,Paramètres!$A$1:$I$88,5,0)</f>
        <v>92.505028571428554</v>
      </c>
      <c r="P41" s="14">
        <f t="shared" si="33"/>
        <v>25.168408876702141</v>
      </c>
      <c r="Q41" s="22">
        <f t="shared" si="53"/>
        <v>204.94790355549432</v>
      </c>
      <c r="R41" s="62">
        <f t="shared" si="0"/>
        <v>498.28123688882761</v>
      </c>
      <c r="S41" s="62">
        <f ca="1">AVERAGE(OFFSET($R$3,0,0,'Données projet'!$E$9+1,1))-AVERAGE(OFFSET($H$3,0,0,'Données projet'!$E$9+1,1))</f>
        <v>286.81278534843665</v>
      </c>
      <c r="T41" s="62">
        <f t="shared" si="34"/>
        <v>199.43308683696642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2.6904761904761907</v>
      </c>
      <c r="AI41" s="14">
        <f>IF('Données projet'!$A$62&gt;35,AI40+AH41-AQ40,IF(A41&lt;'Données projet'!$A$62,$AF$205^A41,IF(A41='Données projet'!$A$62,'Données projet'!$B$62,AI40+AH41-AQ40)))</f>
        <v>102.23809523809523</v>
      </c>
      <c r="AJ41" s="14">
        <f>AI41*VLOOKUP('Données projet'!$B$10,Paramètres!$A$1:$I$88,3,0)*VLOOKUP('Données projet'!$B$10,Paramètres!$A$1:$I$88,5,0)</f>
        <v>103.66942857142855</v>
      </c>
      <c r="AK41" s="14">
        <f t="shared" si="35"/>
        <v>27.834346386346731</v>
      </c>
      <c r="AL41" s="22">
        <f t="shared" si="4"/>
        <v>229.03574138479192</v>
      </c>
      <c r="AM41" s="62">
        <f t="shared" si="5"/>
        <v>522.36907471812526</v>
      </c>
      <c r="AN41" s="62">
        <f ca="1">AVERAGE(OFFSET($AM$3,0,0,'Données projet'!$E$10+1,1))-AVERAGE(OFFSET($H$3,0,0,'Données projet'!$E$10+1,1))</f>
        <v>316.76504852082684</v>
      </c>
      <c r="AO41" s="62">
        <f t="shared" si="36"/>
        <v>218.5520645293999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0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2.6904761904761907</v>
      </c>
      <c r="BD41" s="13">
        <f>IF('Données projet'!$A$88&gt;35,BD40+BC41-BL40,IF(A41&lt;'Données projet'!$A$88,$BA$205^A41,IF(A41='Données projet'!$A$88,'Données projet'!$B$88,BD40+BC41-BL40)))</f>
        <v>102.23809523809523</v>
      </c>
      <c r="BE41" s="14">
        <f>BD41*VLOOKUP('Données projet'!$B$11,Paramètres!$A$1:$I$88,3,0)*VLOOKUP('Données projet'!$B$11,Paramètres!$A$1:$I$88,5,0)</f>
        <v>89.315200000000004</v>
      </c>
      <c r="BF41" s="14">
        <f t="shared" si="37"/>
        <v>24.399994378124305</v>
      </c>
      <c r="BG41" s="22">
        <f t="shared" si="7"/>
        <v>198.05396354189983</v>
      </c>
      <c r="BH41" s="62">
        <f t="shared" si="8"/>
        <v>491.38729687523312</v>
      </c>
      <c r="BI41" s="62">
        <f ca="1">AVERAGE(OFFSET($BH$3,0,0,'Données projet'!$E$11+1,1))-AVERAGE(OFFSET($H$3,0,0,'Données projet'!$E$11+1,1))</f>
        <v>278.24093386944304</v>
      </c>
      <c r="BJ41" s="62">
        <f t="shared" si="38"/>
        <v>193.96102673885611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2.6904761904761907</v>
      </c>
      <c r="BY41" s="13">
        <f>IF('Données projet'!$A$114&gt;35,BY40+BX41-CG40,IF(A41&lt;'Données projet'!$A$114,$BV$205^A41,IF(A41='Données projet'!$A$114,'Données projet'!$B$114,BY40+BX41-CG40)))</f>
        <v>102.23809523809523</v>
      </c>
      <c r="BZ41" s="14">
        <f>BY41*VLOOKUP('Données projet'!$B$12,Paramètres!$A$1:$I$88,3,0)*VLOOKUP('Données projet'!$B$12,Paramètres!$A$1:$I$88,5,0)</f>
        <v>98.884685714285709</v>
      </c>
      <c r="CA41" s="14">
        <f t="shared" si="39"/>
        <v>26.696116104829319</v>
      </c>
      <c r="CB41" s="22">
        <f t="shared" si="10"/>
        <v>218.7198965016253</v>
      </c>
      <c r="CC41" s="62">
        <f t="shared" si="11"/>
        <v>512.05322983495864</v>
      </c>
      <c r="CD41" s="62">
        <f ca="1">AVERAGE(OFFSET($CC$3,0,0,'Données projet'!$E$12+1,1))-AVERAGE(OFFSET($H$3,0,0,'Données projet'!$E$12+1,1))</f>
        <v>303.93739496872121</v>
      </c>
      <c r="CE41" s="62">
        <f t="shared" si="40"/>
        <v>210.36431469568754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0</v>
      </c>
      <c r="CL41" s="23">
        <f>EXP(-LN(2)/25)*CL40+(1-EXP(-LN(2)/25))/(LN(2)/25)*Calculateur!CG41*Calculateur!CI41*VLOOKUP('Données projet'!$B$12,Paramètres!$A$1:$I$88,3,0)*0.475*44/12</f>
        <v>0</v>
      </c>
      <c r="CM41" s="23">
        <f>EXP(-LN(2)/2)*CM40+(1-EXP(-LN(2)/2))/(LN(2)/2)*CG41*CJ41*VLOOKUP('Données projet'!$B$12,Paramètres!$A$1:$I$88,3,0)*0.475*44/12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>
        <f>CT41*VLOOKUP('Données projet'!$B$13,Paramètres!$A$1:$I$88,3,0)*VLOOKUP('Données projet'!$B$13,Paramètres!$A$1:$I$88,5,0)</f>
        <v>0</v>
      </c>
      <c r="CV41" s="14" t="e">
        <f t="shared" si="41"/>
        <v>#NUM!</v>
      </c>
      <c r="CW41" s="22" t="e">
        <f t="shared" si="13"/>
        <v>#NUM!</v>
      </c>
      <c r="CX41" s="62" t="e">
        <f t="shared" si="14"/>
        <v>#NUM!</v>
      </c>
      <c r="CY41" s="62">
        <f ca="1">AVERAGE(OFFSET($CX$3,0,0,'Données projet'!$E$13+1,1))-AVERAGE(OFFSET($H$3,0,0,'Données projet'!$E$13+1,1))</f>
        <v>57.812812891099895</v>
      </c>
      <c r="CZ41" s="62">
        <f t="shared" si="42"/>
        <v>244.79885157604684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projet'!$B$13,Paramètres!$A$1:$I$88,3,0)*0.475*44/12</f>
        <v>32.836827904797502</v>
      </c>
      <c r="DG41" s="23">
        <f>EXP(-LN(2)/25)*DG40+(1-EXP(-LN(2)/25))/(LN(2)/25)*Calculateur!DB41*Calculateur!DD41*VLOOKUP('Données projet'!$B$13,Paramètres!$A$1:$I$88,3,0)*0.475*44/12</f>
        <v>0</v>
      </c>
      <c r="DH41" s="23">
        <f>EXP(-LN(2)/2)*DH40+(1-EXP(-LN(2)/2))/(LN(2)/2)*DB41*DE41*VLOOKUP('Données projet'!$B$13,Paramètres!$A$1:$I$88,3,0)*0.475*44/12</f>
        <v>2.5071205520989855E-2</v>
      </c>
      <c r="DI41" s="24">
        <f t="shared" si="15"/>
        <v>32.86189911031849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2.6904761904761907</v>
      </c>
      <c r="N42" s="14">
        <f>IF('Données projet'!$A$36&gt;35,N41+M42-V41,IF(A42&lt;'Données projet'!$A$36,$K$205^A42,IF(A42='Données projet'!$A$36,'Données projet'!$B$36,N41+M42-V41)))</f>
        <v>104.92857142857142</v>
      </c>
      <c r="O42" s="14">
        <f>N42*VLOOKUP('Données projet'!$B$9,Paramètres!$A$1:$I$88,3,0)*VLOOKUP('Données projet'!$B$9,Paramètres!$A$1:$I$88,5,0)</f>
        <v>94.939371428571405</v>
      </c>
      <c r="P42" s="14">
        <f t="shared" si="33"/>
        <v>25.752752944610702</v>
      </c>
      <c r="Q42" s="22">
        <f t="shared" si="53"/>
        <v>210.20544994995885</v>
      </c>
      <c r="R42" s="62">
        <f t="shared" si="0"/>
        <v>503.53878328329216</v>
      </c>
      <c r="S42" s="62">
        <f ca="1">AVERAGE(OFFSET($R$3,0,0,'Données projet'!$E$9+1,1))-AVERAGE(OFFSET($H$3,0,0,'Données projet'!$E$9+1,1))</f>
        <v>286.81278534843665</v>
      </c>
      <c r="T42" s="62">
        <f t="shared" si="34"/>
        <v>199.43308683696642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2.6904761904761907</v>
      </c>
      <c r="AI42" s="14">
        <f>IF('Données projet'!$A$62&gt;35,AI41+AH42-AQ41,IF(A42&lt;'Données projet'!$A$62,$AF$205^A42,IF(A42='Données projet'!$A$62,'Données projet'!$B$62,AI41+AH42-AQ41)))</f>
        <v>104.92857142857142</v>
      </c>
      <c r="AJ42" s="14">
        <f>AI42*VLOOKUP('Données projet'!$B$10,Paramètres!$A$1:$I$88,3,0)*VLOOKUP('Données projet'!$B$10,Paramètres!$A$1:$I$88,5,0)</f>
        <v>106.39757142857142</v>
      </c>
      <c r="AK42" s="14">
        <f t="shared" si="35"/>
        <v>28.480586491339245</v>
      </c>
      <c r="AL42" s="22">
        <f t="shared" si="4"/>
        <v>234.9127917105111</v>
      </c>
      <c r="AM42" s="62">
        <f t="shared" si="5"/>
        <v>528.24612504384436</v>
      </c>
      <c r="AN42" s="62">
        <f ca="1">AVERAGE(OFFSET($AM$3,0,0,'Données projet'!$E$10+1,1))-AVERAGE(OFFSET($H$3,0,0,'Données projet'!$E$10+1,1))</f>
        <v>316.76504852082684</v>
      </c>
      <c r="AO42" s="62">
        <f t="shared" si="36"/>
        <v>218.5520645293999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0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2.6904761904761907</v>
      </c>
      <c r="BD42" s="13">
        <f>IF('Données projet'!$A$88&gt;35,BD41+BC42-BL41,IF(A42&lt;'Données projet'!$A$88,$BA$205^A42,IF(A42='Données projet'!$A$88,'Données projet'!$B$88,BD41+BC42-BL41)))</f>
        <v>104.92857142857142</v>
      </c>
      <c r="BE42" s="14">
        <f>BD42*VLOOKUP('Données projet'!$B$11,Paramètres!$A$1:$I$88,3,0)*VLOOKUP('Données projet'!$B$11,Paramètres!$A$1:$I$88,5,0)</f>
        <v>91.665599999999998</v>
      </c>
      <c r="BF42" s="14">
        <f t="shared" si="37"/>
        <v>24.966497888207439</v>
      </c>
      <c r="BG42" s="22">
        <f t="shared" si="7"/>
        <v>203.13423715529461</v>
      </c>
      <c r="BH42" s="62">
        <f t="shared" si="8"/>
        <v>496.46757048862793</v>
      </c>
      <c r="BI42" s="62">
        <f ca="1">AVERAGE(OFFSET($BH$3,0,0,'Données projet'!$E$11+1,1))-AVERAGE(OFFSET($H$3,0,0,'Données projet'!$E$11+1,1))</f>
        <v>278.24093386944304</v>
      </c>
      <c r="BJ42" s="62">
        <f t="shared" si="38"/>
        <v>193.96102673885611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2.6904761904761907</v>
      </c>
      <c r="BY42" s="13">
        <f>IF('Données projet'!$A$114&gt;35,BY41+BX42-CG41,IF(A42&lt;'Données projet'!$A$114,$BV$205^A42,IF(A42='Données projet'!$A$114,'Données projet'!$B$114,BY41+BX42-CG41)))</f>
        <v>104.92857142857142</v>
      </c>
      <c r="BZ42" s="14">
        <f>BY42*VLOOKUP('Données projet'!$B$12,Paramètres!$A$1:$I$88,3,0)*VLOOKUP('Données projet'!$B$12,Paramètres!$A$1:$I$88,5,0)</f>
        <v>101.48691428571426</v>
      </c>
      <c r="CA42" s="14">
        <f t="shared" si="39"/>
        <v>27.31592950497221</v>
      </c>
      <c r="CB42" s="22">
        <f t="shared" si="10"/>
        <v>224.33161960211226</v>
      </c>
      <c r="CC42" s="62">
        <f t="shared" si="11"/>
        <v>517.66495293544563</v>
      </c>
      <c r="CD42" s="62">
        <f ca="1">AVERAGE(OFFSET($CC$3,0,0,'Données projet'!$E$12+1,1))-AVERAGE(OFFSET($H$3,0,0,'Données projet'!$E$12+1,1))</f>
        <v>303.93739496872121</v>
      </c>
      <c r="CE42" s="62">
        <f t="shared" si="40"/>
        <v>210.36431469568754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0</v>
      </c>
      <c r="CL42" s="23">
        <f>EXP(-LN(2)/25)*CL41+(1-EXP(-LN(2)/25))/(LN(2)/25)*Calculateur!CG42*Calculateur!CI42*VLOOKUP('Données projet'!$B$12,Paramètres!$A$1:$I$88,3,0)*0.475*44/12</f>
        <v>0</v>
      </c>
      <c r="CM42" s="23">
        <f>EXP(-LN(2)/2)*CM41+(1-EXP(-LN(2)/2))/(LN(2)/2)*CG42*CJ42*VLOOKUP('Données projet'!$B$12,Paramètres!$A$1:$I$88,3,0)*0.475*44/12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>
        <f>CT42*VLOOKUP('Données projet'!$B$13,Paramètres!$A$1:$I$88,3,0)*VLOOKUP('Données projet'!$B$13,Paramètres!$A$1:$I$88,5,0)</f>
        <v>0</v>
      </c>
      <c r="CV42" s="14" t="e">
        <f t="shared" si="41"/>
        <v>#NUM!</v>
      </c>
      <c r="CW42" s="22" t="e">
        <f t="shared" si="13"/>
        <v>#NUM!</v>
      </c>
      <c r="CX42" s="62" t="e">
        <f t="shared" si="14"/>
        <v>#NUM!</v>
      </c>
      <c r="CY42" s="62">
        <f ca="1">AVERAGE(OFFSET($CX$3,0,0,'Données projet'!$E$13+1,1))-AVERAGE(OFFSET($H$3,0,0,'Données projet'!$E$13+1,1))</f>
        <v>57.812812891099895</v>
      </c>
      <c r="CZ42" s="62">
        <f t="shared" si="42"/>
        <v>244.79885157604684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projet'!$B$13,Paramètres!$A$1:$I$88,3,0)*0.475*44/12</f>
        <v>32.192917738071799</v>
      </c>
      <c r="DG42" s="23">
        <f>EXP(-LN(2)/25)*DG41+(1-EXP(-LN(2)/25))/(LN(2)/25)*Calculateur!DB42*Calculateur!DD42*VLOOKUP('Données projet'!$B$13,Paramètres!$A$1:$I$88,3,0)*0.475*44/12</f>
        <v>0</v>
      </c>
      <c r="DH42" s="23">
        <f>EXP(-LN(2)/2)*DH41+(1-EXP(-LN(2)/2))/(LN(2)/2)*DB42*DE42*VLOOKUP('Données projet'!$B$13,Paramètres!$A$1:$I$88,3,0)*0.475*44/12</f>
        <v>1.7728019436413535E-2</v>
      </c>
      <c r="DI42" s="24">
        <f t="shared" si="15"/>
        <v>32.21064575750821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2.6904761904761907</v>
      </c>
      <c r="N43" s="14">
        <f>IF('Données projet'!$A$36&gt;35,N42+M43-V42,IF(A43&lt;'Données projet'!$A$36,$K$205^A43,IF(A43='Données projet'!$A$36,'Données projet'!$B$36,N42+M43-V42)))</f>
        <v>107.61904761904761</v>
      </c>
      <c r="O43" s="14">
        <f>N43*VLOOKUP('Données projet'!$B$9,Paramètres!$A$1:$I$88,3,0)*VLOOKUP('Données projet'!$B$9,Paramètres!$A$1:$I$88,5,0)</f>
        <v>97.373714285714271</v>
      </c>
      <c r="P43" s="14">
        <f t="shared" si="33"/>
        <v>26.335355368602432</v>
      </c>
      <c r="Q43" s="22">
        <f t="shared" si="53"/>
        <v>215.45996298126826</v>
      </c>
      <c r="R43" s="62">
        <f t="shared" si="0"/>
        <v>508.79329631460155</v>
      </c>
      <c r="S43" s="62">
        <f ca="1">AVERAGE(OFFSET($R$3,0,0,'Données projet'!$E$9+1,1))-AVERAGE(OFFSET($H$3,0,0,'Données projet'!$E$9+1,1))</f>
        <v>286.81278534843665</v>
      </c>
      <c r="T43" s="62">
        <f t="shared" si="34"/>
        <v>199.43308683696642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2.6904761904761907</v>
      </c>
      <c r="AI43" s="14">
        <f>IF('Données projet'!$A$62&gt;35,AI42+AH43-AQ42,IF(A43&lt;'Données projet'!$A$62,$AF$205^A43,IF(A43='Données projet'!$A$62,'Données projet'!$B$62,AI42+AH43-AQ42)))</f>
        <v>107.61904761904761</v>
      </c>
      <c r="AJ43" s="14">
        <f>AI43*VLOOKUP('Données projet'!$B$10,Paramètres!$A$1:$I$88,3,0)*VLOOKUP('Données projet'!$B$10,Paramètres!$A$1:$I$88,5,0)</f>
        <v>109.12571428571428</v>
      </c>
      <c r="AK43" s="14">
        <f t="shared" si="35"/>
        <v>29.124900470596057</v>
      </c>
      <c r="AL43" s="22">
        <f t="shared" si="4"/>
        <v>240.78648736724048</v>
      </c>
      <c r="AM43" s="62">
        <f t="shared" si="5"/>
        <v>534.11982070057377</v>
      </c>
      <c r="AN43" s="62">
        <f ca="1">AVERAGE(OFFSET($AM$3,0,0,'Données projet'!$E$10+1,1))-AVERAGE(OFFSET($H$3,0,0,'Données projet'!$E$10+1,1))</f>
        <v>316.76504852082684</v>
      </c>
      <c r="AO43" s="62">
        <f t="shared" si="36"/>
        <v>218.5520645293999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0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2.6904761904761907</v>
      </c>
      <c r="BD43" s="13">
        <f>IF('Données projet'!$A$88&gt;35,BD42+BC43-BL42,IF(A43&lt;'Données projet'!$A$88,$BA$205^A43,IF(A43='Données projet'!$A$88,'Données projet'!$B$88,BD42+BC43-BL42)))</f>
        <v>107.61904761904761</v>
      </c>
      <c r="BE43" s="14">
        <f>BD43*VLOOKUP('Données projet'!$B$11,Paramètres!$A$1:$I$88,3,0)*VLOOKUP('Données projet'!$B$11,Paramètres!$A$1:$I$88,5,0)</f>
        <v>94.016000000000005</v>
      </c>
      <c r="BF43" s="14">
        <f t="shared" si="37"/>
        <v>25.531312928352396</v>
      </c>
      <c r="BG43" s="22">
        <f t="shared" si="7"/>
        <v>208.21157001688042</v>
      </c>
      <c r="BH43" s="62">
        <f t="shared" si="8"/>
        <v>501.54490335021376</v>
      </c>
      <c r="BI43" s="62">
        <f ca="1">AVERAGE(OFFSET($BH$3,0,0,'Données projet'!$E$11+1,1))-AVERAGE(OFFSET($H$3,0,0,'Données projet'!$E$11+1,1))</f>
        <v>278.24093386944304</v>
      </c>
      <c r="BJ43" s="62">
        <f t="shared" si="38"/>
        <v>193.96102673885611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0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2.6904761904761907</v>
      </c>
      <c r="BY43" s="13">
        <f>IF('Données projet'!$A$114&gt;35,BY42+BX43-CG42,IF(A43&lt;'Données projet'!$A$114,$BV$205^A43,IF(A43='Données projet'!$A$114,'Données projet'!$B$114,BY42+BX43-CG42)))</f>
        <v>107.61904761904761</v>
      </c>
      <c r="BZ43" s="14">
        <f>BY43*VLOOKUP('Données projet'!$B$12,Paramètres!$A$1:$I$88,3,0)*VLOOKUP('Données projet'!$B$12,Paramètres!$A$1:$I$88,5,0)</f>
        <v>104.08914285714286</v>
      </c>
      <c r="CA43" s="14">
        <f t="shared" si="39"/>
        <v>27.933895544463702</v>
      </c>
      <c r="CB43" s="22">
        <f t="shared" si="10"/>
        <v>229.94012521613138</v>
      </c>
      <c r="CC43" s="62">
        <f t="shared" si="11"/>
        <v>523.27345854946475</v>
      </c>
      <c r="CD43" s="62">
        <f ca="1">AVERAGE(OFFSET($CC$3,0,0,'Données projet'!$E$12+1,1))-AVERAGE(OFFSET($H$3,0,0,'Données projet'!$E$12+1,1))</f>
        <v>303.93739496872121</v>
      </c>
      <c r="CE43" s="62">
        <f t="shared" si="40"/>
        <v>210.36431469568754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projet'!$B$12,Paramètres!$A$1:$I$88,3,0)*0.475*44/12</f>
        <v>0</v>
      </c>
      <c r="CL43" s="23">
        <f>EXP(-LN(2)/25)*CL42+(1-EXP(-LN(2)/25))/(LN(2)/25)*Calculateur!CG43*Calculateur!CI43*VLOOKUP('Données projet'!$B$12,Paramètres!$A$1:$I$88,3,0)*0.475*44/12</f>
        <v>0</v>
      </c>
      <c r="CM43" s="23">
        <f>EXP(-LN(2)/2)*CM42+(1-EXP(-LN(2)/2))/(LN(2)/2)*CG43*CJ43*VLOOKUP('Données projet'!$B$12,Paramètres!$A$1:$I$88,3,0)*0.475*44/12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>
        <f>CT43*VLOOKUP('Données projet'!$B$13,Paramètres!$A$1:$I$88,3,0)*VLOOKUP('Données projet'!$B$13,Paramètres!$A$1:$I$88,5,0)</f>
        <v>0</v>
      </c>
      <c r="CV43" s="14" t="e">
        <f t="shared" si="41"/>
        <v>#NUM!</v>
      </c>
      <c r="CW43" s="22" t="e">
        <f t="shared" si="13"/>
        <v>#NUM!</v>
      </c>
      <c r="CX43" s="62" t="e">
        <f t="shared" si="14"/>
        <v>#NUM!</v>
      </c>
      <c r="CY43" s="62">
        <f ca="1">AVERAGE(OFFSET($CX$3,0,0,'Données projet'!$E$13+1,1))-AVERAGE(OFFSET($H$3,0,0,'Données projet'!$E$13+1,1))</f>
        <v>57.812812891099895</v>
      </c>
      <c r="CZ43" s="62">
        <f t="shared" si="42"/>
        <v>244.79885157604684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projet'!$B$13,Paramètres!$A$1:$I$88,3,0)*0.475*44/12</f>
        <v>31.561634256969164</v>
      </c>
      <c r="DG43" s="23">
        <f>EXP(-LN(2)/25)*DG42+(1-EXP(-LN(2)/25))/(LN(2)/25)*Calculateur!DB43*Calculateur!DD43*VLOOKUP('Données projet'!$B$13,Paramètres!$A$1:$I$88,3,0)*0.475*44/12</f>
        <v>0</v>
      </c>
      <c r="DH43" s="23">
        <f>EXP(-LN(2)/2)*DH42+(1-EXP(-LN(2)/2))/(LN(2)/2)*DB43*DE43*VLOOKUP('Données projet'!$B$13,Paramètres!$A$1:$I$88,3,0)*0.475*44/12</f>
        <v>1.2535602760494927E-2</v>
      </c>
      <c r="DI43" s="24">
        <f t="shared" si="15"/>
        <v>31.574169859729658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2.6904761904761907</v>
      </c>
      <c r="N44" s="14">
        <f>IF('Données projet'!$A$36&gt;35,N43+M44-V43,IF(A44&lt;'Données projet'!$A$36,$K$205^A44,IF(A44='Données projet'!$A$36,'Données projet'!$B$36,N43+M44-V43)))</f>
        <v>110.3095238095238</v>
      </c>
      <c r="O44" s="14">
        <f>N44*VLOOKUP('Données projet'!$B$9,Paramètres!$A$1:$I$88,3,0)*VLOOKUP('Données projet'!$B$9,Paramètres!$A$1:$I$88,5,0)</f>
        <v>99.808057142857123</v>
      </c>
      <c r="P44" s="14">
        <f t="shared" si="33"/>
        <v>26.916264697531815</v>
      </c>
      <c r="Q44" s="22">
        <f t="shared" si="53"/>
        <v>220.71152720534405</v>
      </c>
      <c r="R44" s="62">
        <f t="shared" si="0"/>
        <v>514.04486053867731</v>
      </c>
      <c r="S44" s="62">
        <f ca="1">AVERAGE(OFFSET($R$3,0,0,'Données projet'!$E$9+1,1))-AVERAGE(OFFSET($H$3,0,0,'Données projet'!$E$9+1,1))</f>
        <v>286.81278534843665</v>
      </c>
      <c r="T44" s="62">
        <f t="shared" si="34"/>
        <v>199.43308683696642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2.6904761904761907</v>
      </c>
      <c r="AI44" s="14">
        <f>IF('Données projet'!$A$62&gt;35,AI43+AH44-AQ43,IF(A44&lt;'Données projet'!$A$62,$AF$205^A44,IF(A44='Données projet'!$A$62,'Données projet'!$B$62,AI43+AH44-AQ43)))</f>
        <v>110.3095238095238</v>
      </c>
      <c r="AJ44" s="14">
        <f>AI44*VLOOKUP('Données projet'!$B$10,Paramètres!$A$1:$I$88,3,0)*VLOOKUP('Données projet'!$B$10,Paramètres!$A$1:$I$88,5,0)</f>
        <v>111.85385714285715</v>
      </c>
      <c r="AK44" s="14">
        <f t="shared" si="35"/>
        <v>29.767342015458599</v>
      </c>
      <c r="AL44" s="22">
        <f t="shared" si="4"/>
        <v>246.65692186739997</v>
      </c>
      <c r="AM44" s="62">
        <f t="shared" si="5"/>
        <v>539.99025520073326</v>
      </c>
      <c r="AN44" s="62">
        <f ca="1">AVERAGE(OFFSET($AM$3,0,0,'Données projet'!$E$10+1,1))-AVERAGE(OFFSET($H$3,0,0,'Données projet'!$E$10+1,1))</f>
        <v>316.76504852082684</v>
      </c>
      <c r="AO44" s="62">
        <f t="shared" si="36"/>
        <v>218.5520645293999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0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2.6904761904761907</v>
      </c>
      <c r="BD44" s="13">
        <f>IF('Données projet'!$A$88&gt;35,BD43+BC44-BL43,IF(A44&lt;'Données projet'!$A$88,$BA$205^A44,IF(A44='Données projet'!$A$88,'Données projet'!$B$88,BD43+BC44-BL43)))</f>
        <v>110.3095238095238</v>
      </c>
      <c r="BE44" s="14">
        <f>BD44*VLOOKUP('Données projet'!$B$11,Paramètres!$A$1:$I$88,3,0)*VLOOKUP('Données projet'!$B$11,Paramètres!$A$1:$I$88,5,0)</f>
        <v>96.366399999999999</v>
      </c>
      <c r="BF44" s="14">
        <f t="shared" si="37"/>
        <v>26.094486565172886</v>
      </c>
      <c r="BG44" s="22">
        <f t="shared" si="7"/>
        <v>213.28604410100945</v>
      </c>
      <c r="BH44" s="62">
        <f t="shared" si="8"/>
        <v>506.61937743434277</v>
      </c>
      <c r="BI44" s="62">
        <f ca="1">AVERAGE(OFFSET($BH$3,0,0,'Données projet'!$E$11+1,1))-AVERAGE(OFFSET($H$3,0,0,'Données projet'!$E$11+1,1))</f>
        <v>278.24093386944304</v>
      </c>
      <c r="BJ44" s="62">
        <f t="shared" si="38"/>
        <v>193.96102673885611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0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2.6904761904761907</v>
      </c>
      <c r="BY44" s="13">
        <f>IF('Données projet'!$A$114&gt;35,BY43+BX44-CG43,IF(A44&lt;'Données projet'!$A$114,$BV$205^A44,IF(A44='Données projet'!$A$114,'Données projet'!$B$114,BY43+BX44-CG43)))</f>
        <v>110.3095238095238</v>
      </c>
      <c r="BZ44" s="14">
        <f>BY44*VLOOKUP('Données projet'!$B$12,Paramètres!$A$1:$I$88,3,0)*VLOOKUP('Données projet'!$B$12,Paramètres!$A$1:$I$88,5,0)</f>
        <v>106.69137142857141</v>
      </c>
      <c r="CA44" s="14">
        <f t="shared" si="39"/>
        <v>28.550065719044454</v>
      </c>
      <c r="CB44" s="22">
        <f t="shared" si="10"/>
        <v>235.54550303209763</v>
      </c>
      <c r="CC44" s="62">
        <f t="shared" si="11"/>
        <v>528.87883636543097</v>
      </c>
      <c r="CD44" s="62">
        <f ca="1">AVERAGE(OFFSET($CC$3,0,0,'Données projet'!$E$12+1,1))-AVERAGE(OFFSET($H$3,0,0,'Données projet'!$E$12+1,1))</f>
        <v>303.93739496872121</v>
      </c>
      <c r="CE44" s="62">
        <f t="shared" si="40"/>
        <v>210.36431469568754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0</v>
      </c>
      <c r="CL44" s="23">
        <f>EXP(-LN(2)/25)*CL43+(1-EXP(-LN(2)/25))/(LN(2)/25)*Calculateur!CG44*Calculateur!CI44*VLOOKUP('Données projet'!$B$12,Paramètres!$A$1:$I$88,3,0)*0.475*44/12</f>
        <v>0</v>
      </c>
      <c r="CM44" s="23">
        <f>EXP(-LN(2)/2)*CM43+(1-EXP(-LN(2)/2))/(LN(2)/2)*CG44*CJ44*VLOOKUP('Données projet'!$B$12,Paramètres!$A$1:$I$88,3,0)*0.475*44/12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>
        <f>CT44*VLOOKUP('Données projet'!$B$13,Paramètres!$A$1:$I$88,3,0)*VLOOKUP('Données projet'!$B$13,Paramètres!$A$1:$I$88,5,0)</f>
        <v>0</v>
      </c>
      <c r="CV44" s="14" t="e">
        <f t="shared" si="41"/>
        <v>#NUM!</v>
      </c>
      <c r="CW44" s="22" t="e">
        <f t="shared" si="13"/>
        <v>#NUM!</v>
      </c>
      <c r="CX44" s="62" t="e">
        <f t="shared" si="14"/>
        <v>#NUM!</v>
      </c>
      <c r="CY44" s="62">
        <f ca="1">AVERAGE(OFFSET($CX$3,0,0,'Données projet'!$E$13+1,1))-AVERAGE(OFFSET($H$3,0,0,'Données projet'!$E$13+1,1))</f>
        <v>57.812812891099895</v>
      </c>
      <c r="CZ44" s="62">
        <f t="shared" si="42"/>
        <v>244.79885157604684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projet'!$B$13,Paramètres!$A$1:$I$88,3,0)*0.475*44/12</f>
        <v>30.942729859886047</v>
      </c>
      <c r="DG44" s="23">
        <f>EXP(-LN(2)/25)*DG43+(1-EXP(-LN(2)/25))/(LN(2)/25)*Calculateur!DB44*Calculateur!DD44*VLOOKUP('Données projet'!$B$13,Paramètres!$A$1:$I$88,3,0)*0.475*44/12</f>
        <v>0</v>
      </c>
      <c r="DH44" s="23">
        <f>EXP(-LN(2)/2)*DH43+(1-EXP(-LN(2)/2))/(LN(2)/2)*DB44*DE44*VLOOKUP('Données projet'!$B$13,Paramètres!$A$1:$I$88,3,0)*0.475*44/12</f>
        <v>8.8640097182067674E-3</v>
      </c>
      <c r="DI44" s="24">
        <f t="shared" si="15"/>
        <v>30.951593869604253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113</v>
      </c>
      <c r="L45" s="13">
        <f>VLOOKUP(A45,'Données projet'!$A$35:$I$55,9,0)</f>
        <v>2.6904761904761907</v>
      </c>
      <c r="M45" s="13">
        <f t="array" ref="M45">INDEX(L:L,MIN(IF(ISNUMBER(L45:L241),ROW(L45:L241),"")))</f>
        <v>2.6904761904761907</v>
      </c>
      <c r="N45" s="14">
        <f>IF('Données projet'!$A$36&gt;35,N44+M45-V44,IF(A45&lt;'Données projet'!$A$36,$K$205^A45,IF(A45='Données projet'!$A$36,'Données projet'!$B$36,N44+M45-V44)))</f>
        <v>112.99999999999999</v>
      </c>
      <c r="O45" s="14">
        <f>N45*VLOOKUP('Données projet'!$B$9,Paramètres!$A$1:$I$88,3,0)*VLOOKUP('Données projet'!$B$9,Paramètres!$A$1:$I$88,5,0)</f>
        <v>102.24239999999999</v>
      </c>
      <c r="P45" s="14">
        <f t="shared" si="33"/>
        <v>27.495526976991481</v>
      </c>
      <c r="Q45" s="22">
        <f t="shared" si="53"/>
        <v>225.96022281826015</v>
      </c>
      <c r="R45" s="62">
        <f t="shared" si="0"/>
        <v>519.29355615159352</v>
      </c>
      <c r="S45" s="62">
        <f ca="1">AVERAGE(OFFSET($R$3,0,0,'Données projet'!$E$9+1,1))-AVERAGE(OFFSET($H$3,0,0,'Données projet'!$E$9+1,1))</f>
        <v>286.81278534843665</v>
      </c>
      <c r="T45" s="62">
        <f t="shared" si="34"/>
        <v>199.43308683696642</v>
      </c>
      <c r="U45" s="16">
        <f>IF(ISNA(VLOOKUP(A45,'Données projet'!$A$35:$I$55,3,0)),0,VLOOKUP(A45,'Données projet'!$A$35:$I$55,3,0))</f>
        <v>1</v>
      </c>
      <c r="V45" s="16">
        <f>IF(ISNA(VLOOKUP(A45,'Données projet'!$A$35:$I$55,4,0)),0,VLOOKUP(A45,'Données projet'!$A$35:$I$55,4,0))</f>
        <v>30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113</v>
      </c>
      <c r="AG45" s="13">
        <f>VLOOKUP(A45,'Données projet'!$A$61:$I$81,9,0)</f>
        <v>2.6904761904761907</v>
      </c>
      <c r="AH45" s="13">
        <f t="array" ref="AH45">INDEX(AG:AG,MIN(IF(ISNUMBER(AG45:AG241),ROW(AG45:AG241),"")))</f>
        <v>2.6904761904761907</v>
      </c>
      <c r="AI45" s="14">
        <f>IF('Données projet'!$A$62&gt;35,AI44+AH45-AQ44,IF(A45&lt;'Données projet'!$A$62,$AF$205^A45,IF(A45='Données projet'!$A$62,'Données projet'!$B$62,AI44+AH45-AQ44)))</f>
        <v>112.99999999999999</v>
      </c>
      <c r="AJ45" s="14">
        <f>AI45*VLOOKUP('Données projet'!$B$10,Paramètres!$A$1:$I$88,3,0)*VLOOKUP('Données projet'!$B$10,Paramètres!$A$1:$I$88,5,0)</f>
        <v>114.58199999999998</v>
      </c>
      <c r="AK45" s="14">
        <f t="shared" si="35"/>
        <v>30.407962048850919</v>
      </c>
      <c r="AL45" s="22">
        <f t="shared" si="4"/>
        <v>252.52418390174861</v>
      </c>
      <c r="AM45" s="62">
        <f t="shared" si="5"/>
        <v>545.8575172350819</v>
      </c>
      <c r="AN45" s="62">
        <f ca="1">AVERAGE(OFFSET($AM$3,0,0,'Données projet'!$E$10+1,1))-AVERAGE(OFFSET($H$3,0,0,'Données projet'!$E$10+1,1))</f>
        <v>316.76504852082684</v>
      </c>
      <c r="AO45" s="62">
        <f t="shared" si="36"/>
        <v>218.5520645293999</v>
      </c>
      <c r="AP45" s="16">
        <f>IF(ISNA(VLOOKUP(A45,'Données projet'!$A$61:$I$81,3,0)),0,VLOOKUP(A45,'Données projet'!$A$61:$I$81,3,0))</f>
        <v>1</v>
      </c>
      <c r="AQ45" s="16">
        <f>IF(ISNA(VLOOKUP(A45,'Données projet'!$A$61:$I$81,4,0)),0,VLOOKUP(A45,'Données projet'!$A$61:$I$81,4,0))</f>
        <v>30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0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113</v>
      </c>
      <c r="BB45" s="13">
        <f>VLOOKUP(A45,'Données projet'!$A$87:$I$107,9,0)</f>
        <v>2.6904761904761907</v>
      </c>
      <c r="BC45" s="13">
        <f t="array" ref="BC45">INDEX(BB:BB,MIN(IF(ISNUMBER(BB45:BB241),ROW(BB45:BB241),"")))</f>
        <v>2.6904761904761907</v>
      </c>
      <c r="BD45" s="13">
        <f>IF('Données projet'!$A$88&gt;35,BD44+BC45-BL44,IF(A45&lt;'Données projet'!$A$88,$BA$205^A45,IF(A45='Données projet'!$A$88,'Données projet'!$B$88,BD44+BC45-BL44)))</f>
        <v>112.99999999999999</v>
      </c>
      <c r="BE45" s="14">
        <f>BD45*VLOOKUP('Données projet'!$B$11,Paramètres!$A$1:$I$88,3,0)*VLOOKUP('Données projet'!$B$11,Paramètres!$A$1:$I$88,5,0)</f>
        <v>98.716800000000006</v>
      </c>
      <c r="BF45" s="14">
        <f t="shared" si="37"/>
        <v>26.656063438447475</v>
      </c>
      <c r="BG45" s="22">
        <f t="shared" si="7"/>
        <v>218.35773715529604</v>
      </c>
      <c r="BH45" s="62">
        <f t="shared" si="8"/>
        <v>511.69107048862935</v>
      </c>
      <c r="BI45" s="62">
        <f ca="1">AVERAGE(OFFSET($BH$3,0,0,'Données projet'!$E$11+1,1))-AVERAGE(OFFSET($H$3,0,0,'Données projet'!$E$11+1,1))</f>
        <v>278.24093386944304</v>
      </c>
      <c r="BJ45" s="62">
        <f t="shared" si="38"/>
        <v>193.96102673885611</v>
      </c>
      <c r="BK45" s="16">
        <f>IF(ISNA(VLOOKUP(A45,'Données projet'!$A$87:$I$107,3,0)),0,VLOOKUP(A45,'Données projet'!$A$87:$I$107,3,0))</f>
        <v>1</v>
      </c>
      <c r="BL45" s="16">
        <f>IF(ISNA(VLOOKUP(A45,'Données projet'!$A$87:$I$107,4,0)),0,VLOOKUP(A45,'Données projet'!$A$87:$I$107,4,0))</f>
        <v>30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0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113</v>
      </c>
      <c r="BW45" s="13">
        <f>VLOOKUP(A45,'Données projet'!$A$113:$I$133,9,0)</f>
        <v>2.6904761904761907</v>
      </c>
      <c r="BX45" s="13">
        <f t="array" ref="BX45">INDEX(BW:BW,MIN(IF(ISNUMBER(BW45:BW241),ROW(BW45:BW241),"")))</f>
        <v>2.6904761904761907</v>
      </c>
      <c r="BY45" s="13">
        <f>IF('Données projet'!$A$114&gt;35,BY44+BX45-CG44,IF(A45&lt;'Données projet'!$A$114,$BV$205^A45,IF(A45='Données projet'!$A$114,'Données projet'!$B$114,BY44+BX45-CG44)))</f>
        <v>112.99999999999999</v>
      </c>
      <c r="BZ45" s="14">
        <f>BY45*VLOOKUP('Données projet'!$B$12,Paramètres!$A$1:$I$88,3,0)*VLOOKUP('Données projet'!$B$12,Paramètres!$A$1:$I$88,5,0)</f>
        <v>109.29359999999998</v>
      </c>
      <c r="CA45" s="14">
        <f t="shared" si="39"/>
        <v>29.164488869246725</v>
      </c>
      <c r="CB45" s="22">
        <f t="shared" si="10"/>
        <v>241.14783811393798</v>
      </c>
      <c r="CC45" s="62">
        <f t="shared" si="11"/>
        <v>534.48117144727132</v>
      </c>
      <c r="CD45" s="62">
        <f ca="1">AVERAGE(OFFSET($CC$3,0,0,'Données projet'!$E$12+1,1))-AVERAGE(OFFSET($H$3,0,0,'Données projet'!$E$12+1,1))</f>
        <v>303.93739496872121</v>
      </c>
      <c r="CE45" s="62">
        <f t="shared" si="40"/>
        <v>210.36431469568754</v>
      </c>
      <c r="CF45" s="16">
        <f>IF(ISNA(VLOOKUP(A45,'Données projet'!$A$113:$I$133,3,0)),0,VLOOKUP(A45,'Données projet'!$A$113:$I$133,3,0))</f>
        <v>1</v>
      </c>
      <c r="CG45" s="16">
        <f>IF(ISNA(VLOOKUP(A45,'Données projet'!$A$113:$I$133,4,0)),0,VLOOKUP(A45,'Données projet'!$A$113:$I$133,4,0))</f>
        <v>30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0</v>
      </c>
      <c r="CL45" s="23">
        <f>EXP(-LN(2)/25)*CL44+(1-EXP(-LN(2)/25))/(LN(2)/25)*Calculateur!CG45*Calculateur!CI45*VLOOKUP('Données projet'!$B$12,Paramètres!$A$1:$I$88,3,0)*0.475*44/12</f>
        <v>0</v>
      </c>
      <c r="CM45" s="23">
        <f>EXP(-LN(2)/2)*CM44+(1-EXP(-LN(2)/2))/(LN(2)/2)*CG45*CJ45*VLOOKUP('Données projet'!$B$12,Paramètres!$A$1:$I$88,3,0)*0.475*44/12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>
        <f>CT45*VLOOKUP('Données projet'!$B$13,Paramètres!$A$1:$I$88,3,0)*VLOOKUP('Données projet'!$B$13,Paramètres!$A$1:$I$88,5,0)</f>
        <v>0</v>
      </c>
      <c r="CV45" s="14" t="e">
        <f t="shared" si="41"/>
        <v>#NUM!</v>
      </c>
      <c r="CW45" s="22" t="e">
        <f t="shared" si="13"/>
        <v>#NUM!</v>
      </c>
      <c r="CX45" s="62" t="e">
        <f t="shared" si="14"/>
        <v>#NUM!</v>
      </c>
      <c r="CY45" s="62">
        <f ca="1">AVERAGE(OFFSET($CX$3,0,0,'Données projet'!$E$13+1,1))-AVERAGE(OFFSET($H$3,0,0,'Données projet'!$E$13+1,1))</f>
        <v>57.812812891099895</v>
      </c>
      <c r="CZ45" s="62">
        <f t="shared" si="42"/>
        <v>244.79885157604684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projet'!$B$13,Paramètres!$A$1:$I$88,3,0)*0.475*44/12</f>
        <v>30.335961800535323</v>
      </c>
      <c r="DG45" s="23">
        <f>EXP(-LN(2)/25)*DG44+(1-EXP(-LN(2)/25))/(LN(2)/25)*Calculateur!DB45*Calculateur!DD45*VLOOKUP('Données projet'!$B$13,Paramètres!$A$1:$I$88,3,0)*0.475*44/12</f>
        <v>0</v>
      </c>
      <c r="DH45" s="23">
        <f>EXP(-LN(2)/2)*DH44+(1-EXP(-LN(2)/2))/(LN(2)/2)*DB45*DE45*VLOOKUP('Données projet'!$B$13,Paramètres!$A$1:$I$88,3,0)*0.475*44/12</f>
        <v>6.2678013802474637E-3</v>
      </c>
      <c r="DI45" s="24">
        <f t="shared" si="15"/>
        <v>30.34222960191557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6.166666666666667</v>
      </c>
      <c r="N46" s="14">
        <f>IF('Données projet'!$A$36&gt;35,N45+M46-V45,IF(A46&lt;'Données projet'!$A$36,$K$205^A46,IF(A46='Données projet'!$A$36,'Données projet'!$B$36,N45+M46-V45)))</f>
        <v>89.166666666666657</v>
      </c>
      <c r="O46" s="14">
        <f>N46*VLOOKUP('Données projet'!$B$9,Paramètres!$A$1:$I$88,3,0)*VLOOKUP('Données projet'!$B$9,Paramètres!$A$1:$I$88,5,0)</f>
        <v>80.677999999999983</v>
      </c>
      <c r="P46" s="14">
        <f t="shared" si="33"/>
        <v>22.302877142655586</v>
      </c>
      <c r="Q46" s="22">
        <f t="shared" si="53"/>
        <v>179.35836102345846</v>
      </c>
      <c r="R46" s="62">
        <f t="shared" si="0"/>
        <v>472.6916943567918</v>
      </c>
      <c r="S46" s="62">
        <f ca="1">AVERAGE(OFFSET($R$3,0,0,'Données projet'!$E$9+1,1))-AVERAGE(OFFSET($H$3,0,0,'Données projet'!$E$9+1,1))</f>
        <v>286.81278534843665</v>
      </c>
      <c r="T46" s="62">
        <f t="shared" si="34"/>
        <v>199.43308683696642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6.166666666666667</v>
      </c>
      <c r="AI46" s="14">
        <f>IF('Données projet'!$A$62&gt;35,AI45+AH46-AQ45,IF(A46&lt;'Données projet'!$A$62,$AF$205^A46,IF(A46='Données projet'!$A$62,'Données projet'!$B$62,AI45+AH46-AQ45)))</f>
        <v>89.166666666666657</v>
      </c>
      <c r="AJ46" s="14">
        <f>AI46*VLOOKUP('Données projet'!$B$10,Paramètres!$A$1:$I$88,3,0)*VLOOKUP('Données projet'!$B$10,Paramètres!$A$1:$I$88,5,0)</f>
        <v>90.414999999999992</v>
      </c>
      <c r="AK46" s="14">
        <f t="shared" si="35"/>
        <v>24.665286186424698</v>
      </c>
      <c r="AL46" s="22">
        <f t="shared" si="4"/>
        <v>200.43149844135633</v>
      </c>
      <c r="AM46" s="62">
        <f t="shared" si="5"/>
        <v>493.76483177468964</v>
      </c>
      <c r="AN46" s="62">
        <f ca="1">AVERAGE(OFFSET($AM$3,0,0,'Données projet'!$E$10+1,1))-AVERAGE(OFFSET($H$3,0,0,'Données projet'!$E$10+1,1))</f>
        <v>316.76504852082684</v>
      </c>
      <c r="AO46" s="62">
        <f t="shared" si="36"/>
        <v>218.5520645293999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0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6.166666666666667</v>
      </c>
      <c r="BD46" s="13">
        <f>IF('Données projet'!$A$88&gt;35,BD45+BC46-BL45,IF(A46&lt;'Données projet'!$A$88,$BA$205^A46,IF(A46='Données projet'!$A$88,'Données projet'!$B$88,BD45+BC46-BL45)))</f>
        <v>89.166666666666657</v>
      </c>
      <c r="BE46" s="14">
        <f>BD46*VLOOKUP('Données projet'!$B$11,Paramètres!$A$1:$I$88,3,0)*VLOOKUP('Données projet'!$B$11,Paramètres!$A$1:$I$88,5,0)</f>
        <v>77.896000000000001</v>
      </c>
      <c r="BF46" s="14">
        <f t="shared" si="37"/>
        <v>21.621949943785989</v>
      </c>
      <c r="BG46" s="22">
        <f t="shared" si="7"/>
        <v>173.3270961520939</v>
      </c>
      <c r="BH46" s="62">
        <f t="shared" si="8"/>
        <v>466.66042948542724</v>
      </c>
      <c r="BI46" s="62">
        <f ca="1">AVERAGE(OFFSET($BH$3,0,0,'Données projet'!$E$11+1,1))-AVERAGE(OFFSET($H$3,0,0,'Données projet'!$E$11+1,1))</f>
        <v>278.24093386944304</v>
      </c>
      <c r="BJ46" s="62">
        <f t="shared" si="38"/>
        <v>193.96102673885611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0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6.166666666666667</v>
      </c>
      <c r="BY46" s="13">
        <f>IF('Données projet'!$A$114&gt;35,BY45+BX46-CG45,IF(A46&lt;'Données projet'!$A$114,$BV$205^A46,IF(A46='Données projet'!$A$114,'Données projet'!$B$114,BY45+BX46-CG45)))</f>
        <v>89.166666666666657</v>
      </c>
      <c r="BZ46" s="14">
        <f>BY46*VLOOKUP('Données projet'!$B$12,Paramètres!$A$1:$I$88,3,0)*VLOOKUP('Données projet'!$B$12,Paramètres!$A$1:$I$88,5,0)</f>
        <v>86.24199999999999</v>
      </c>
      <c r="CA46" s="14">
        <f t="shared" si="39"/>
        <v>23.656648324051424</v>
      </c>
      <c r="CB46" s="22">
        <f t="shared" si="10"/>
        <v>191.40681249772285</v>
      </c>
      <c r="CC46" s="62">
        <f t="shared" si="11"/>
        <v>484.74014583105617</v>
      </c>
      <c r="CD46" s="62">
        <f ca="1">AVERAGE(OFFSET($CC$3,0,0,'Données projet'!$E$12+1,1))-AVERAGE(OFFSET($H$3,0,0,'Données projet'!$E$12+1,1))</f>
        <v>303.93739496872121</v>
      </c>
      <c r="CE46" s="62">
        <f t="shared" si="40"/>
        <v>210.36431469568754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0</v>
      </c>
      <c r="CL46" s="23">
        <f>EXP(-LN(2)/25)*CL45+(1-EXP(-LN(2)/25))/(LN(2)/25)*Calculateur!CG46*Calculateur!CI46*VLOOKUP('Données projet'!$B$12,Paramètres!$A$1:$I$88,3,0)*0.475*44/12</f>
        <v>0</v>
      </c>
      <c r="CM46" s="23">
        <f>EXP(-LN(2)/2)*CM45+(1-EXP(-LN(2)/2))/(LN(2)/2)*CG46*CJ46*VLOOKUP('Données projet'!$B$12,Paramètres!$A$1:$I$88,3,0)*0.475*44/12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>
        <f>CT46*VLOOKUP('Données projet'!$B$13,Paramètres!$A$1:$I$88,3,0)*VLOOKUP('Données projet'!$B$13,Paramètres!$A$1:$I$88,5,0)</f>
        <v>0</v>
      </c>
      <c r="CV46" s="14" t="e">
        <f t="shared" si="41"/>
        <v>#NUM!</v>
      </c>
      <c r="CW46" s="22" t="e">
        <f t="shared" si="13"/>
        <v>#NUM!</v>
      </c>
      <c r="CX46" s="62" t="e">
        <f t="shared" si="14"/>
        <v>#NUM!</v>
      </c>
      <c r="CY46" s="62">
        <f ca="1">AVERAGE(OFFSET($CX$3,0,0,'Données projet'!$E$13+1,1))-AVERAGE(OFFSET($H$3,0,0,'Données projet'!$E$13+1,1))</f>
        <v>57.812812891099895</v>
      </c>
      <c r="CZ46" s="62">
        <f t="shared" si="42"/>
        <v>244.79885157604684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projet'!$B$13,Paramètres!$A$1:$I$88,3,0)*0.475*44/12</f>
        <v>29.741092092736494</v>
      </c>
      <c r="DG46" s="23">
        <f>EXP(-LN(2)/25)*DG45+(1-EXP(-LN(2)/25))/(LN(2)/25)*Calculateur!DB46*Calculateur!DD46*VLOOKUP('Données projet'!$B$13,Paramètres!$A$1:$I$88,3,0)*0.475*44/12</f>
        <v>0</v>
      </c>
      <c r="DH46" s="23">
        <f>EXP(-LN(2)/2)*DH45+(1-EXP(-LN(2)/2))/(LN(2)/2)*DB46*DE46*VLOOKUP('Données projet'!$B$13,Paramètres!$A$1:$I$88,3,0)*0.475*44/12</f>
        <v>4.4320048591033837E-3</v>
      </c>
      <c r="DI46" s="24">
        <f t="shared" si="15"/>
        <v>29.745524097595599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6.166666666666667</v>
      </c>
      <c r="N47" s="14">
        <f>IF('Données projet'!$A$36&gt;35,N46+M47-V46,IF(A47&lt;'Données projet'!$A$36,$K$205^A47,IF(A47='Données projet'!$A$36,'Données projet'!$B$36,N46+M47-V46)))</f>
        <v>95.333333333333329</v>
      </c>
      <c r="O47" s="14">
        <f>N47*VLOOKUP('Données projet'!$B$9,Paramètres!$A$1:$I$88,3,0)*VLOOKUP('Données projet'!$B$9,Paramètres!$A$1:$I$88,5,0)</f>
        <v>86.257599999999996</v>
      </c>
      <c r="P47" s="14">
        <f t="shared" si="33"/>
        <v>23.660429354093463</v>
      </c>
      <c r="Q47" s="22">
        <f t="shared" si="53"/>
        <v>191.44056779171277</v>
      </c>
      <c r="R47" s="62">
        <f t="shared" si="0"/>
        <v>484.77390112504611</v>
      </c>
      <c r="S47" s="62">
        <f ca="1">AVERAGE(OFFSET($R$3,0,0,'Données projet'!$E$9+1,1))-AVERAGE(OFFSET($H$3,0,0,'Données projet'!$E$9+1,1))</f>
        <v>286.81278534843665</v>
      </c>
      <c r="T47" s="62">
        <f t="shared" si="34"/>
        <v>199.43308683696642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6.166666666666667</v>
      </c>
      <c r="AI47" s="14">
        <f>IF('Données projet'!$A$62&gt;35,AI46+AH47-AQ46,IF(A47&lt;'Données projet'!$A$62,$AF$205^A47,IF(A47='Données projet'!$A$62,'Données projet'!$B$62,AI46+AH47-AQ46)))</f>
        <v>95.333333333333329</v>
      </c>
      <c r="AJ47" s="14">
        <f>AI47*VLOOKUP('Données projet'!$B$10,Paramètres!$A$1:$I$88,3,0)*VLOOKUP('Données projet'!$B$10,Paramètres!$A$1:$I$88,5,0)</f>
        <v>96.668000000000006</v>
      </c>
      <c r="AK47" s="14">
        <f t="shared" si="35"/>
        <v>26.166635702630764</v>
      </c>
      <c r="AL47" s="22">
        <f t="shared" si="4"/>
        <v>213.93699051541526</v>
      </c>
      <c r="AM47" s="62">
        <f t="shared" si="5"/>
        <v>507.2703238487486</v>
      </c>
      <c r="AN47" s="62">
        <f ca="1">AVERAGE(OFFSET($AM$3,0,0,'Données projet'!$E$10+1,1))-AVERAGE(OFFSET($H$3,0,0,'Données projet'!$E$10+1,1))</f>
        <v>316.76504852082684</v>
      </c>
      <c r="AO47" s="62">
        <f t="shared" si="36"/>
        <v>218.5520645293999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0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6.166666666666667</v>
      </c>
      <c r="BD47" s="13">
        <f>IF('Données projet'!$A$88&gt;35,BD46+BC47-BL46,IF(A47&lt;'Données projet'!$A$88,$BA$205^A47,IF(A47='Données projet'!$A$88,'Données projet'!$B$88,BD46+BC47-BL46)))</f>
        <v>95.333333333333329</v>
      </c>
      <c r="BE47" s="14">
        <f>BD47*VLOOKUP('Données projet'!$B$11,Paramètres!$A$1:$I$88,3,0)*VLOOKUP('Données projet'!$B$11,Paramètres!$A$1:$I$88,5,0)</f>
        <v>83.283200000000008</v>
      </c>
      <c r="BF47" s="14">
        <f t="shared" si="37"/>
        <v>22.938054846935312</v>
      </c>
      <c r="BG47" s="22">
        <f t="shared" si="7"/>
        <v>185.00201885841236</v>
      </c>
      <c r="BH47" s="62">
        <f t="shared" si="8"/>
        <v>478.33535219174564</v>
      </c>
      <c r="BI47" s="62">
        <f ca="1">AVERAGE(OFFSET($BH$3,0,0,'Données projet'!$E$11+1,1))-AVERAGE(OFFSET($H$3,0,0,'Données projet'!$E$11+1,1))</f>
        <v>278.24093386944304</v>
      </c>
      <c r="BJ47" s="62">
        <f t="shared" si="38"/>
        <v>193.96102673885611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0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6.166666666666667</v>
      </c>
      <c r="BY47" s="13">
        <f>IF('Données projet'!$A$114&gt;35,BY46+BX47-CG46,IF(A47&lt;'Données projet'!$A$114,$BV$205^A47,IF(A47='Données projet'!$A$114,'Données projet'!$B$114,BY46+BX47-CG46)))</f>
        <v>95.333333333333329</v>
      </c>
      <c r="BZ47" s="14">
        <f>BY47*VLOOKUP('Données projet'!$B$12,Paramètres!$A$1:$I$88,3,0)*VLOOKUP('Données projet'!$B$12,Paramètres!$A$1:$I$88,5,0)</f>
        <v>92.206400000000002</v>
      </c>
      <c r="CA47" s="14">
        <f t="shared" si="39"/>
        <v>25.096603135357018</v>
      </c>
      <c r="CB47" s="22">
        <f t="shared" si="10"/>
        <v>204.3027304607468</v>
      </c>
      <c r="CC47" s="62">
        <f t="shared" si="11"/>
        <v>497.63606379408009</v>
      </c>
      <c r="CD47" s="62">
        <f ca="1">AVERAGE(OFFSET($CC$3,0,0,'Données projet'!$E$12+1,1))-AVERAGE(OFFSET($H$3,0,0,'Données projet'!$E$12+1,1))</f>
        <v>303.93739496872121</v>
      </c>
      <c r="CE47" s="62">
        <f t="shared" si="40"/>
        <v>210.36431469568754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0</v>
      </c>
      <c r="CL47" s="23">
        <f>EXP(-LN(2)/25)*CL46+(1-EXP(-LN(2)/25))/(LN(2)/25)*Calculateur!CG47*Calculateur!CI47*VLOOKUP('Données projet'!$B$12,Paramètres!$A$1:$I$88,3,0)*0.475*44/12</f>
        <v>0</v>
      </c>
      <c r="CM47" s="23">
        <f>EXP(-LN(2)/2)*CM46+(1-EXP(-LN(2)/2))/(LN(2)/2)*CG47*CJ47*VLOOKUP('Données projet'!$B$12,Paramètres!$A$1:$I$88,3,0)*0.475*44/12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>
        <f>CT47*VLOOKUP('Données projet'!$B$13,Paramètres!$A$1:$I$88,3,0)*VLOOKUP('Données projet'!$B$13,Paramètres!$A$1:$I$88,5,0)</f>
        <v>0</v>
      </c>
      <c r="CV47" s="14" t="e">
        <f t="shared" si="41"/>
        <v>#NUM!</v>
      </c>
      <c r="CW47" s="22" t="e">
        <f t="shared" si="13"/>
        <v>#NUM!</v>
      </c>
      <c r="CX47" s="62" t="e">
        <f t="shared" si="14"/>
        <v>#NUM!</v>
      </c>
      <c r="CY47" s="62">
        <f ca="1">AVERAGE(OFFSET($CX$3,0,0,'Données projet'!$E$13+1,1))-AVERAGE(OFFSET($H$3,0,0,'Données projet'!$E$13+1,1))</f>
        <v>57.812812891099895</v>
      </c>
      <c r="CZ47" s="62">
        <f t="shared" si="42"/>
        <v>244.79885157604684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projet'!$B$13,Paramètres!$A$1:$I$88,3,0)*0.475*44/12</f>
        <v>29.157887417072903</v>
      </c>
      <c r="DG47" s="23">
        <f>EXP(-LN(2)/25)*DG46+(1-EXP(-LN(2)/25))/(LN(2)/25)*Calculateur!DB47*Calculateur!DD47*VLOOKUP('Données projet'!$B$13,Paramètres!$A$1:$I$88,3,0)*0.475*44/12</f>
        <v>0</v>
      </c>
      <c r="DH47" s="23">
        <f>EXP(-LN(2)/2)*DH46+(1-EXP(-LN(2)/2))/(LN(2)/2)*DB47*DE47*VLOOKUP('Données projet'!$B$13,Paramètres!$A$1:$I$88,3,0)*0.475*44/12</f>
        <v>3.1339006901237318E-3</v>
      </c>
      <c r="DI47" s="24">
        <f t="shared" si="15"/>
        <v>29.161021317763026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6.166666666666667</v>
      </c>
      <c r="N48" s="14">
        <f>IF('Données projet'!$A$36&gt;35,N47+M48-V47,IF(A48&lt;'Données projet'!$A$36,$K$205^A48,IF(A48='Données projet'!$A$36,'Données projet'!$B$36,N47+M48-V47)))</f>
        <v>101.5</v>
      </c>
      <c r="O48" s="14">
        <f>N48*VLOOKUP('Données projet'!$B$9,Paramètres!$A$1:$I$88,3,0)*VLOOKUP('Données projet'!$B$9,Paramètres!$A$1:$I$88,5,0)</f>
        <v>91.837199999999996</v>
      </c>
      <c r="P48" s="14">
        <f t="shared" si="33"/>
        <v>25.007790936639388</v>
      </c>
      <c r="Q48" s="22">
        <f t="shared" si="53"/>
        <v>203.5050258813136</v>
      </c>
      <c r="R48" s="62">
        <f t="shared" si="0"/>
        <v>496.83835921464691</v>
      </c>
      <c r="S48" s="62">
        <f ca="1">AVERAGE(OFFSET($R$3,0,0,'Données projet'!$E$9+1,1))-AVERAGE(OFFSET($H$3,0,0,'Données projet'!$E$9+1,1))</f>
        <v>286.81278534843665</v>
      </c>
      <c r="T48" s="62">
        <f t="shared" si="34"/>
        <v>199.43308683696642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6.166666666666667</v>
      </c>
      <c r="AI48" s="14">
        <f>IF('Données projet'!$A$62&gt;35,AI47+AH48-AQ47,IF(A48&lt;'Données projet'!$A$62,$AF$205^A48,IF(A48='Données projet'!$A$62,'Données projet'!$B$62,AI47+AH48-AQ47)))</f>
        <v>101.5</v>
      </c>
      <c r="AJ48" s="14">
        <f>AI48*VLOOKUP('Données projet'!$B$10,Paramètres!$A$1:$I$88,3,0)*VLOOKUP('Données projet'!$B$10,Paramètres!$A$1:$I$88,5,0)</f>
        <v>102.92100000000002</v>
      </c>
      <c r="AK48" s="14">
        <f t="shared" si="35"/>
        <v>27.656715158188064</v>
      </c>
      <c r="AL48" s="22">
        <f t="shared" si="4"/>
        <v>227.42285390051089</v>
      </c>
      <c r="AM48" s="62">
        <f t="shared" si="5"/>
        <v>520.75618723384423</v>
      </c>
      <c r="AN48" s="62">
        <f ca="1">AVERAGE(OFFSET($AM$3,0,0,'Données projet'!$E$10+1,1))-AVERAGE(OFFSET($H$3,0,0,'Données projet'!$E$10+1,1))</f>
        <v>316.76504852082684</v>
      </c>
      <c r="AO48" s="62">
        <f t="shared" si="36"/>
        <v>218.5520645293999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0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6.166666666666667</v>
      </c>
      <c r="BD48" s="13">
        <f>IF('Données projet'!$A$88&gt;35,BD47+BC48-BL47,IF(A48&lt;'Données projet'!$A$88,$BA$205^A48,IF(A48='Données projet'!$A$88,'Données projet'!$B$88,BD47+BC48-BL47)))</f>
        <v>101.5</v>
      </c>
      <c r="BE48" s="14">
        <f>BD48*VLOOKUP('Données projet'!$B$11,Paramètres!$A$1:$I$88,3,0)*VLOOKUP('Données projet'!$B$11,Paramètres!$A$1:$I$88,5,0)</f>
        <v>88.670400000000015</v>
      </c>
      <c r="BF48" s="14">
        <f t="shared" si="37"/>
        <v>24.244280250395512</v>
      </c>
      <c r="BG48" s="22">
        <f t="shared" si="7"/>
        <v>196.65973476943884</v>
      </c>
      <c r="BH48" s="62">
        <f t="shared" si="8"/>
        <v>489.99306810277216</v>
      </c>
      <c r="BI48" s="62">
        <f ca="1">AVERAGE(OFFSET($BH$3,0,0,'Données projet'!$E$11+1,1))-AVERAGE(OFFSET($H$3,0,0,'Données projet'!$E$11+1,1))</f>
        <v>278.24093386944304</v>
      </c>
      <c r="BJ48" s="62">
        <f t="shared" si="38"/>
        <v>193.96102673885611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0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6.166666666666667</v>
      </c>
      <c r="BY48" s="13">
        <f>IF('Données projet'!$A$114&gt;35,BY47+BX48-CG47,IF(A48&lt;'Données projet'!$A$114,$BV$205^A48,IF(A48='Données projet'!$A$114,'Données projet'!$B$114,BY47+BX48-CG47)))</f>
        <v>101.5</v>
      </c>
      <c r="BZ48" s="14">
        <f>BY48*VLOOKUP('Données projet'!$B$12,Paramètres!$A$1:$I$88,3,0)*VLOOKUP('Données projet'!$B$12,Paramètres!$A$1:$I$88,5,0)</f>
        <v>98.1708</v>
      </c>
      <c r="CA48" s="14">
        <f t="shared" si="39"/>
        <v>26.525748752747578</v>
      </c>
      <c r="CB48" s="22">
        <f t="shared" si="10"/>
        <v>217.17982241103536</v>
      </c>
      <c r="CC48" s="62">
        <f t="shared" si="11"/>
        <v>510.51315574436865</v>
      </c>
      <c r="CD48" s="62">
        <f ca="1">AVERAGE(OFFSET($CC$3,0,0,'Données projet'!$E$12+1,1))-AVERAGE(OFFSET($H$3,0,0,'Données projet'!$E$12+1,1))</f>
        <v>303.93739496872121</v>
      </c>
      <c r="CE48" s="62">
        <f t="shared" si="40"/>
        <v>210.36431469568754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0</v>
      </c>
      <c r="CL48" s="23">
        <f>EXP(-LN(2)/25)*CL47+(1-EXP(-LN(2)/25))/(LN(2)/25)*Calculateur!CG48*Calculateur!CI48*VLOOKUP('Données projet'!$B$12,Paramètres!$A$1:$I$88,3,0)*0.475*44/12</f>
        <v>0</v>
      </c>
      <c r="CM48" s="23">
        <f>EXP(-LN(2)/2)*CM47+(1-EXP(-LN(2)/2))/(LN(2)/2)*CG48*CJ48*VLOOKUP('Données projet'!$B$12,Paramètres!$A$1:$I$88,3,0)*0.475*44/12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>
        <f>CT48*VLOOKUP('Données projet'!$B$13,Paramètres!$A$1:$I$88,3,0)*VLOOKUP('Données projet'!$B$13,Paramètres!$A$1:$I$88,5,0)</f>
        <v>0</v>
      </c>
      <c r="CV48" s="14" t="e">
        <f t="shared" si="41"/>
        <v>#NUM!</v>
      </c>
      <c r="CW48" s="22" t="e">
        <f t="shared" si="13"/>
        <v>#NUM!</v>
      </c>
      <c r="CX48" s="62" t="e">
        <f t="shared" si="14"/>
        <v>#NUM!</v>
      </c>
      <c r="CY48" s="62">
        <f ca="1">AVERAGE(OFFSET($CX$3,0,0,'Données projet'!$E$13+1,1))-AVERAGE(OFFSET($H$3,0,0,'Données projet'!$E$13+1,1))</f>
        <v>57.812812891099895</v>
      </c>
      <c r="CZ48" s="62">
        <f t="shared" si="42"/>
        <v>244.79885157604684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projet'!$B$13,Paramètres!$A$1:$I$88,3,0)*0.475*44/12</f>
        <v>28.586119029379351</v>
      </c>
      <c r="DG48" s="23">
        <f>EXP(-LN(2)/25)*DG47+(1-EXP(-LN(2)/25))/(LN(2)/25)*Calculateur!DB48*Calculateur!DD48*VLOOKUP('Données projet'!$B$13,Paramètres!$A$1:$I$88,3,0)*0.475*44/12</f>
        <v>0</v>
      </c>
      <c r="DH48" s="23">
        <f>EXP(-LN(2)/2)*DH47+(1-EXP(-LN(2)/2))/(LN(2)/2)*DB48*DE48*VLOOKUP('Données projet'!$B$13,Paramètres!$A$1:$I$88,3,0)*0.475*44/12</f>
        <v>2.2160024295516919E-3</v>
      </c>
      <c r="DI48" s="24">
        <f t="shared" si="15"/>
        <v>28.588335031808903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6.166666666666667</v>
      </c>
      <c r="N49" s="14">
        <f>IF('Données projet'!$A$36&gt;35,N48+M49-V48,IF(A49&lt;'Données projet'!$A$36,$K$205^A49,IF(A49='Données projet'!$A$36,'Données projet'!$B$36,N48+M49-V48)))</f>
        <v>107.66666666666667</v>
      </c>
      <c r="O49" s="14">
        <f>N49*VLOOKUP('Données projet'!$B$9,Paramètres!$A$1:$I$88,3,0)*VLOOKUP('Données projet'!$B$9,Paramètres!$A$1:$I$88,5,0)</f>
        <v>97.416799999999995</v>
      </c>
      <c r="P49" s="14">
        <f t="shared" si="33"/>
        <v>26.345651528270771</v>
      </c>
      <c r="Q49" s="22">
        <f t="shared" si="53"/>
        <v>215.55293641173822</v>
      </c>
      <c r="R49" s="62">
        <f t="shared" si="0"/>
        <v>508.88626974507156</v>
      </c>
      <c r="S49" s="62">
        <f ca="1">AVERAGE(OFFSET($R$3,0,0,'Données projet'!$E$9+1,1))-AVERAGE(OFFSET($H$3,0,0,'Données projet'!$E$9+1,1))</f>
        <v>286.81278534843665</v>
      </c>
      <c r="T49" s="62">
        <f t="shared" si="34"/>
        <v>199.43308683696642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6.166666666666667</v>
      </c>
      <c r="AI49" s="14">
        <f>IF('Données projet'!$A$62&gt;35,AI48+AH49-AQ48,IF(A49&lt;'Données projet'!$A$62,$AF$205^A49,IF(A49='Données projet'!$A$62,'Données projet'!$B$62,AI48+AH49-AQ48)))</f>
        <v>107.66666666666667</v>
      </c>
      <c r="AJ49" s="14">
        <f>AI49*VLOOKUP('Données projet'!$B$10,Paramètres!$A$1:$I$88,3,0)*VLOOKUP('Données projet'!$B$10,Paramètres!$A$1:$I$88,5,0)</f>
        <v>109.17400000000001</v>
      </c>
      <c r="AK49" s="14">
        <f t="shared" si="35"/>
        <v>29.136287240258813</v>
      </c>
      <c r="AL49" s="22">
        <f t="shared" si="4"/>
        <v>240.89041694345076</v>
      </c>
      <c r="AM49" s="62">
        <f t="shared" si="5"/>
        <v>534.22375027678413</v>
      </c>
      <c r="AN49" s="62">
        <f ca="1">AVERAGE(OFFSET($AM$3,0,0,'Données projet'!$E$10+1,1))-AVERAGE(OFFSET($H$3,0,0,'Données projet'!$E$10+1,1))</f>
        <v>316.76504852082684</v>
      </c>
      <c r="AO49" s="62">
        <f t="shared" si="36"/>
        <v>218.5520645293999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0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6.166666666666667</v>
      </c>
      <c r="BD49" s="13">
        <f>IF('Données projet'!$A$88&gt;35,BD48+BC49-BL48,IF(A49&lt;'Données projet'!$A$88,$BA$205^A49,IF(A49='Données projet'!$A$88,'Données projet'!$B$88,BD48+BC49-BL48)))</f>
        <v>107.66666666666667</v>
      </c>
      <c r="BE49" s="14">
        <f>BD49*VLOOKUP('Données projet'!$B$11,Paramètres!$A$1:$I$88,3,0)*VLOOKUP('Données projet'!$B$11,Paramètres!$A$1:$I$88,5,0)</f>
        <v>94.057600000000022</v>
      </c>
      <c r="BF49" s="14">
        <f t="shared" si="37"/>
        <v>25.54129473686697</v>
      </c>
      <c r="BG49" s="22">
        <f t="shared" si="7"/>
        <v>208.30140833337668</v>
      </c>
      <c r="BH49" s="62">
        <f t="shared" si="8"/>
        <v>501.63474166671</v>
      </c>
      <c r="BI49" s="62">
        <f ca="1">AVERAGE(OFFSET($BH$3,0,0,'Données projet'!$E$11+1,1))-AVERAGE(OFFSET($H$3,0,0,'Données projet'!$E$11+1,1))</f>
        <v>278.24093386944304</v>
      </c>
      <c r="BJ49" s="62">
        <f t="shared" si="38"/>
        <v>193.96102673885611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0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6.166666666666667</v>
      </c>
      <c r="BY49" s="13">
        <f>IF('Données projet'!$A$114&gt;35,BY48+BX49-CG48,IF(A49&lt;'Données projet'!$A$114,$BV$205^A49,IF(A49='Données projet'!$A$114,'Données projet'!$B$114,BY48+BX49-CG48)))</f>
        <v>107.66666666666667</v>
      </c>
      <c r="BZ49" s="14">
        <f>BY49*VLOOKUP('Données projet'!$B$12,Paramètres!$A$1:$I$88,3,0)*VLOOKUP('Données projet'!$B$12,Paramètres!$A$1:$I$88,5,0)</f>
        <v>104.1352</v>
      </c>
      <c r="CA49" s="14">
        <f t="shared" si="39"/>
        <v>27.94481667480952</v>
      </c>
      <c r="CB49" s="22">
        <f t="shared" si="10"/>
        <v>230.03936237529322</v>
      </c>
      <c r="CC49" s="62">
        <f t="shared" si="11"/>
        <v>523.37269570862657</v>
      </c>
      <c r="CD49" s="62">
        <f ca="1">AVERAGE(OFFSET($CC$3,0,0,'Données projet'!$E$12+1,1))-AVERAGE(OFFSET($H$3,0,0,'Données projet'!$E$12+1,1))</f>
        <v>303.93739496872121</v>
      </c>
      <c r="CE49" s="62">
        <f t="shared" si="40"/>
        <v>210.36431469568754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projet'!$B$12,Paramètres!$A$1:$I$88,3,0)*0.475*44/12</f>
        <v>0</v>
      </c>
      <c r="CL49" s="23">
        <f>EXP(-LN(2)/25)*CL48+(1-EXP(-LN(2)/25))/(LN(2)/25)*Calculateur!CG49*Calculateur!CI49*VLOOKUP('Données projet'!$B$12,Paramètres!$A$1:$I$88,3,0)*0.475*44/12</f>
        <v>0</v>
      </c>
      <c r="CM49" s="23">
        <f>EXP(-LN(2)/2)*CM48+(1-EXP(-LN(2)/2))/(LN(2)/2)*CG49*CJ49*VLOOKUP('Données projet'!$B$12,Paramètres!$A$1:$I$88,3,0)*0.475*44/12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>
        <f>CT49*VLOOKUP('Données projet'!$B$13,Paramètres!$A$1:$I$88,3,0)*VLOOKUP('Données projet'!$B$13,Paramètres!$A$1:$I$88,5,0)</f>
        <v>0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57.812812891099895</v>
      </c>
      <c r="CZ49" s="62">
        <f t="shared" si="42"/>
        <v>244.79885157604684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projet'!$B$13,Paramètres!$A$1:$I$88,3,0)*0.475*44/12</f>
        <v>28.025562671024186</v>
      </c>
      <c r="DG49" s="23">
        <f>EXP(-LN(2)/25)*DG48+(1-EXP(-LN(2)/25))/(LN(2)/25)*Calculateur!DB49*Calculateur!DD49*VLOOKUP('Données projet'!$B$13,Paramètres!$A$1:$I$88,3,0)*0.475*44/12</f>
        <v>0</v>
      </c>
      <c r="DH49" s="23">
        <f>EXP(-LN(2)/2)*DH48+(1-EXP(-LN(2)/2))/(LN(2)/2)*DB49*DE49*VLOOKUP('Données projet'!$B$13,Paramètres!$A$1:$I$88,3,0)*0.475*44/12</f>
        <v>1.5669503450618659E-3</v>
      </c>
      <c r="DI49" s="24">
        <f t="shared" si="15"/>
        <v>28.027129621369248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6.166666666666667</v>
      </c>
      <c r="N50" s="14">
        <f>IF('Données projet'!$A$36&gt;35,N49+M50-V49,IF(A50&lt;'Données projet'!$A$36,$K$205^A50,IF(A50='Données projet'!$A$36,'Données projet'!$B$36,N49+M50-V49)))</f>
        <v>113.83333333333334</v>
      </c>
      <c r="O50" s="14">
        <f>N50*VLOOKUP('Données projet'!$B$9,Paramètres!$A$1:$I$88,3,0)*VLOOKUP('Données projet'!$B$9,Paramètres!$A$1:$I$88,5,0)</f>
        <v>102.99640000000001</v>
      </c>
      <c r="P50" s="14">
        <f t="shared" si="33"/>
        <v>27.674617306062274</v>
      </c>
      <c r="Q50" s="22">
        <f t="shared" si="53"/>
        <v>227.5853551413918</v>
      </c>
      <c r="R50" s="62">
        <f t="shared" si="0"/>
        <v>520.91868847472506</v>
      </c>
      <c r="S50" s="62">
        <f ca="1">AVERAGE(OFFSET($R$3,0,0,'Données projet'!$E$9+1,1))-AVERAGE(OFFSET($H$3,0,0,'Données projet'!$E$9+1,1))</f>
        <v>286.81278534843665</v>
      </c>
      <c r="T50" s="62">
        <f t="shared" si="34"/>
        <v>199.43308683696642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6.166666666666667</v>
      </c>
      <c r="AI50" s="14">
        <f>IF('Données projet'!$A$62&gt;35,AI49+AH50-AQ49,IF(A50&lt;'Données projet'!$A$62,$AF$205^A50,IF(A50='Données projet'!$A$62,'Données projet'!$B$62,AI49+AH50-AQ49)))</f>
        <v>113.83333333333334</v>
      </c>
      <c r="AJ50" s="14">
        <f>AI50*VLOOKUP('Données projet'!$B$10,Paramètres!$A$1:$I$88,3,0)*VLOOKUP('Données projet'!$B$10,Paramètres!$A$1:$I$88,5,0)</f>
        <v>115.42700000000002</v>
      </c>
      <c r="AK50" s="14">
        <f t="shared" si="35"/>
        <v>30.606022334593323</v>
      </c>
      <c r="AL50" s="22">
        <f t="shared" si="4"/>
        <v>254.34084723275001</v>
      </c>
      <c r="AM50" s="62">
        <f t="shared" si="5"/>
        <v>547.67418056608335</v>
      </c>
      <c r="AN50" s="62">
        <f ca="1">AVERAGE(OFFSET($AM$3,0,0,'Données projet'!$E$10+1,1))-AVERAGE(OFFSET($H$3,0,0,'Données projet'!$E$10+1,1))</f>
        <v>316.76504852082684</v>
      </c>
      <c r="AO50" s="62">
        <f t="shared" si="36"/>
        <v>218.5520645293999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0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6.166666666666667</v>
      </c>
      <c r="BD50" s="13">
        <f>IF('Données projet'!$A$88&gt;35,BD49+BC50-BL49,IF(A50&lt;'Données projet'!$A$88,$BA$205^A50,IF(A50='Données projet'!$A$88,'Données projet'!$B$88,BD49+BC50-BL49)))</f>
        <v>113.83333333333334</v>
      </c>
      <c r="BE50" s="14">
        <f>BD50*VLOOKUP('Données projet'!$B$11,Paramètres!$A$1:$I$88,3,0)*VLOOKUP('Données projet'!$B$11,Paramètres!$A$1:$I$88,5,0)</f>
        <v>99.444800000000015</v>
      </c>
      <c r="BF50" s="14">
        <f t="shared" si="37"/>
        <v>26.829685976284928</v>
      </c>
      <c r="BG50" s="22">
        <f t="shared" si="7"/>
        <v>219.92806307536296</v>
      </c>
      <c r="BH50" s="62">
        <f t="shared" si="8"/>
        <v>513.26139640869633</v>
      </c>
      <c r="BI50" s="62">
        <f ca="1">AVERAGE(OFFSET($BH$3,0,0,'Données projet'!$E$11+1,1))-AVERAGE(OFFSET($H$3,0,0,'Données projet'!$E$11+1,1))</f>
        <v>278.24093386944304</v>
      </c>
      <c r="BJ50" s="62">
        <f t="shared" si="38"/>
        <v>193.96102673885611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0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6.166666666666667</v>
      </c>
      <c r="BY50" s="13">
        <f>IF('Données projet'!$A$114&gt;35,BY49+BX50-CG49,IF(A50&lt;'Données projet'!$A$114,$BV$205^A50,IF(A50='Données projet'!$A$114,'Données projet'!$B$114,BY49+BX50-CG49)))</f>
        <v>113.83333333333334</v>
      </c>
      <c r="BZ50" s="14">
        <f>BY50*VLOOKUP('Données projet'!$B$12,Paramètres!$A$1:$I$88,3,0)*VLOOKUP('Données projet'!$B$12,Paramètres!$A$1:$I$88,5,0)</f>
        <v>110.09960000000001</v>
      </c>
      <c r="CA50" s="14">
        <f t="shared" si="39"/>
        <v>29.354449873200071</v>
      </c>
      <c r="CB50" s="22">
        <f t="shared" si="10"/>
        <v>242.88247019582346</v>
      </c>
      <c r="CC50" s="62">
        <f t="shared" si="11"/>
        <v>536.2158035291568</v>
      </c>
      <c r="CD50" s="62">
        <f ca="1">AVERAGE(OFFSET($CC$3,0,0,'Données projet'!$E$12+1,1))-AVERAGE(OFFSET($H$3,0,0,'Données projet'!$E$12+1,1))</f>
        <v>303.93739496872121</v>
      </c>
      <c r="CE50" s="62">
        <f t="shared" si="40"/>
        <v>210.36431469568754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0</v>
      </c>
      <c r="CL50" s="23">
        <f>EXP(-LN(2)/25)*CL49+(1-EXP(-LN(2)/25))/(LN(2)/25)*Calculateur!CG50*Calculateur!CI50*VLOOKUP('Données projet'!$B$12,Paramètres!$A$1:$I$88,3,0)*0.475*44/12</f>
        <v>0</v>
      </c>
      <c r="CM50" s="23">
        <f>EXP(-LN(2)/2)*CM49+(1-EXP(-LN(2)/2))/(LN(2)/2)*CG50*CJ50*VLOOKUP('Données projet'!$B$12,Paramètres!$A$1:$I$88,3,0)*0.475*44/12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>
        <f>CT50*VLOOKUP('Données projet'!$B$13,Paramètres!$A$1:$I$88,3,0)*VLOOKUP('Données projet'!$B$13,Paramètres!$A$1:$I$88,5,0)</f>
        <v>0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57.812812891099895</v>
      </c>
      <c r="CZ50" s="62">
        <f t="shared" si="42"/>
        <v>244.79885157604684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projet'!$B$13,Paramètres!$A$1:$I$88,3,0)*0.475*44/12</f>
        <v>27.47599848095075</v>
      </c>
      <c r="DG50" s="23">
        <f>EXP(-LN(2)/25)*DG49+(1-EXP(-LN(2)/25))/(LN(2)/25)*Calculateur!DB50*Calculateur!DD50*VLOOKUP('Données projet'!$B$13,Paramètres!$A$1:$I$88,3,0)*0.475*44/12</f>
        <v>0</v>
      </c>
      <c r="DH50" s="23">
        <f>EXP(-LN(2)/2)*DH49+(1-EXP(-LN(2)/2))/(LN(2)/2)*DB50*DE50*VLOOKUP('Données projet'!$B$13,Paramètres!$A$1:$I$88,3,0)*0.475*44/12</f>
        <v>1.1080012147758459E-3</v>
      </c>
      <c r="DI50" s="24">
        <f t="shared" si="15"/>
        <v>27.477106482165524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120</v>
      </c>
      <c r="L51" s="13">
        <f>VLOOKUP(A51,'Données projet'!$A$35:$I$55,9,0)</f>
        <v>6.166666666666667</v>
      </c>
      <c r="M51" s="13">
        <f t="array" ref="M51">INDEX(L:L,MIN(IF(ISNUMBER(L51:L247),ROW(L51:L247),"")))</f>
        <v>6.166666666666667</v>
      </c>
      <c r="N51" s="14">
        <f>IF('Données projet'!$A$36&gt;35,N50+M51-V50,IF(A51&lt;'Données projet'!$A$36,$K$205^A51,IF(A51='Données projet'!$A$36,'Données projet'!$B$36,N50+M51-V50)))</f>
        <v>120.00000000000001</v>
      </c>
      <c r="O51" s="14">
        <f>N51*VLOOKUP('Données projet'!$B$9,Paramètres!$A$1:$I$88,3,0)*VLOOKUP('Données projet'!$B$9,Paramètres!$A$1:$I$88,5,0)</f>
        <v>108.57600000000002</v>
      </c>
      <c r="P51" s="14">
        <f t="shared" si="33"/>
        <v>28.995225061228027</v>
      </c>
      <c r="Q51" s="22">
        <f t="shared" si="53"/>
        <v>239.60321698163887</v>
      </c>
      <c r="R51" s="62">
        <f t="shared" si="0"/>
        <v>532.93655031497224</v>
      </c>
      <c r="S51" s="62">
        <f ca="1">AVERAGE(OFFSET($R$3,0,0,'Données projet'!$E$9+1,1))-AVERAGE(OFFSET($H$3,0,0,'Données projet'!$E$9+1,1))</f>
        <v>286.81278534843665</v>
      </c>
      <c r="T51" s="62">
        <f t="shared" si="34"/>
        <v>199.43308683696642</v>
      </c>
      <c r="U51" s="16">
        <f>IF(ISNA(VLOOKUP(A51,'Données projet'!$A$35:$I$55,3,0)),0,VLOOKUP(A51,'Données projet'!$A$35:$I$55,3,0))</f>
        <v>2</v>
      </c>
      <c r="V51" s="16">
        <f>IF(ISNA(VLOOKUP(A51,'Données projet'!$A$35:$I$55,4,0)),0,VLOOKUP(A51,'Données projet'!$A$35:$I$55,4,0))</f>
        <v>28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>
        <f>VLOOKUP(A51,'Données projet'!$A$61:$I$81,2,0)</f>
        <v>120</v>
      </c>
      <c r="AG51" s="13">
        <f>VLOOKUP(A51,'Données projet'!$A$61:$I$81,9,0)</f>
        <v>6.166666666666667</v>
      </c>
      <c r="AH51" s="13">
        <f t="array" ref="AH51">INDEX(AG:AG,MIN(IF(ISNUMBER(AG51:AG247),ROW(AG51:AG247),"")))</f>
        <v>6.166666666666667</v>
      </c>
      <c r="AI51" s="14">
        <f>IF('Données projet'!$A$62&gt;35,AI50+AH51-AQ50,IF(A51&lt;'Données projet'!$A$62,$AF$205^A51,IF(A51='Données projet'!$A$62,'Données projet'!$B$62,AI50+AH51-AQ50)))</f>
        <v>120.00000000000001</v>
      </c>
      <c r="AJ51" s="14">
        <f>AI51*VLOOKUP('Données projet'!$B$10,Paramètres!$A$1:$I$88,3,0)*VLOOKUP('Données projet'!$B$10,Paramètres!$A$1:$I$88,5,0)</f>
        <v>121.68000000000002</v>
      </c>
      <c r="AK51" s="14">
        <f t="shared" si="35"/>
        <v>32.066514091456284</v>
      </c>
      <c r="AL51" s="22">
        <f t="shared" si="4"/>
        <v>267.77517870928637</v>
      </c>
      <c r="AM51" s="62">
        <f t="shared" si="5"/>
        <v>561.10851204261962</v>
      </c>
      <c r="AN51" s="62">
        <f ca="1">AVERAGE(OFFSET($AM$3,0,0,'Données projet'!$E$10+1,1))-AVERAGE(OFFSET($H$3,0,0,'Données projet'!$E$10+1,1))</f>
        <v>316.76504852082684</v>
      </c>
      <c r="AO51" s="62">
        <f t="shared" si="36"/>
        <v>218.5520645293999</v>
      </c>
      <c r="AP51" s="16">
        <f>IF(ISNA(VLOOKUP(A51,'Données projet'!$A$61:$I$81,3,0)),0,VLOOKUP(A51,'Données projet'!$A$61:$I$81,3,0))</f>
        <v>2</v>
      </c>
      <c r="AQ51" s="16">
        <f>IF(ISNA(VLOOKUP(A51,'Données projet'!$A$61:$I$81,4,0)),0,VLOOKUP(A51,'Données projet'!$A$61:$I$81,4,0))</f>
        <v>28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0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>
        <f>VLOOKUP(A51,'Données projet'!$A$87:$I$107,2,0)</f>
        <v>120</v>
      </c>
      <c r="BB51" s="13">
        <f>VLOOKUP(A51,'Données projet'!$A$87:$I$107,9,0)</f>
        <v>6.166666666666667</v>
      </c>
      <c r="BC51" s="13">
        <f t="array" ref="BC51">INDEX(BB:BB,MIN(IF(ISNUMBER(BB51:BB247),ROW(BB51:BB247),"")))</f>
        <v>6.166666666666667</v>
      </c>
      <c r="BD51" s="13">
        <f>IF('Données projet'!$A$88&gt;35,BD50+BC51-BL50,IF(A51&lt;'Données projet'!$A$88,$BA$205^A51,IF(A51='Données projet'!$A$88,'Données projet'!$B$88,BD50+BC51-BL50)))</f>
        <v>120.00000000000001</v>
      </c>
      <c r="BE51" s="14">
        <f>BD51*VLOOKUP('Données projet'!$B$11,Paramètres!$A$1:$I$88,3,0)*VLOOKUP('Données projet'!$B$11,Paramètres!$A$1:$I$88,5,0)</f>
        <v>104.83200000000004</v>
      </c>
      <c r="BF51" s="14">
        <f t="shared" si="37"/>
        <v>28.109974371137717</v>
      </c>
      <c r="BG51" s="22">
        <f t="shared" si="7"/>
        <v>231.54060536306488</v>
      </c>
      <c r="BH51" s="62">
        <f t="shared" si="8"/>
        <v>524.87393869639823</v>
      </c>
      <c r="BI51" s="62">
        <f ca="1">AVERAGE(OFFSET($BH$3,0,0,'Données projet'!$E$11+1,1))-AVERAGE(OFFSET($H$3,0,0,'Données projet'!$E$11+1,1))</f>
        <v>278.24093386944304</v>
      </c>
      <c r="BJ51" s="62">
        <f t="shared" si="38"/>
        <v>193.96102673885611</v>
      </c>
      <c r="BK51" s="16">
        <f>IF(ISNA(VLOOKUP(A51,'Données projet'!$A$87:$I$107,3,0)),0,VLOOKUP(A51,'Données projet'!$A$87:$I$107,3,0))</f>
        <v>2</v>
      </c>
      <c r="BL51" s="16">
        <f>IF(ISNA(VLOOKUP(A51,'Données projet'!$A$87:$I$107,4,0)),0,VLOOKUP(A51,'Données projet'!$A$87:$I$107,4,0))</f>
        <v>28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0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>
        <f>VLOOKUP(A51,'Données projet'!$A$113:$I$133,2,0)</f>
        <v>120</v>
      </c>
      <c r="BW51" s="13">
        <f>VLOOKUP(A51,'Données projet'!$A$113:$I$133,9,0)</f>
        <v>6.166666666666667</v>
      </c>
      <c r="BX51" s="13">
        <f t="array" ref="BX51">INDEX(BW:BW,MIN(IF(ISNUMBER(BW51:BW247),ROW(BW51:BW247),"")))</f>
        <v>6.166666666666667</v>
      </c>
      <c r="BY51" s="13">
        <f>IF('Données projet'!$A$114&gt;35,BY50+BX51-CG50,IF(A51&lt;'Données projet'!$A$114,$BV$205^A51,IF(A51='Données projet'!$A$114,'Données projet'!$B$114,BY50+BX51-CG50)))</f>
        <v>120.00000000000001</v>
      </c>
      <c r="BZ51" s="14">
        <f>BY51*VLOOKUP('Données projet'!$B$12,Paramètres!$A$1:$I$88,3,0)*VLOOKUP('Données projet'!$B$12,Paramètres!$A$1:$I$88,5,0)</f>
        <v>116.06400000000001</v>
      </c>
      <c r="CA51" s="14">
        <f t="shared" si="39"/>
        <v>30.755217722036068</v>
      </c>
      <c r="CB51" s="22">
        <f t="shared" si="10"/>
        <v>255.71013753254616</v>
      </c>
      <c r="CC51" s="62">
        <f t="shared" si="11"/>
        <v>549.0434708658795</v>
      </c>
      <c r="CD51" s="62">
        <f ca="1">AVERAGE(OFFSET($CC$3,0,0,'Données projet'!$E$12+1,1))-AVERAGE(OFFSET($H$3,0,0,'Données projet'!$E$12+1,1))</f>
        <v>303.93739496872121</v>
      </c>
      <c r="CE51" s="62">
        <f t="shared" si="40"/>
        <v>210.36431469568754</v>
      </c>
      <c r="CF51" s="16">
        <f>IF(ISNA(VLOOKUP(A51,'Données projet'!$A$113:$I$133,3,0)),0,VLOOKUP(A51,'Données projet'!$A$113:$I$133,3,0))</f>
        <v>2</v>
      </c>
      <c r="CG51" s="16">
        <f>IF(ISNA(VLOOKUP(A51,'Données projet'!$A$113:$I$133,4,0)),0,VLOOKUP(A51,'Données projet'!$A$113:$I$133,4,0))</f>
        <v>28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0</v>
      </c>
      <c r="CL51" s="23">
        <f>EXP(-LN(2)/25)*CL50+(1-EXP(-LN(2)/25))/(LN(2)/25)*Calculateur!CG51*Calculateur!CI51*VLOOKUP('Données projet'!$B$12,Paramètres!$A$1:$I$88,3,0)*0.475*44/12</f>
        <v>0</v>
      </c>
      <c r="CM51" s="23">
        <f>EXP(-LN(2)/2)*CM50+(1-EXP(-LN(2)/2))/(LN(2)/2)*CG51*CJ51*VLOOKUP('Données projet'!$B$12,Paramètres!$A$1:$I$88,3,0)*0.475*44/12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>
        <f>CT51*VLOOKUP('Données projet'!$B$13,Paramètres!$A$1:$I$88,3,0)*VLOOKUP('Données projet'!$B$13,Paramètres!$A$1:$I$88,5,0)</f>
        <v>0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57.812812891099895</v>
      </c>
      <c r="CZ51" s="62">
        <f t="shared" si="42"/>
        <v>244.79885157604684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projet'!$B$13,Paramètres!$A$1:$I$88,3,0)*0.475*44/12</f>
        <v>26.937210909443596</v>
      </c>
      <c r="DG51" s="23">
        <f>EXP(-LN(2)/25)*DG50+(1-EXP(-LN(2)/25))/(LN(2)/25)*Calculateur!DB51*Calculateur!DD51*VLOOKUP('Données projet'!$B$13,Paramètres!$A$1:$I$88,3,0)*0.475*44/12</f>
        <v>0</v>
      </c>
      <c r="DH51" s="23">
        <f>EXP(-LN(2)/2)*DH50+(1-EXP(-LN(2)/2))/(LN(2)/2)*DB51*DE51*VLOOKUP('Données projet'!$B$13,Paramètres!$A$1:$I$88,3,0)*0.475*44/12</f>
        <v>7.8347517253093296E-4</v>
      </c>
      <c r="DI51" s="24">
        <f t="shared" si="15"/>
        <v>26.937994384616129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5.75</v>
      </c>
      <c r="N52" s="14">
        <f>IF('Données projet'!$A$36&gt;35,N51+M52-V51,IF(A52&lt;'Données projet'!$A$36,$K$205^A52,IF(A52='Données projet'!$A$36,'Données projet'!$B$36,N51+M52-V51)))</f>
        <v>97.750000000000014</v>
      </c>
      <c r="O52" s="14">
        <f>N52*VLOOKUP('Données projet'!$B$9,Paramètres!$A$1:$I$88,3,0)*VLOOKUP('Données projet'!$B$9,Paramètres!$A$1:$I$88,5,0)</f>
        <v>88.444200000000009</v>
      </c>
      <c r="P52" s="14">
        <f t="shared" si="33"/>
        <v>24.189623542231114</v>
      </c>
      <c r="Q52" s="22">
        <f t="shared" si="53"/>
        <v>196.17057600271923</v>
      </c>
      <c r="R52" s="62">
        <f t="shared" si="0"/>
        <v>489.50390933605252</v>
      </c>
      <c r="S52" s="62">
        <f ca="1">AVERAGE(OFFSET($R$3,0,0,'Données projet'!$E$9+1,1))-AVERAGE(OFFSET($H$3,0,0,'Données projet'!$E$9+1,1))</f>
        <v>286.81278534843665</v>
      </c>
      <c r="T52" s="62">
        <f t="shared" si="34"/>
        <v>199.43308683696642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5.75</v>
      </c>
      <c r="AI52" s="14">
        <f>IF('Données projet'!$A$62&gt;35,AI51+AH52-AQ51,IF(A52&lt;'Données projet'!$A$62,$AF$205^A52,IF(A52='Données projet'!$A$62,'Données projet'!$B$62,AI51+AH52-AQ51)))</f>
        <v>97.750000000000014</v>
      </c>
      <c r="AJ52" s="14">
        <f>AI52*VLOOKUP('Données projet'!$B$10,Paramètres!$A$1:$I$88,3,0)*VLOOKUP('Données projet'!$B$10,Paramètres!$A$1:$I$88,5,0)</f>
        <v>99.118500000000012</v>
      </c>
      <c r="AK52" s="14">
        <f t="shared" si="35"/>
        <v>26.751884234249314</v>
      </c>
      <c r="AL52" s="22">
        <f t="shared" si="4"/>
        <v>219.22425254131755</v>
      </c>
      <c r="AM52" s="62">
        <f t="shared" si="5"/>
        <v>512.55758587465084</v>
      </c>
      <c r="AN52" s="62">
        <f ca="1">AVERAGE(OFFSET($AM$3,0,0,'Données projet'!$E$10+1,1))-AVERAGE(OFFSET($H$3,0,0,'Données projet'!$E$10+1,1))</f>
        <v>316.76504852082684</v>
      </c>
      <c r="AO52" s="62">
        <f t="shared" si="36"/>
        <v>218.5520645293999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0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5.75</v>
      </c>
      <c r="BD52" s="13">
        <f>IF('Données projet'!$A$88&gt;35,BD51+BC52-BL51,IF(A52&lt;'Données projet'!$A$88,$BA$205^A52,IF(A52='Données projet'!$A$88,'Données projet'!$B$88,BD51+BC52-BL51)))</f>
        <v>97.750000000000014</v>
      </c>
      <c r="BE52" s="14">
        <f>BD52*VLOOKUP('Données projet'!$B$11,Paramètres!$A$1:$I$88,3,0)*VLOOKUP('Données projet'!$B$11,Paramètres!$A$1:$I$88,5,0)</f>
        <v>85.394400000000033</v>
      </c>
      <c r="BF52" s="14">
        <f t="shared" si="37"/>
        <v>23.45109225342182</v>
      </c>
      <c r="BG52" s="22">
        <f t="shared" si="7"/>
        <v>189.57256567470972</v>
      </c>
      <c r="BH52" s="62">
        <f t="shared" si="8"/>
        <v>482.90589900804304</v>
      </c>
      <c r="BI52" s="62">
        <f ca="1">AVERAGE(OFFSET($BH$3,0,0,'Données projet'!$E$11+1,1))-AVERAGE(OFFSET($H$3,0,0,'Données projet'!$E$11+1,1))</f>
        <v>278.24093386944304</v>
      </c>
      <c r="BJ52" s="62">
        <f t="shared" si="38"/>
        <v>193.96102673885611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0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5.75</v>
      </c>
      <c r="BY52" s="13">
        <f>IF('Données projet'!$A$114&gt;35,BY51+BX52-CG51,IF(A52&lt;'Données projet'!$A$114,$BV$205^A52,IF(A52='Données projet'!$A$114,'Données projet'!$B$114,BY51+BX52-CG51)))</f>
        <v>97.750000000000014</v>
      </c>
      <c r="BZ52" s="14">
        <f>BY52*VLOOKUP('Données projet'!$B$12,Paramètres!$A$1:$I$88,3,0)*VLOOKUP('Données projet'!$B$12,Paramètres!$A$1:$I$88,5,0)</f>
        <v>94.543800000000019</v>
      </c>
      <c r="CA52" s="14">
        <f t="shared" si="39"/>
        <v>25.657919091313282</v>
      </c>
      <c r="CB52" s="22">
        <f t="shared" si="10"/>
        <v>209.35132741737064</v>
      </c>
      <c r="CC52" s="62">
        <f t="shared" si="11"/>
        <v>502.68466075070398</v>
      </c>
      <c r="CD52" s="62">
        <f ca="1">AVERAGE(OFFSET($CC$3,0,0,'Données projet'!$E$12+1,1))-AVERAGE(OFFSET($H$3,0,0,'Données projet'!$E$12+1,1))</f>
        <v>303.93739496872121</v>
      </c>
      <c r="CE52" s="62">
        <f t="shared" si="40"/>
        <v>210.36431469568754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0</v>
      </c>
      <c r="CL52" s="23">
        <f>EXP(-LN(2)/25)*CL51+(1-EXP(-LN(2)/25))/(LN(2)/25)*Calculateur!CG52*Calculateur!CI52*VLOOKUP('Données projet'!$B$12,Paramètres!$A$1:$I$88,3,0)*0.475*44/12</f>
        <v>0</v>
      </c>
      <c r="CM52" s="23">
        <f>EXP(-LN(2)/2)*CM51+(1-EXP(-LN(2)/2))/(LN(2)/2)*CG52*CJ52*VLOOKUP('Données projet'!$B$12,Paramètres!$A$1:$I$88,3,0)*0.475*44/12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>
        <f>CT52*VLOOKUP('Données projet'!$B$13,Paramètres!$A$1:$I$88,3,0)*VLOOKUP('Données projet'!$B$13,Paramètres!$A$1:$I$88,5,0)</f>
        <v>0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57.812812891099895</v>
      </c>
      <c r="CZ52" s="62">
        <f t="shared" si="42"/>
        <v>244.79885157604684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projet'!$B$13,Paramètres!$A$1:$I$88,3,0)*0.475*44/12</f>
        <v>26.408988633585725</v>
      </c>
      <c r="DG52" s="23">
        <f>EXP(-LN(2)/25)*DG51+(1-EXP(-LN(2)/25))/(LN(2)/25)*Calculateur!DB52*Calculateur!DD52*VLOOKUP('Données projet'!$B$13,Paramètres!$A$1:$I$88,3,0)*0.475*44/12</f>
        <v>0</v>
      </c>
      <c r="DH52" s="23">
        <f>EXP(-LN(2)/2)*DH51+(1-EXP(-LN(2)/2))/(LN(2)/2)*DB52*DE52*VLOOKUP('Données projet'!$B$13,Paramètres!$A$1:$I$88,3,0)*0.475*44/12</f>
        <v>5.5400060738792297E-4</v>
      </c>
      <c r="DI52" s="24">
        <f t="shared" si="15"/>
        <v>26.409542634193112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5.75</v>
      </c>
      <c r="N53" s="14">
        <f>IF('Données projet'!$A$36&gt;35,N52+M53-V52,IF(A53&lt;'Données projet'!$A$36,$K$205^A53,IF(A53='Données projet'!$A$36,'Données projet'!$B$36,N52+M53-V52)))</f>
        <v>103.50000000000001</v>
      </c>
      <c r="O53" s="14">
        <f>N53*VLOOKUP('Données projet'!$B$9,Paramètres!$A$1:$I$88,3,0)*VLOOKUP('Données projet'!$B$9,Paramètres!$A$1:$I$88,5,0)</f>
        <v>93.646799999999999</v>
      </c>
      <c r="P53" s="14">
        <f t="shared" si="33"/>
        <v>25.442701819587722</v>
      </c>
      <c r="Q53" s="22">
        <f t="shared" si="53"/>
        <v>207.41421566911529</v>
      </c>
      <c r="R53" s="62">
        <f t="shared" si="0"/>
        <v>500.74754900244864</v>
      </c>
      <c r="S53" s="62">
        <f ca="1">AVERAGE(OFFSET($R$3,0,0,'Données projet'!$E$9+1,1))-AVERAGE(OFFSET($H$3,0,0,'Données projet'!$E$9+1,1))</f>
        <v>286.81278534843665</v>
      </c>
      <c r="T53" s="62">
        <f t="shared" si="34"/>
        <v>199.43308683696642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5.75</v>
      </c>
      <c r="AI53" s="14">
        <f>IF('Données projet'!$A$62&gt;35,AI52+AH53-AQ52,IF(A53&lt;'Données projet'!$A$62,$AF$205^A53,IF(A53='Données projet'!$A$62,'Données projet'!$B$62,AI52+AH53-AQ52)))</f>
        <v>103.50000000000001</v>
      </c>
      <c r="AJ53" s="14">
        <f>AI53*VLOOKUP('Données projet'!$B$10,Paramètres!$A$1:$I$88,3,0)*VLOOKUP('Données projet'!$B$10,Paramètres!$A$1:$I$88,5,0)</f>
        <v>104.94900000000001</v>
      </c>
      <c r="AK53" s="14">
        <f t="shared" si="35"/>
        <v>28.137693523665153</v>
      </c>
      <c r="AL53" s="22">
        <f t="shared" si="4"/>
        <v>231.79265788705015</v>
      </c>
      <c r="AM53" s="62">
        <f t="shared" si="5"/>
        <v>525.12599122038341</v>
      </c>
      <c r="AN53" s="62">
        <f ca="1">AVERAGE(OFFSET($AM$3,0,0,'Données projet'!$E$10+1,1))-AVERAGE(OFFSET($H$3,0,0,'Données projet'!$E$10+1,1))</f>
        <v>316.76504852082684</v>
      </c>
      <c r="AO53" s="62">
        <f t="shared" si="36"/>
        <v>218.5520645293999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0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5.75</v>
      </c>
      <c r="BD53" s="13">
        <f>IF('Données projet'!$A$88&gt;35,BD52+BC53-BL52,IF(A53&lt;'Données projet'!$A$88,$BA$205^A53,IF(A53='Données projet'!$A$88,'Données projet'!$B$88,BD52+BC53-BL52)))</f>
        <v>103.50000000000001</v>
      </c>
      <c r="BE53" s="14">
        <f>BD53*VLOOKUP('Données projet'!$B$11,Paramètres!$A$1:$I$88,3,0)*VLOOKUP('Données projet'!$B$11,Paramètres!$A$1:$I$88,5,0)</f>
        <v>90.417600000000022</v>
      </c>
      <c r="BF53" s="14">
        <f t="shared" si="37"/>
        <v>24.665912907068826</v>
      </c>
      <c r="BG53" s="22">
        <f t="shared" si="7"/>
        <v>200.43711831314491</v>
      </c>
      <c r="BH53" s="62">
        <f t="shared" si="8"/>
        <v>493.77045164647825</v>
      </c>
      <c r="BI53" s="62">
        <f ca="1">AVERAGE(OFFSET($BH$3,0,0,'Données projet'!$E$11+1,1))-AVERAGE(OFFSET($H$3,0,0,'Données projet'!$E$11+1,1))</f>
        <v>278.24093386944304</v>
      </c>
      <c r="BJ53" s="62">
        <f t="shared" si="38"/>
        <v>193.96102673885611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0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5.75</v>
      </c>
      <c r="BY53" s="13">
        <f>IF('Données projet'!$A$114&gt;35,BY52+BX53-CG52,IF(A53&lt;'Données projet'!$A$114,$BV$205^A53,IF(A53='Données projet'!$A$114,'Données projet'!$B$114,BY52+BX53-CG52)))</f>
        <v>103.50000000000001</v>
      </c>
      <c r="BZ53" s="14">
        <f>BY53*VLOOKUP('Données projet'!$B$12,Paramètres!$A$1:$I$88,3,0)*VLOOKUP('Données projet'!$B$12,Paramètres!$A$1:$I$88,5,0)</f>
        <v>100.10520000000001</v>
      </c>
      <c r="CA53" s="14">
        <f t="shared" si="39"/>
        <v>26.987058463795307</v>
      </c>
      <c r="CB53" s="22">
        <f t="shared" si="10"/>
        <v>221.35235015777684</v>
      </c>
      <c r="CC53" s="62">
        <f t="shared" si="11"/>
        <v>514.68568349111013</v>
      </c>
      <c r="CD53" s="62">
        <f ca="1">AVERAGE(OFFSET($CC$3,0,0,'Données projet'!$E$12+1,1))-AVERAGE(OFFSET($H$3,0,0,'Données projet'!$E$12+1,1))</f>
        <v>303.93739496872121</v>
      </c>
      <c r="CE53" s="62">
        <f t="shared" si="40"/>
        <v>210.36431469568754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projet'!$B$12,Paramètres!$A$1:$I$88,3,0)*0.475*44/12</f>
        <v>0</v>
      </c>
      <c r="CL53" s="23">
        <f>EXP(-LN(2)/25)*CL52+(1-EXP(-LN(2)/25))/(LN(2)/25)*Calculateur!CG53*Calculateur!CI53*VLOOKUP('Données projet'!$B$12,Paramètres!$A$1:$I$88,3,0)*0.475*44/12</f>
        <v>0</v>
      </c>
      <c r="CM53" s="23">
        <f>EXP(-LN(2)/2)*CM52+(1-EXP(-LN(2)/2))/(LN(2)/2)*CG53*CJ53*VLOOKUP('Données projet'!$B$12,Paramètres!$A$1:$I$88,3,0)*0.475*44/12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>
        <f>CT53*VLOOKUP('Données projet'!$B$13,Paramètres!$A$1:$I$88,3,0)*VLOOKUP('Données projet'!$B$13,Paramètres!$A$1:$I$88,5,0)</f>
        <v>0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57.812812891099895</v>
      </c>
      <c r="CZ53" s="62">
        <f t="shared" si="42"/>
        <v>244.79885157604684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projet'!$B$13,Paramètres!$A$1:$I$88,3,0)*0.475*44/12</f>
        <v>25.891124474373655</v>
      </c>
      <c r="DG53" s="23">
        <f>EXP(-LN(2)/25)*DG52+(1-EXP(-LN(2)/25))/(LN(2)/25)*Calculateur!DB53*Calculateur!DD53*VLOOKUP('Données projet'!$B$13,Paramètres!$A$1:$I$88,3,0)*0.475*44/12</f>
        <v>0</v>
      </c>
      <c r="DH53" s="23">
        <f>EXP(-LN(2)/2)*DH52+(1-EXP(-LN(2)/2))/(LN(2)/2)*DB53*DE53*VLOOKUP('Données projet'!$B$13,Paramètres!$A$1:$I$88,3,0)*0.475*44/12</f>
        <v>3.9173758626546648E-4</v>
      </c>
      <c r="DI53" s="24">
        <f t="shared" si="15"/>
        <v>25.891516211959921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5.75</v>
      </c>
      <c r="N54" s="14">
        <f>IF('Données projet'!$A$36&gt;35,N53+M54-V53,IF(A54&lt;'Données projet'!$A$36,$K$205^A54,IF(A54='Données projet'!$A$36,'Données projet'!$B$36,N53+M54-V53)))</f>
        <v>109.25000000000001</v>
      </c>
      <c r="O54" s="14">
        <f>N54*VLOOKUP('Données projet'!$B$9,Paramètres!$A$1:$I$88,3,0)*VLOOKUP('Données projet'!$B$9,Paramètres!$A$1:$I$88,5,0)</f>
        <v>98.849400000000003</v>
      </c>
      <c r="P54" s="14">
        <f t="shared" si="33"/>
        <v>26.687698613342342</v>
      </c>
      <c r="Q54" s="22">
        <f t="shared" si="53"/>
        <v>218.64378008490459</v>
      </c>
      <c r="R54" s="62">
        <f t="shared" si="0"/>
        <v>511.97711341823788</v>
      </c>
      <c r="S54" s="62">
        <f ca="1">AVERAGE(OFFSET($R$3,0,0,'Données projet'!$E$9+1,1))-AVERAGE(OFFSET($H$3,0,0,'Données projet'!$E$9+1,1))</f>
        <v>286.81278534843665</v>
      </c>
      <c r="T54" s="62">
        <f t="shared" si="34"/>
        <v>199.43308683696642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5.75</v>
      </c>
      <c r="AI54" s="14">
        <f>IF('Données projet'!$A$62&gt;35,AI53+AH54-AQ53,IF(A54&lt;'Données projet'!$A$62,$AF$205^A54,IF(A54='Données projet'!$A$62,'Données projet'!$B$62,AI53+AH54-AQ53)))</f>
        <v>109.25000000000001</v>
      </c>
      <c r="AJ54" s="14">
        <f>AI54*VLOOKUP('Données projet'!$B$10,Paramètres!$A$1:$I$88,3,0)*VLOOKUP('Données projet'!$B$10,Paramètres!$A$1:$I$88,5,0)</f>
        <v>110.77950000000003</v>
      </c>
      <c r="AK54" s="14">
        <f t="shared" si="35"/>
        <v>29.514565306741407</v>
      </c>
      <c r="AL54" s="22">
        <f t="shared" si="4"/>
        <v>244.34549707590796</v>
      </c>
      <c r="AM54" s="62">
        <f t="shared" si="5"/>
        <v>537.6788304092413</v>
      </c>
      <c r="AN54" s="62">
        <f ca="1">AVERAGE(OFFSET($AM$3,0,0,'Données projet'!$E$10+1,1))-AVERAGE(OFFSET($H$3,0,0,'Données projet'!$E$10+1,1))</f>
        <v>316.76504852082684</v>
      </c>
      <c r="AO54" s="62">
        <f t="shared" si="36"/>
        <v>218.5520645293999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0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5.75</v>
      </c>
      <c r="BD54" s="13">
        <f>IF('Données projet'!$A$88&gt;35,BD53+BC54-BL53,IF(A54&lt;'Données projet'!$A$88,$BA$205^A54,IF(A54='Données projet'!$A$88,'Données projet'!$B$88,BD53+BC54-BL53)))</f>
        <v>109.25000000000001</v>
      </c>
      <c r="BE54" s="14">
        <f>BD54*VLOOKUP('Données projet'!$B$11,Paramètres!$A$1:$I$88,3,0)*VLOOKUP('Données projet'!$B$11,Paramètres!$A$1:$I$88,5,0)</f>
        <v>95.440800000000024</v>
      </c>
      <c r="BF54" s="14">
        <f t="shared" si="37"/>
        <v>25.872898812185603</v>
      </c>
      <c r="BG54" s="22">
        <f t="shared" si="7"/>
        <v>211.2880254312233</v>
      </c>
      <c r="BH54" s="62">
        <f t="shared" si="8"/>
        <v>504.62135876455659</v>
      </c>
      <c r="BI54" s="62">
        <f ca="1">AVERAGE(OFFSET($BH$3,0,0,'Données projet'!$E$11+1,1))-AVERAGE(OFFSET($H$3,0,0,'Données projet'!$E$11+1,1))</f>
        <v>278.24093386944304</v>
      </c>
      <c r="BJ54" s="62">
        <f t="shared" si="38"/>
        <v>193.96102673885611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0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5.75</v>
      </c>
      <c r="BY54" s="13">
        <f>IF('Données projet'!$A$114&gt;35,BY53+BX54-CG53,IF(A54&lt;'Données projet'!$A$114,$BV$205^A54,IF(A54='Données projet'!$A$114,'Données projet'!$B$114,BY53+BX54-CG53)))</f>
        <v>109.25000000000001</v>
      </c>
      <c r="BZ54" s="14">
        <f>BY54*VLOOKUP('Données projet'!$B$12,Paramètres!$A$1:$I$88,3,0)*VLOOKUP('Données projet'!$B$12,Paramètres!$A$1:$I$88,5,0)</f>
        <v>105.66660000000003</v>
      </c>
      <c r="CA54" s="14">
        <f t="shared" si="39"/>
        <v>28.307625811498426</v>
      </c>
      <c r="CB54" s="22">
        <f t="shared" si="10"/>
        <v>233.3384432883598</v>
      </c>
      <c r="CC54" s="62">
        <f t="shared" si="11"/>
        <v>526.67177662169308</v>
      </c>
      <c r="CD54" s="62">
        <f ca="1">AVERAGE(OFFSET($CC$3,0,0,'Données projet'!$E$12+1,1))-AVERAGE(OFFSET($H$3,0,0,'Données projet'!$E$12+1,1))</f>
        <v>303.93739496872121</v>
      </c>
      <c r="CE54" s="62">
        <f t="shared" si="40"/>
        <v>210.36431469568754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0</v>
      </c>
      <c r="CL54" s="23">
        <f>EXP(-LN(2)/25)*CL53+(1-EXP(-LN(2)/25))/(LN(2)/25)*Calculateur!CG54*Calculateur!CI54*VLOOKUP('Données projet'!$B$12,Paramètres!$A$1:$I$88,3,0)*0.475*44/12</f>
        <v>0</v>
      </c>
      <c r="CM54" s="23">
        <f>EXP(-LN(2)/2)*CM53+(1-EXP(-LN(2)/2))/(LN(2)/2)*CG54*CJ54*VLOOKUP('Données projet'!$B$12,Paramètres!$A$1:$I$88,3,0)*0.475*44/12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>
        <f>CT54*VLOOKUP('Données projet'!$B$13,Paramètres!$A$1:$I$88,3,0)*VLOOKUP('Données projet'!$B$13,Paramètres!$A$1:$I$88,5,0)</f>
        <v>0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57.812812891099895</v>
      </c>
      <c r="CZ54" s="62">
        <f t="shared" si="42"/>
        <v>244.79885157604684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projet'!$B$13,Paramètres!$A$1:$I$88,3,0)*0.475*44/12</f>
        <v>25.383415315457782</v>
      </c>
      <c r="DG54" s="23">
        <f>EXP(-LN(2)/25)*DG53+(1-EXP(-LN(2)/25))/(LN(2)/25)*Calculateur!DB54*Calculateur!DD54*VLOOKUP('Données projet'!$B$13,Paramètres!$A$1:$I$88,3,0)*0.475*44/12</f>
        <v>0</v>
      </c>
      <c r="DH54" s="23">
        <f>EXP(-LN(2)/2)*DH53+(1-EXP(-LN(2)/2))/(LN(2)/2)*DB54*DE54*VLOOKUP('Données projet'!$B$13,Paramètres!$A$1:$I$88,3,0)*0.475*44/12</f>
        <v>2.7700030369396148E-4</v>
      </c>
      <c r="DI54" s="24">
        <f t="shared" si="15"/>
        <v>25.383692315761476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5.75</v>
      </c>
      <c r="N55" s="14">
        <f>IF('Données projet'!$A$36&gt;35,N54+M55-V54,IF(A55&lt;'Données projet'!$A$36,$K$205^A55,IF(A55='Données projet'!$A$36,'Données projet'!$B$36,N54+M55-V54)))</f>
        <v>115.00000000000001</v>
      </c>
      <c r="O55" s="14">
        <f>N55*VLOOKUP('Données projet'!$B$9,Paramètres!$A$1:$I$88,3,0)*VLOOKUP('Données projet'!$B$9,Paramètres!$A$1:$I$88,5,0)</f>
        <v>104.05200000000001</v>
      </c>
      <c r="P55" s="14">
        <f t="shared" si="33"/>
        <v>27.925087771564417</v>
      </c>
      <c r="Q55" s="22">
        <f t="shared" si="53"/>
        <v>229.86009453547467</v>
      </c>
      <c r="R55" s="62">
        <f t="shared" si="0"/>
        <v>523.19342786880793</v>
      </c>
      <c r="S55" s="62">
        <f ca="1">AVERAGE(OFFSET($R$3,0,0,'Données projet'!$E$9+1,1))-AVERAGE(OFFSET($H$3,0,0,'Données projet'!$E$9+1,1))</f>
        <v>286.81278534843665</v>
      </c>
      <c r="T55" s="62">
        <f t="shared" si="34"/>
        <v>199.43308683696642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5.75</v>
      </c>
      <c r="AI55" s="14">
        <f>IF('Données projet'!$A$62&gt;35,AI54+AH55-AQ54,IF(A55&lt;'Données projet'!$A$62,$AF$205^A55,IF(A55='Données projet'!$A$62,'Données projet'!$B$62,AI54+AH55-AQ54)))</f>
        <v>115.00000000000001</v>
      </c>
      <c r="AJ55" s="14">
        <f>AI55*VLOOKUP('Données projet'!$B$10,Paramètres!$A$1:$I$88,3,0)*VLOOKUP('Données projet'!$B$10,Paramètres!$A$1:$I$88,5,0)</f>
        <v>116.61000000000003</v>
      </c>
      <c r="AK55" s="14">
        <f t="shared" si="35"/>
        <v>30.883023623410974</v>
      </c>
      <c r="AL55" s="22">
        <f t="shared" si="4"/>
        <v>256.88368281077419</v>
      </c>
      <c r="AM55" s="62">
        <f t="shared" si="5"/>
        <v>550.21701614410745</v>
      </c>
      <c r="AN55" s="62">
        <f ca="1">AVERAGE(OFFSET($AM$3,0,0,'Données projet'!$E$10+1,1))-AVERAGE(OFFSET($H$3,0,0,'Données projet'!$E$10+1,1))</f>
        <v>316.76504852082684</v>
      </c>
      <c r="AO55" s="62">
        <f t="shared" si="36"/>
        <v>218.5520645293999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0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5.75</v>
      </c>
      <c r="BD55" s="13">
        <f>IF('Données projet'!$A$88&gt;35,BD54+BC55-BL54,IF(A55&lt;'Données projet'!$A$88,$BA$205^A55,IF(A55='Données projet'!$A$88,'Données projet'!$B$88,BD54+BC55-BL54)))</f>
        <v>115.00000000000001</v>
      </c>
      <c r="BE55" s="14">
        <f>BD55*VLOOKUP('Données projet'!$B$11,Paramètres!$A$1:$I$88,3,0)*VLOOKUP('Données projet'!$B$11,Paramètres!$A$1:$I$88,5,0)</f>
        <v>100.46400000000004</v>
      </c>
      <c r="BF55" s="14">
        <f t="shared" si="37"/>
        <v>27.072509349827477</v>
      </c>
      <c r="BG55" s="22">
        <f t="shared" si="7"/>
        <v>222.12608711761627</v>
      </c>
      <c r="BH55" s="62">
        <f t="shared" si="8"/>
        <v>515.45942045094955</v>
      </c>
      <c r="BI55" s="62">
        <f ca="1">AVERAGE(OFFSET($BH$3,0,0,'Données projet'!$E$11+1,1))-AVERAGE(OFFSET($H$3,0,0,'Données projet'!$E$11+1,1))</f>
        <v>278.24093386944304</v>
      </c>
      <c r="BJ55" s="62">
        <f t="shared" si="38"/>
        <v>193.96102673885611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0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5.75</v>
      </c>
      <c r="BY55" s="13">
        <f>IF('Données projet'!$A$114&gt;35,BY54+BX55-CG54,IF(A55&lt;'Données projet'!$A$114,$BV$205^A55,IF(A55='Données projet'!$A$114,'Données projet'!$B$114,BY54+BX55-CG54)))</f>
        <v>115.00000000000001</v>
      </c>
      <c r="BZ55" s="14">
        <f>BY55*VLOOKUP('Données projet'!$B$12,Paramètres!$A$1:$I$88,3,0)*VLOOKUP('Données projet'!$B$12,Paramètres!$A$1:$I$88,5,0)</f>
        <v>111.22800000000002</v>
      </c>
      <c r="CA55" s="14">
        <f t="shared" si="39"/>
        <v>29.620123744783829</v>
      </c>
      <c r="CB55" s="22">
        <f t="shared" si="10"/>
        <v>245.31048218883188</v>
      </c>
      <c r="CC55" s="62">
        <f t="shared" si="11"/>
        <v>538.64381552216514</v>
      </c>
      <c r="CD55" s="62">
        <f ca="1">AVERAGE(OFFSET($CC$3,0,0,'Données projet'!$E$12+1,1))-AVERAGE(OFFSET($H$3,0,0,'Données projet'!$E$12+1,1))</f>
        <v>303.93739496872121</v>
      </c>
      <c r="CE55" s="62">
        <f t="shared" si="40"/>
        <v>210.36431469568754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0</v>
      </c>
      <c r="CL55" s="23">
        <f>EXP(-LN(2)/25)*CL54+(1-EXP(-LN(2)/25))/(LN(2)/25)*Calculateur!CG55*Calculateur!CI55*VLOOKUP('Données projet'!$B$12,Paramètres!$A$1:$I$88,3,0)*0.475*44/12</f>
        <v>0</v>
      </c>
      <c r="CM55" s="23">
        <f>EXP(-LN(2)/2)*CM54+(1-EXP(-LN(2)/2))/(LN(2)/2)*CG55*CJ55*VLOOKUP('Données projet'!$B$12,Paramètres!$A$1:$I$88,3,0)*0.475*44/12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>
        <f>CT55*VLOOKUP('Données projet'!$B$13,Paramètres!$A$1:$I$88,3,0)*VLOOKUP('Données projet'!$B$13,Paramètres!$A$1:$I$88,5,0)</f>
        <v>0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57.812812891099895</v>
      </c>
      <c r="CZ55" s="62">
        <f t="shared" si="42"/>
        <v>244.79885157604684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projet'!$B$13,Paramètres!$A$1:$I$88,3,0)*0.475*44/12</f>
        <v>24.885662023476243</v>
      </c>
      <c r="DG55" s="23">
        <f>EXP(-LN(2)/25)*DG54+(1-EXP(-LN(2)/25))/(LN(2)/25)*Calculateur!DB55*Calculateur!DD55*VLOOKUP('Données projet'!$B$13,Paramètres!$A$1:$I$88,3,0)*0.475*44/12</f>
        <v>0</v>
      </c>
      <c r="DH55" s="23">
        <f>EXP(-LN(2)/2)*DH54+(1-EXP(-LN(2)/2))/(LN(2)/2)*DB55*DE55*VLOOKUP('Données projet'!$B$13,Paramètres!$A$1:$I$88,3,0)*0.475*44/12</f>
        <v>1.9586879313273324E-4</v>
      </c>
      <c r="DI55" s="24">
        <f t="shared" si="15"/>
        <v>24.885857892269375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5.75</v>
      </c>
      <c r="N56" s="14">
        <f>IF('Données projet'!$A$36&gt;35,N55+M56-V55,IF(A56&lt;'Données projet'!$A$36,$K$205^A56,IF(A56='Données projet'!$A$36,'Données projet'!$B$36,N55+M56-V55)))</f>
        <v>120.75000000000001</v>
      </c>
      <c r="O56" s="14">
        <f>N56*VLOOKUP('Données projet'!$B$9,Paramètres!$A$1:$I$88,3,0)*VLOOKUP('Données projet'!$B$9,Paramètres!$A$1:$I$88,5,0)</f>
        <v>109.2546</v>
      </c>
      <c r="P56" s="14">
        <f t="shared" si="33"/>
        <v>29.15529308077269</v>
      </c>
      <c r="Q56" s="22">
        <f t="shared" si="53"/>
        <v>241.06389711567908</v>
      </c>
      <c r="R56" s="62">
        <f t="shared" si="0"/>
        <v>534.39723044901234</v>
      </c>
      <c r="S56" s="62">
        <f ca="1">AVERAGE(OFFSET($R$3,0,0,'Données projet'!$E$9+1,1))-AVERAGE(OFFSET($H$3,0,0,'Données projet'!$E$9+1,1))</f>
        <v>286.81278534843665</v>
      </c>
      <c r="T56" s="62">
        <f t="shared" si="34"/>
        <v>199.43308683696642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5.75</v>
      </c>
      <c r="AI56" s="14">
        <f>IF('Données projet'!$A$62&gt;35,AI55+AH56-AQ55,IF(A56&lt;'Données projet'!$A$62,$AF$205^A56,IF(A56='Données projet'!$A$62,'Données projet'!$B$62,AI55+AH56-AQ55)))</f>
        <v>120.75000000000001</v>
      </c>
      <c r="AJ56" s="14">
        <f>AI56*VLOOKUP('Données projet'!$B$10,Paramètres!$A$1:$I$88,3,0)*VLOOKUP('Données projet'!$B$10,Paramètres!$A$1:$I$88,5,0)</f>
        <v>122.44050000000003</v>
      </c>
      <c r="AK56" s="14">
        <f t="shared" si="35"/>
        <v>32.24353714933843</v>
      </c>
      <c r="AL56" s="22">
        <f t="shared" si="4"/>
        <v>269.40803136843112</v>
      </c>
      <c r="AM56" s="62">
        <f t="shared" si="5"/>
        <v>562.7413647017645</v>
      </c>
      <c r="AN56" s="62">
        <f ca="1">AVERAGE(OFFSET($AM$3,0,0,'Données projet'!$E$10+1,1))-AVERAGE(OFFSET($H$3,0,0,'Données projet'!$E$10+1,1))</f>
        <v>316.76504852082684</v>
      </c>
      <c r="AO56" s="62">
        <f t="shared" si="36"/>
        <v>218.5520645293999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0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5.75</v>
      </c>
      <c r="BD56" s="13">
        <f>IF('Données projet'!$A$88&gt;35,BD55+BC56-BL55,IF(A56&lt;'Données projet'!$A$88,$BA$205^A56,IF(A56='Données projet'!$A$88,'Données projet'!$B$88,BD55+BC56-BL55)))</f>
        <v>120.75000000000001</v>
      </c>
      <c r="BE56" s="14">
        <f>BD56*VLOOKUP('Données projet'!$B$11,Paramètres!$A$1:$I$88,3,0)*VLOOKUP('Données projet'!$B$11,Paramètres!$A$1:$I$88,5,0)</f>
        <v>105.48720000000003</v>
      </c>
      <c r="BF56" s="14">
        <f t="shared" si="37"/>
        <v>28.265155367923839</v>
      </c>
      <c r="BG56" s="22">
        <f t="shared" si="7"/>
        <v>232.95201893246744</v>
      </c>
      <c r="BH56" s="62">
        <f t="shared" si="8"/>
        <v>526.28535226580073</v>
      </c>
      <c r="BI56" s="62">
        <f ca="1">AVERAGE(OFFSET($BH$3,0,0,'Données projet'!$E$11+1,1))-AVERAGE(OFFSET($H$3,0,0,'Données projet'!$E$11+1,1))</f>
        <v>278.24093386944304</v>
      </c>
      <c r="BJ56" s="62">
        <f t="shared" si="38"/>
        <v>193.96102673885611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0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5.75</v>
      </c>
      <c r="BY56" s="13">
        <f>IF('Données projet'!$A$114&gt;35,BY55+BX56-CG55,IF(A56&lt;'Données projet'!$A$114,$BV$205^A56,IF(A56='Données projet'!$A$114,'Données projet'!$B$114,BY55+BX56-CG55)))</f>
        <v>120.75000000000001</v>
      </c>
      <c r="BZ56" s="14">
        <f>BY56*VLOOKUP('Données projet'!$B$12,Paramètres!$A$1:$I$88,3,0)*VLOOKUP('Données projet'!$B$12,Paramètres!$A$1:$I$88,5,0)</f>
        <v>116.78940000000001</v>
      </c>
      <c r="CA56" s="14">
        <f t="shared" si="39"/>
        <v>30.925001773756161</v>
      </c>
      <c r="CB56" s="22">
        <f t="shared" si="10"/>
        <v>257.2692497559587</v>
      </c>
      <c r="CC56" s="62">
        <f t="shared" si="11"/>
        <v>550.60258308929201</v>
      </c>
      <c r="CD56" s="62">
        <f ca="1">AVERAGE(OFFSET($CC$3,0,0,'Données projet'!$E$12+1,1))-AVERAGE(OFFSET($H$3,0,0,'Données projet'!$E$12+1,1))</f>
        <v>303.93739496872121</v>
      </c>
      <c r="CE56" s="62">
        <f t="shared" si="40"/>
        <v>210.36431469568754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0</v>
      </c>
      <c r="CL56" s="23">
        <f>EXP(-LN(2)/25)*CL55+(1-EXP(-LN(2)/25))/(LN(2)/25)*Calculateur!CG56*Calculateur!CI56*VLOOKUP('Données projet'!$B$12,Paramètres!$A$1:$I$88,3,0)*0.475*44/12</f>
        <v>0</v>
      </c>
      <c r="CM56" s="23">
        <f>EXP(-LN(2)/2)*CM55+(1-EXP(-LN(2)/2))/(LN(2)/2)*CG56*CJ56*VLOOKUP('Données projet'!$B$12,Paramètres!$A$1:$I$88,3,0)*0.475*44/12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>
        <f>CT56*VLOOKUP('Données projet'!$B$13,Paramètres!$A$1:$I$88,3,0)*VLOOKUP('Données projet'!$B$13,Paramètres!$A$1:$I$88,5,0)</f>
        <v>0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57.812812891099895</v>
      </c>
      <c r="CZ56" s="62">
        <f t="shared" si="42"/>
        <v>244.79885157604684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projet'!$B$13,Paramètres!$A$1:$I$88,3,0)*0.475*44/12</f>
        <v>24.397669369950929</v>
      </c>
      <c r="DG56" s="23">
        <f>EXP(-LN(2)/25)*DG55+(1-EXP(-LN(2)/25))/(LN(2)/25)*Calculateur!DB56*Calculateur!DD56*VLOOKUP('Données projet'!$B$13,Paramètres!$A$1:$I$88,3,0)*0.475*44/12</f>
        <v>0</v>
      </c>
      <c r="DH56" s="23">
        <f>EXP(-LN(2)/2)*DH55+(1-EXP(-LN(2)/2))/(LN(2)/2)*DB56*DE56*VLOOKUP('Données projet'!$B$13,Paramètres!$A$1:$I$88,3,0)*0.475*44/12</f>
        <v>1.3850015184698074E-4</v>
      </c>
      <c r="DI56" s="24">
        <f t="shared" si="15"/>
        <v>24.397807870102778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5.75</v>
      </c>
      <c r="N57" s="14">
        <f>IF('Données projet'!$A$36&gt;35,N56+M57-V56,IF(A57&lt;'Données projet'!$A$36,$K$205^A57,IF(A57='Données projet'!$A$36,'Données projet'!$B$36,N56+M57-V56)))</f>
        <v>126.50000000000001</v>
      </c>
      <c r="O57" s="14">
        <f>N57*VLOOKUP('Données projet'!$B$9,Paramètres!$A$1:$I$88,3,0)*VLOOKUP('Données projet'!$B$9,Paramètres!$A$1:$I$88,5,0)</f>
        <v>114.45720000000001</v>
      </c>
      <c r="P57" s="14">
        <f t="shared" si="33"/>
        <v>30.378695686262596</v>
      </c>
      <c r="Q57" s="22">
        <f t="shared" si="53"/>
        <v>252.25585165357404</v>
      </c>
      <c r="R57" s="62">
        <f t="shared" si="0"/>
        <v>545.58918498690741</v>
      </c>
      <c r="S57" s="62">
        <f ca="1">AVERAGE(OFFSET($R$3,0,0,'Données projet'!$E$9+1,1))-AVERAGE(OFFSET($H$3,0,0,'Données projet'!$E$9+1,1))</f>
        <v>286.81278534843665</v>
      </c>
      <c r="T57" s="62">
        <f t="shared" si="34"/>
        <v>199.43308683696642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5.75</v>
      </c>
      <c r="AI57" s="14">
        <f>IF('Données projet'!$A$62&gt;35,AI56+AH57-AQ56,IF(A57&lt;'Données projet'!$A$62,$AF$205^A57,IF(A57='Données projet'!$A$62,'Données projet'!$B$62,AI56+AH57-AQ56)))</f>
        <v>126.50000000000001</v>
      </c>
      <c r="AJ57" s="14">
        <f>AI57*VLOOKUP('Données projet'!$B$10,Paramètres!$A$1:$I$88,3,0)*VLOOKUP('Données projet'!$B$10,Paramètres!$A$1:$I$88,5,0)</f>
        <v>128.27100000000002</v>
      </c>
      <c r="AK57" s="14">
        <f t="shared" si="35"/>
        <v>33.596527402237875</v>
      </c>
      <c r="AL57" s="22">
        <f t="shared" si="4"/>
        <v>281.91927689223098</v>
      </c>
      <c r="AM57" s="62">
        <f t="shared" si="5"/>
        <v>575.25261022556424</v>
      </c>
      <c r="AN57" s="62">
        <f ca="1">AVERAGE(OFFSET($AM$3,0,0,'Données projet'!$E$10+1,1))-AVERAGE(OFFSET($H$3,0,0,'Données projet'!$E$10+1,1))</f>
        <v>316.76504852082684</v>
      </c>
      <c r="AO57" s="62">
        <f t="shared" si="36"/>
        <v>218.5520645293999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0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5.75</v>
      </c>
      <c r="BD57" s="13">
        <f>IF('Données projet'!$A$88&gt;35,BD56+BC57-BL56,IF(A57&lt;'Données projet'!$A$88,$BA$205^A57,IF(A57='Données projet'!$A$88,'Données projet'!$B$88,BD56+BC57-BL56)))</f>
        <v>126.50000000000001</v>
      </c>
      <c r="BE57" s="14">
        <f>BD57*VLOOKUP('Données projet'!$B$11,Paramètres!$A$1:$I$88,3,0)*VLOOKUP('Données projet'!$B$11,Paramètres!$A$1:$I$88,5,0)</f>
        <v>110.51040000000003</v>
      </c>
      <c r="BF57" s="14">
        <f t="shared" si="37"/>
        <v>29.451206375056412</v>
      </c>
      <c r="BG57" s="22">
        <f t="shared" si="7"/>
        <v>243.76646443655662</v>
      </c>
      <c r="BH57" s="62">
        <f t="shared" si="8"/>
        <v>537.09979776988996</v>
      </c>
      <c r="BI57" s="62">
        <f ca="1">AVERAGE(OFFSET($BH$3,0,0,'Données projet'!$E$11+1,1))-AVERAGE(OFFSET($H$3,0,0,'Données projet'!$E$11+1,1))</f>
        <v>278.24093386944304</v>
      </c>
      <c r="BJ57" s="62">
        <f t="shared" si="38"/>
        <v>193.96102673885611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0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5.75</v>
      </c>
      <c r="BY57" s="13">
        <f>IF('Données projet'!$A$114&gt;35,BY56+BX57-CG56,IF(A57&lt;'Données projet'!$A$114,$BV$205^A57,IF(A57='Données projet'!$A$114,'Données projet'!$B$114,BY56+BX57-CG56)))</f>
        <v>126.50000000000001</v>
      </c>
      <c r="BZ57" s="14">
        <f>BY57*VLOOKUP('Données projet'!$B$12,Paramètres!$A$1:$I$88,3,0)*VLOOKUP('Données projet'!$B$12,Paramètres!$A$1:$I$88,5,0)</f>
        <v>122.35080000000002</v>
      </c>
      <c r="CA57" s="14">
        <f t="shared" si="39"/>
        <v>32.222664179000326</v>
      </c>
      <c r="CB57" s="22">
        <f t="shared" si="10"/>
        <v>269.21545011175891</v>
      </c>
      <c r="CC57" s="62">
        <f t="shared" si="11"/>
        <v>562.54878344509223</v>
      </c>
      <c r="CD57" s="62">
        <f ca="1">AVERAGE(OFFSET($CC$3,0,0,'Données projet'!$E$12+1,1))-AVERAGE(OFFSET($H$3,0,0,'Données projet'!$E$12+1,1))</f>
        <v>303.93739496872121</v>
      </c>
      <c r="CE57" s="62">
        <f t="shared" si="40"/>
        <v>210.36431469568754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projet'!$B$12,Paramètres!$A$1:$I$88,3,0)*0.475*44/12</f>
        <v>0</v>
      </c>
      <c r="CL57" s="23">
        <f>EXP(-LN(2)/25)*CL56+(1-EXP(-LN(2)/25))/(LN(2)/25)*Calculateur!CG57*Calculateur!CI57*VLOOKUP('Données projet'!$B$12,Paramètres!$A$1:$I$88,3,0)*0.475*44/12</f>
        <v>0</v>
      </c>
      <c r="CM57" s="23">
        <f>EXP(-LN(2)/2)*CM56+(1-EXP(-LN(2)/2))/(LN(2)/2)*CG57*CJ57*VLOOKUP('Données projet'!$B$12,Paramètres!$A$1:$I$88,3,0)*0.475*44/12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>
        <f>CT57*VLOOKUP('Données projet'!$B$13,Paramètres!$A$1:$I$88,3,0)*VLOOKUP('Données projet'!$B$13,Paramètres!$A$1:$I$88,5,0)</f>
        <v>0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57.812812891099895</v>
      </c>
      <c r="CZ57" s="62">
        <f t="shared" si="42"/>
        <v>244.79885157604684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projet'!$B$13,Paramètres!$A$1:$I$88,3,0)*0.475*44/12</f>
        <v>23.919245954715119</v>
      </c>
      <c r="DG57" s="23">
        <f>EXP(-LN(2)/25)*DG56+(1-EXP(-LN(2)/25))/(LN(2)/25)*Calculateur!DB57*Calculateur!DD57*VLOOKUP('Données projet'!$B$13,Paramètres!$A$1:$I$88,3,0)*0.475*44/12</f>
        <v>0</v>
      </c>
      <c r="DH57" s="23">
        <f>EXP(-LN(2)/2)*DH56+(1-EXP(-LN(2)/2))/(LN(2)/2)*DB57*DE57*VLOOKUP('Données projet'!$B$13,Paramètres!$A$1:$I$88,3,0)*0.475*44/12</f>
        <v>9.793439656636662E-5</v>
      </c>
      <c r="DI57" s="24">
        <f t="shared" si="15"/>
        <v>23.919343889111687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5.75</v>
      </c>
      <c r="N58" s="14">
        <f>IF('Données projet'!$A$36&gt;35,N57+M58-V57,IF(A58&lt;'Données projet'!$A$36,$K$205^A58,IF(A58='Données projet'!$A$36,'Données projet'!$B$36,N57+M58-V57)))</f>
        <v>132.25</v>
      </c>
      <c r="O58" s="14">
        <f>N58*VLOOKUP('Données projet'!$B$9,Paramètres!$A$1:$I$88,3,0)*VLOOKUP('Données projet'!$B$9,Paramètres!$A$1:$I$88,5,0)</f>
        <v>119.6598</v>
      </c>
      <c r="P58" s="14">
        <f t="shared" si="33"/>
        <v>31.595640125146211</v>
      </c>
      <c r="Q58" s="22">
        <f t="shared" si="53"/>
        <v>263.43655821796295</v>
      </c>
      <c r="R58" s="62">
        <f t="shared" si="0"/>
        <v>556.76989155129627</v>
      </c>
      <c r="S58" s="62">
        <f ca="1">AVERAGE(OFFSET($R$3,0,0,'Données projet'!$E$9+1,1))-AVERAGE(OFFSET($H$3,0,0,'Données projet'!$E$9+1,1))</f>
        <v>286.81278534843665</v>
      </c>
      <c r="T58" s="62">
        <f t="shared" si="34"/>
        <v>199.43308683696642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5.75</v>
      </c>
      <c r="AI58" s="14">
        <f>IF('Données projet'!$A$62&gt;35,AI57+AH58-AQ57,IF(A58&lt;'Données projet'!$A$62,$AF$205^A58,IF(A58='Données projet'!$A$62,'Données projet'!$B$62,AI57+AH58-AQ57)))</f>
        <v>132.25</v>
      </c>
      <c r="AJ58" s="14">
        <f>AI58*VLOOKUP('Données projet'!$B$10,Paramètres!$A$1:$I$88,3,0)*VLOOKUP('Données projet'!$B$10,Paramètres!$A$1:$I$88,5,0)</f>
        <v>134.10150000000002</v>
      </c>
      <c r="AK58" s="14">
        <f t="shared" si="35"/>
        <v>34.942375413956256</v>
      </c>
      <c r="AL58" s="22">
        <f t="shared" si="4"/>
        <v>294.41808301264047</v>
      </c>
      <c r="AM58" s="62">
        <f t="shared" si="5"/>
        <v>587.75141634597378</v>
      </c>
      <c r="AN58" s="62">
        <f ca="1">AVERAGE(OFFSET($AM$3,0,0,'Données projet'!$E$10+1,1))-AVERAGE(OFFSET($H$3,0,0,'Données projet'!$E$10+1,1))</f>
        <v>316.76504852082684</v>
      </c>
      <c r="AO58" s="62">
        <f t="shared" si="36"/>
        <v>218.5520645293999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0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5.75</v>
      </c>
      <c r="BD58" s="13">
        <f>IF('Données projet'!$A$88&gt;35,BD57+BC58-BL57,IF(A58&lt;'Données projet'!$A$88,$BA$205^A58,IF(A58='Données projet'!$A$88,'Données projet'!$B$88,BD57+BC58-BL57)))</f>
        <v>132.25</v>
      </c>
      <c r="BE58" s="14">
        <f>BD58*VLOOKUP('Données projet'!$B$11,Paramètres!$A$1:$I$88,3,0)*VLOOKUP('Données projet'!$B$11,Paramètres!$A$1:$I$88,5,0)</f>
        <v>115.53360000000001</v>
      </c>
      <c r="BF58" s="14">
        <f t="shared" si="37"/>
        <v>30.630996389304649</v>
      </c>
      <c r="BG58" s="22">
        <f t="shared" si="7"/>
        <v>254.57000537803893</v>
      </c>
      <c r="BH58" s="62">
        <f t="shared" si="8"/>
        <v>547.90333871137227</v>
      </c>
      <c r="BI58" s="62">
        <f ca="1">AVERAGE(OFFSET($BH$3,0,0,'Données projet'!$E$11+1,1))-AVERAGE(OFFSET($H$3,0,0,'Données projet'!$E$11+1,1))</f>
        <v>278.24093386944304</v>
      </c>
      <c r="BJ58" s="62">
        <f t="shared" si="38"/>
        <v>193.96102673885611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0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5.75</v>
      </c>
      <c r="BY58" s="13">
        <f>IF('Données projet'!$A$114&gt;35,BY57+BX58-CG57,IF(A58&lt;'Données projet'!$A$114,$BV$205^A58,IF(A58='Données projet'!$A$114,'Données projet'!$B$114,BY57+BX58-CG57)))</f>
        <v>132.25</v>
      </c>
      <c r="BZ58" s="14">
        <f>BY58*VLOOKUP('Données projet'!$B$12,Paramètres!$A$1:$I$88,3,0)*VLOOKUP('Données projet'!$B$12,Paramètres!$A$1:$I$88,5,0)</f>
        <v>127.91220000000001</v>
      </c>
      <c r="CA58" s="14">
        <f t="shared" si="39"/>
        <v>33.513476410823074</v>
      </c>
      <c r="CB58" s="22">
        <f t="shared" si="10"/>
        <v>281.1497197488502</v>
      </c>
      <c r="CC58" s="62">
        <f t="shared" si="11"/>
        <v>574.48305308218346</v>
      </c>
      <c r="CD58" s="62">
        <f ca="1">AVERAGE(OFFSET($CC$3,0,0,'Données projet'!$E$12+1,1))-AVERAGE(OFFSET($H$3,0,0,'Données projet'!$E$12+1,1))</f>
        <v>303.93739496872121</v>
      </c>
      <c r="CE58" s="62">
        <f t="shared" si="40"/>
        <v>210.36431469568754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0</v>
      </c>
      <c r="CL58" s="23">
        <f>EXP(-LN(2)/25)*CL57+(1-EXP(-LN(2)/25))/(LN(2)/25)*Calculateur!CG58*Calculateur!CI58*VLOOKUP('Données projet'!$B$12,Paramètres!$A$1:$I$88,3,0)*0.475*44/12</f>
        <v>0</v>
      </c>
      <c r="CM58" s="23">
        <f>EXP(-LN(2)/2)*CM57+(1-EXP(-LN(2)/2))/(LN(2)/2)*CG58*CJ58*VLOOKUP('Données projet'!$B$12,Paramètres!$A$1:$I$88,3,0)*0.475*44/12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>
        <f>CT58*VLOOKUP('Données projet'!$B$13,Paramètres!$A$1:$I$88,3,0)*VLOOKUP('Données projet'!$B$13,Paramètres!$A$1:$I$88,5,0)</f>
        <v>0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57.812812891099895</v>
      </c>
      <c r="CZ58" s="62">
        <f t="shared" si="42"/>
        <v>244.79885157604684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projet'!$B$13,Paramètres!$A$1:$I$88,3,0)*0.475*44/12</f>
        <v>23.450204130842614</v>
      </c>
      <c r="DG58" s="23">
        <f>EXP(-LN(2)/25)*DG57+(1-EXP(-LN(2)/25))/(LN(2)/25)*Calculateur!DB58*Calculateur!DD58*VLOOKUP('Données projet'!$B$13,Paramètres!$A$1:$I$88,3,0)*0.475*44/12</f>
        <v>0</v>
      </c>
      <c r="DH58" s="23">
        <f>EXP(-LN(2)/2)*DH57+(1-EXP(-LN(2)/2))/(LN(2)/2)*DB58*DE58*VLOOKUP('Données projet'!$B$13,Paramètres!$A$1:$I$88,3,0)*0.475*44/12</f>
        <v>6.9250075923490371E-5</v>
      </c>
      <c r="DI58" s="24">
        <f t="shared" si="15"/>
        <v>23.450273380918539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138</v>
      </c>
      <c r="L59" s="13">
        <f>VLOOKUP(A59,'Données projet'!$A$35:$I$55,9,0)</f>
        <v>5.75</v>
      </c>
      <c r="M59" s="13">
        <f t="array" ref="M59">INDEX(L:L,MIN(IF(ISNUMBER(L59:L255),ROW(L59:L255),"")))</f>
        <v>5.75</v>
      </c>
      <c r="N59" s="14">
        <f>IF('Données projet'!$A$36&gt;35,N58+M59-V58,IF(A59&lt;'Données projet'!$A$36,$K$205^A59,IF(A59='Données projet'!$A$36,'Données projet'!$B$36,N58+M59-V58)))</f>
        <v>138</v>
      </c>
      <c r="O59" s="14">
        <f>N59*VLOOKUP('Données projet'!$B$9,Paramètres!$A$1:$I$88,3,0)*VLOOKUP('Données projet'!$B$9,Paramètres!$A$1:$I$88,5,0)</f>
        <v>124.86239999999999</v>
      </c>
      <c r="P59" s="14">
        <f t="shared" si="33"/>
        <v>32.806439280561598</v>
      </c>
      <c r="Q59" s="22">
        <f t="shared" si="53"/>
        <v>274.60656174697812</v>
      </c>
      <c r="R59" s="62">
        <f t="shared" si="0"/>
        <v>567.93989508031143</v>
      </c>
      <c r="S59" s="62">
        <f ca="1">AVERAGE(OFFSET($R$3,0,0,'Données projet'!$E$9+1,1))-AVERAGE(OFFSET($H$3,0,0,'Données projet'!$E$9+1,1))</f>
        <v>286.81278534843665</v>
      </c>
      <c r="T59" s="62">
        <f t="shared" si="34"/>
        <v>199.43308683696642</v>
      </c>
      <c r="U59" s="16">
        <f>IF(ISNA(VLOOKUP(A59,'Données projet'!$A$35:$I$55,3,0)),0,VLOOKUP(A59,'Données projet'!$A$35:$I$55,3,0))</f>
        <v>3</v>
      </c>
      <c r="V59" s="16">
        <f>IF(ISNA(VLOOKUP(A59,'Données projet'!$A$35:$I$55,4,0)),0,VLOOKUP(A59,'Données projet'!$A$35:$I$55,4,0))</f>
        <v>36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>
        <f>VLOOKUP(A59,'Données projet'!$A$61:$I$81,2,0)</f>
        <v>138</v>
      </c>
      <c r="AG59" s="13">
        <f>VLOOKUP(A59,'Données projet'!$A$61:$I$81,9,0)</f>
        <v>5.75</v>
      </c>
      <c r="AH59" s="13">
        <f t="array" ref="AH59">INDEX(AG:AG,MIN(IF(ISNUMBER(AG59:AG255),ROW(AG59:AG255),"")))</f>
        <v>5.75</v>
      </c>
      <c r="AI59" s="14">
        <f>IF('Données projet'!$A$62&gt;35,AI58+AH59-AQ58,IF(A59&lt;'Données projet'!$A$62,$AF$205^A59,IF(A59='Données projet'!$A$62,'Données projet'!$B$62,AI58+AH59-AQ58)))</f>
        <v>138</v>
      </c>
      <c r="AJ59" s="14">
        <f>AI59*VLOOKUP('Données projet'!$B$10,Paramètres!$A$1:$I$88,3,0)*VLOOKUP('Données projet'!$B$10,Paramètres!$A$1:$I$88,5,0)</f>
        <v>139.93200000000002</v>
      </c>
      <c r="AK59" s="14">
        <f t="shared" si="35"/>
        <v>36.281427209452353</v>
      </c>
      <c r="AL59" s="22">
        <f t="shared" si="4"/>
        <v>306.90505238979614</v>
      </c>
      <c r="AM59" s="62">
        <f t="shared" si="5"/>
        <v>600.23838572312945</v>
      </c>
      <c r="AN59" s="62">
        <f ca="1">AVERAGE(OFFSET($AM$3,0,0,'Données projet'!$E$10+1,1))-AVERAGE(OFFSET($H$3,0,0,'Données projet'!$E$10+1,1))</f>
        <v>316.76504852082684</v>
      </c>
      <c r="AO59" s="62">
        <f t="shared" si="36"/>
        <v>218.5520645293999</v>
      </c>
      <c r="AP59" s="16">
        <f>IF(ISNA(VLOOKUP(A59,'Données projet'!$A$61:$I$81,3,0)),0,VLOOKUP(A59,'Données projet'!$A$61:$I$81,3,0))</f>
        <v>3</v>
      </c>
      <c r="AQ59" s="16">
        <f>IF(ISNA(VLOOKUP(A59,'Données projet'!$A$61:$I$81,4,0)),0,VLOOKUP(A59,'Données projet'!$A$61:$I$81,4,0))</f>
        <v>36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0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138</v>
      </c>
      <c r="BB59" s="13">
        <f>VLOOKUP(A59,'Données projet'!$A$87:$I$107,9,0)</f>
        <v>5.75</v>
      </c>
      <c r="BC59" s="13">
        <f t="array" ref="BC59">INDEX(BB:BB,MIN(IF(ISNUMBER(BB59:BB255),ROW(BB59:BB255),"")))</f>
        <v>5.75</v>
      </c>
      <c r="BD59" s="13">
        <f>IF('Données projet'!$A$88&gt;35,BD58+BC59-BL58,IF(A59&lt;'Données projet'!$A$88,$BA$205^A59,IF(A59='Données projet'!$A$88,'Données projet'!$B$88,BD58+BC59-BL58)))</f>
        <v>138</v>
      </c>
      <c r="BE59" s="14">
        <f>BD59*VLOOKUP('Données projet'!$B$11,Paramètres!$A$1:$I$88,3,0)*VLOOKUP('Données projet'!$B$11,Paramètres!$A$1:$I$88,5,0)</f>
        <v>120.55680000000001</v>
      </c>
      <c r="BF59" s="14">
        <f t="shared" si="37"/>
        <v>31.804828741198779</v>
      </c>
      <c r="BG59" s="22">
        <f t="shared" si="7"/>
        <v>265.36317005758787</v>
      </c>
      <c r="BH59" s="62">
        <f t="shared" si="8"/>
        <v>558.69650339092118</v>
      </c>
      <c r="BI59" s="62">
        <f ca="1">AVERAGE(OFFSET($BH$3,0,0,'Données projet'!$E$11+1,1))-AVERAGE(OFFSET($H$3,0,0,'Données projet'!$E$11+1,1))</f>
        <v>278.24093386944304</v>
      </c>
      <c r="BJ59" s="62">
        <f t="shared" si="38"/>
        <v>193.96102673885611</v>
      </c>
      <c r="BK59" s="16">
        <f>IF(ISNA(VLOOKUP(A59,'Données projet'!$A$87:$I$107,3,0)),0,VLOOKUP(A59,'Données projet'!$A$87:$I$107,3,0))</f>
        <v>3</v>
      </c>
      <c r="BL59" s="16">
        <f>IF(ISNA(VLOOKUP(A59,'Données projet'!$A$87:$I$107,4,0)),0,VLOOKUP(A59,'Données projet'!$A$87:$I$107,4,0))</f>
        <v>36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0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>
        <f>VLOOKUP(A59,'Données projet'!$A$113:$I$133,2,0)</f>
        <v>138</v>
      </c>
      <c r="BW59" s="13">
        <f>VLOOKUP(A59,'Données projet'!$A$113:$I$133,9,0)</f>
        <v>5.75</v>
      </c>
      <c r="BX59" s="13">
        <f t="array" ref="BX59">INDEX(BW:BW,MIN(IF(ISNUMBER(BW59:BW255),ROW(BW59:BW255),"")))</f>
        <v>5.75</v>
      </c>
      <c r="BY59" s="13">
        <f>IF('Données projet'!$A$114&gt;35,BY58+BX59-CG58,IF(A59&lt;'Données projet'!$A$114,$BV$205^A59,IF(A59='Données projet'!$A$114,'Données projet'!$B$114,BY58+BX59-CG58)))</f>
        <v>138</v>
      </c>
      <c r="BZ59" s="14">
        <f>BY59*VLOOKUP('Données projet'!$B$12,Paramètres!$A$1:$I$88,3,0)*VLOOKUP('Données projet'!$B$12,Paramètres!$A$1:$I$88,5,0)</f>
        <v>133.4736</v>
      </c>
      <c r="CA59" s="14">
        <f t="shared" si="39"/>
        <v>34.797770344180101</v>
      </c>
      <c r="CB59" s="22">
        <f t="shared" si="10"/>
        <v>293.07263668278034</v>
      </c>
      <c r="CC59" s="62">
        <f t="shared" si="11"/>
        <v>586.40597001611366</v>
      </c>
      <c r="CD59" s="62">
        <f ca="1">AVERAGE(OFFSET($CC$3,0,0,'Données projet'!$E$12+1,1))-AVERAGE(OFFSET($H$3,0,0,'Données projet'!$E$12+1,1))</f>
        <v>303.93739496872121</v>
      </c>
      <c r="CE59" s="62">
        <f t="shared" si="40"/>
        <v>210.36431469568754</v>
      </c>
      <c r="CF59" s="16">
        <f>IF(ISNA(VLOOKUP(A59,'Données projet'!$A$113:$I$133,3,0)),0,VLOOKUP(A59,'Données projet'!$A$113:$I$133,3,0))</f>
        <v>3</v>
      </c>
      <c r="CG59" s="16">
        <f>IF(ISNA(VLOOKUP(A59,'Données projet'!$A$113:$I$133,4,0)),0,VLOOKUP(A59,'Données projet'!$A$113:$I$133,4,0))</f>
        <v>36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0</v>
      </c>
      <c r="CL59" s="23">
        <f>EXP(-LN(2)/25)*CL58+(1-EXP(-LN(2)/25))/(LN(2)/25)*Calculateur!CG59*Calculateur!CI59*VLOOKUP('Données projet'!$B$12,Paramètres!$A$1:$I$88,3,0)*0.475*44/12</f>
        <v>0</v>
      </c>
      <c r="CM59" s="23">
        <f>EXP(-LN(2)/2)*CM58+(1-EXP(-LN(2)/2))/(LN(2)/2)*CG59*CJ59*VLOOKUP('Données projet'!$B$12,Paramètres!$A$1:$I$88,3,0)*0.475*44/12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>
        <f>CT59*VLOOKUP('Données projet'!$B$13,Paramètres!$A$1:$I$88,3,0)*VLOOKUP('Données projet'!$B$13,Paramètres!$A$1:$I$88,5,0)</f>
        <v>0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57.812812891099895</v>
      </c>
      <c r="CZ59" s="62">
        <f t="shared" si="42"/>
        <v>244.79885157604684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projet'!$B$13,Paramètres!$A$1:$I$88,3,0)*0.475*44/12</f>
        <v>22.990359931048985</v>
      </c>
      <c r="DG59" s="23">
        <f>EXP(-LN(2)/25)*DG58+(1-EXP(-LN(2)/25))/(LN(2)/25)*Calculateur!DB59*Calculateur!DD59*VLOOKUP('Données projet'!$B$13,Paramètres!$A$1:$I$88,3,0)*0.475*44/12</f>
        <v>0</v>
      </c>
      <c r="DH59" s="23">
        <f>EXP(-LN(2)/2)*DH58+(1-EXP(-LN(2)/2))/(LN(2)/2)*DB59*DE59*VLOOKUP('Données projet'!$B$13,Paramètres!$A$1:$I$88,3,0)*0.475*44/12</f>
        <v>4.896719828318331E-5</v>
      </c>
      <c r="DI59" s="24">
        <f t="shared" si="15"/>
        <v>22.990408898247267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6.625</v>
      </c>
      <c r="N60" s="14">
        <f>IF('Données projet'!$A$36&gt;35,N59+M60-V59,IF(A60&lt;'Données projet'!$A$36,$K$205^A60,IF(A60='Données projet'!$A$36,'Données projet'!$B$36,N59+M60-V59)))</f>
        <v>108.625</v>
      </c>
      <c r="O60" s="14">
        <f>N60*VLOOKUP('Données projet'!$B$9,Paramètres!$A$1:$I$88,3,0)*VLOOKUP('Données projet'!$B$9,Paramètres!$A$1:$I$88,5,0)</f>
        <v>98.283900000000003</v>
      </c>
      <c r="P60" s="14">
        <f t="shared" si="33"/>
        <v>26.552749421787905</v>
      </c>
      <c r="Q60" s="22">
        <f t="shared" si="53"/>
        <v>217.42383107628061</v>
      </c>
      <c r="R60" s="62">
        <f t="shared" si="0"/>
        <v>510.75716440961389</v>
      </c>
      <c r="S60" s="62">
        <f ca="1">AVERAGE(OFFSET($R$3,0,0,'Données projet'!$E$9+1,1))-AVERAGE(OFFSET($H$3,0,0,'Données projet'!$E$9+1,1))</f>
        <v>286.81278534843665</v>
      </c>
      <c r="T60" s="62">
        <f t="shared" si="34"/>
        <v>199.43308683696642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6.625</v>
      </c>
      <c r="AI60" s="14">
        <f>IF('Données projet'!$A$62&gt;35,AI59+AH60-AQ59,IF(A60&lt;'Données projet'!$A$62,$AF$205^A60,IF(A60='Données projet'!$A$62,'Données projet'!$B$62,AI59+AH60-AQ59)))</f>
        <v>108.625</v>
      </c>
      <c r="AJ60" s="14">
        <f>AI60*VLOOKUP('Données projet'!$B$10,Paramètres!$A$1:$I$88,3,0)*VLOOKUP('Données projet'!$B$10,Paramètres!$A$1:$I$88,5,0)</f>
        <v>110.14575000000001</v>
      </c>
      <c r="AK60" s="14">
        <f t="shared" si="35"/>
        <v>29.365321762555343</v>
      </c>
      <c r="AL60" s="22">
        <f t="shared" si="4"/>
        <v>242.98178331978389</v>
      </c>
      <c r="AM60" s="62">
        <f t="shared" si="5"/>
        <v>536.31511665311723</v>
      </c>
      <c r="AN60" s="62">
        <f ca="1">AVERAGE(OFFSET($AM$3,0,0,'Données projet'!$E$10+1,1))-AVERAGE(OFFSET($H$3,0,0,'Données projet'!$E$10+1,1))</f>
        <v>316.76504852082684</v>
      </c>
      <c r="AO60" s="62">
        <f t="shared" si="36"/>
        <v>218.5520645293999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0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6.625</v>
      </c>
      <c r="BD60" s="13">
        <f>IF('Données projet'!$A$88&gt;35,BD59+BC60-BL59,IF(A60&lt;'Données projet'!$A$88,$BA$205^A60,IF(A60='Données projet'!$A$88,'Données projet'!$B$88,BD59+BC60-BL59)))</f>
        <v>108.625</v>
      </c>
      <c r="BE60" s="14">
        <f>BD60*VLOOKUP('Données projet'!$B$11,Paramètres!$A$1:$I$88,3,0)*VLOOKUP('Données projet'!$B$11,Paramètres!$A$1:$I$88,5,0)</f>
        <v>94.894800000000018</v>
      </c>
      <c r="BF60" s="14">
        <f t="shared" si="37"/>
        <v>25.742069742640883</v>
      </c>
      <c r="BG60" s="22">
        <f t="shared" si="7"/>
        <v>210.10921480176623</v>
      </c>
      <c r="BH60" s="62">
        <f t="shared" si="8"/>
        <v>503.44254813509951</v>
      </c>
      <c r="BI60" s="62">
        <f ca="1">AVERAGE(OFFSET($BH$3,0,0,'Données projet'!$E$11+1,1))-AVERAGE(OFFSET($H$3,0,0,'Données projet'!$E$11+1,1))</f>
        <v>278.24093386944304</v>
      </c>
      <c r="BJ60" s="62">
        <f t="shared" si="38"/>
        <v>193.96102673885611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0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6.625</v>
      </c>
      <c r="BY60" s="13">
        <f>IF('Données projet'!$A$114&gt;35,BY59+BX60-CG59,IF(A60&lt;'Données projet'!$A$114,$BV$205^A60,IF(A60='Données projet'!$A$114,'Données projet'!$B$114,BY59+BX60-CG59)))</f>
        <v>108.625</v>
      </c>
      <c r="BZ60" s="14">
        <f>BY60*VLOOKUP('Données projet'!$B$12,Paramètres!$A$1:$I$88,3,0)*VLOOKUP('Données projet'!$B$12,Paramètres!$A$1:$I$88,5,0)</f>
        <v>105.0621</v>
      </c>
      <c r="CA60" s="14">
        <f t="shared" si="39"/>
        <v>28.164485285466803</v>
      </c>
      <c r="CB60" s="22">
        <f t="shared" si="10"/>
        <v>232.03630270552131</v>
      </c>
      <c r="CC60" s="62">
        <f t="shared" si="11"/>
        <v>525.36963603885465</v>
      </c>
      <c r="CD60" s="62">
        <f ca="1">AVERAGE(OFFSET($CC$3,0,0,'Données projet'!$E$12+1,1))-AVERAGE(OFFSET($H$3,0,0,'Données projet'!$E$12+1,1))</f>
        <v>303.93739496872121</v>
      </c>
      <c r="CE60" s="62">
        <f t="shared" si="40"/>
        <v>210.36431469568754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0</v>
      </c>
      <c r="CL60" s="23">
        <f>EXP(-LN(2)/25)*CL59+(1-EXP(-LN(2)/25))/(LN(2)/25)*Calculateur!CG60*Calculateur!CI60*VLOOKUP('Données projet'!$B$12,Paramètres!$A$1:$I$88,3,0)*0.475*44/12</f>
        <v>0</v>
      </c>
      <c r="CM60" s="23">
        <f>EXP(-LN(2)/2)*CM59+(1-EXP(-LN(2)/2))/(LN(2)/2)*CG60*CJ60*VLOOKUP('Données projet'!$B$12,Paramètres!$A$1:$I$88,3,0)*0.475*44/12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>
        <f>CT60*VLOOKUP('Données projet'!$B$13,Paramètres!$A$1:$I$88,3,0)*VLOOKUP('Données projet'!$B$13,Paramètres!$A$1:$I$88,5,0)</f>
        <v>0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57.812812891099895</v>
      </c>
      <c r="CZ60" s="62">
        <f t="shared" si="42"/>
        <v>244.79885157604684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projet'!$B$13,Paramètres!$A$1:$I$88,3,0)*0.475*44/12</f>
        <v>22.539532995536042</v>
      </c>
      <c r="DG60" s="23">
        <f>EXP(-LN(2)/25)*DG59+(1-EXP(-LN(2)/25))/(LN(2)/25)*Calculateur!DB60*Calculateur!DD60*VLOOKUP('Données projet'!$B$13,Paramètres!$A$1:$I$88,3,0)*0.475*44/12</f>
        <v>0</v>
      </c>
      <c r="DH60" s="23">
        <f>EXP(-LN(2)/2)*DH59+(1-EXP(-LN(2)/2))/(LN(2)/2)*DB60*DE60*VLOOKUP('Données projet'!$B$13,Paramètres!$A$1:$I$88,3,0)*0.475*44/12</f>
        <v>3.4625037961745185E-5</v>
      </c>
      <c r="DI60" s="24">
        <f t="shared" si="15"/>
        <v>22.539567620574005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6.625</v>
      </c>
      <c r="N61" s="14">
        <f>IF('Données projet'!$A$36&gt;35,N60+M61-V60,IF(A61&lt;'Données projet'!$A$36,$K$205^A61,IF(A61='Données projet'!$A$36,'Données projet'!$B$36,N60+M61-V60)))</f>
        <v>115.25</v>
      </c>
      <c r="O61" s="14">
        <f>N61*VLOOKUP('Données projet'!$B$9,Paramètres!$A$1:$I$88,3,0)*VLOOKUP('Données projet'!$B$9,Paramètres!$A$1:$I$88,5,0)</f>
        <v>104.2782</v>
      </c>
      <c r="P61" s="14">
        <f t="shared" si="33"/>
        <v>27.978721441571697</v>
      </c>
      <c r="Q61" s="22">
        <f t="shared" si="53"/>
        <v>230.34747151073736</v>
      </c>
      <c r="R61" s="62">
        <f t="shared" si="0"/>
        <v>523.68080484407074</v>
      </c>
      <c r="S61" s="62">
        <f ca="1">AVERAGE(OFFSET($R$3,0,0,'Données projet'!$E$9+1,1))-AVERAGE(OFFSET($H$3,0,0,'Données projet'!$E$9+1,1))</f>
        <v>286.81278534843665</v>
      </c>
      <c r="T61" s="62">
        <f t="shared" si="34"/>
        <v>199.43308683696642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6.625</v>
      </c>
      <c r="AI61" s="14">
        <f>IF('Données projet'!$A$62&gt;35,AI60+AH61-AQ60,IF(A61&lt;'Données projet'!$A$62,$AF$205^A61,IF(A61='Données projet'!$A$62,'Données projet'!$B$62,AI60+AH61-AQ60)))</f>
        <v>115.25</v>
      </c>
      <c r="AJ61" s="14">
        <f>AI61*VLOOKUP('Données projet'!$B$10,Paramètres!$A$1:$I$88,3,0)*VLOOKUP('Données projet'!$B$10,Paramètres!$A$1:$I$88,5,0)</f>
        <v>116.86350000000002</v>
      </c>
      <c r="AK61" s="14">
        <f t="shared" si="35"/>
        <v>30.9423383840805</v>
      </c>
      <c r="AL61" s="22">
        <f t="shared" si="4"/>
        <v>257.42850185227354</v>
      </c>
      <c r="AM61" s="62">
        <f t="shared" si="5"/>
        <v>550.76183518560686</v>
      </c>
      <c r="AN61" s="62">
        <f ca="1">AVERAGE(OFFSET($AM$3,0,0,'Données projet'!$E$10+1,1))-AVERAGE(OFFSET($H$3,0,0,'Données projet'!$E$10+1,1))</f>
        <v>316.76504852082684</v>
      </c>
      <c r="AO61" s="62">
        <f t="shared" si="36"/>
        <v>218.5520645293999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0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6.625</v>
      </c>
      <c r="BD61" s="13">
        <f>IF('Données projet'!$A$88&gt;35,BD60+BC61-BL60,IF(A61&lt;'Données projet'!$A$88,$BA$205^A61,IF(A61='Données projet'!$A$88,'Données projet'!$B$88,BD60+BC61-BL60)))</f>
        <v>115.25</v>
      </c>
      <c r="BE61" s="14">
        <f>BD61*VLOOKUP('Données projet'!$B$11,Paramètres!$A$1:$I$88,3,0)*VLOOKUP('Données projet'!$B$11,Paramètres!$A$1:$I$88,5,0)</f>
        <v>100.68240000000002</v>
      </c>
      <c r="BF61" s="14">
        <f t="shared" si="37"/>
        <v>27.124505534928659</v>
      </c>
      <c r="BG61" s="22">
        <f t="shared" si="7"/>
        <v>222.59702714000073</v>
      </c>
      <c r="BH61" s="62">
        <f t="shared" si="8"/>
        <v>515.93036047333408</v>
      </c>
      <c r="BI61" s="62">
        <f ca="1">AVERAGE(OFFSET($BH$3,0,0,'Données projet'!$E$11+1,1))-AVERAGE(OFFSET($H$3,0,0,'Données projet'!$E$11+1,1))</f>
        <v>278.24093386944304</v>
      </c>
      <c r="BJ61" s="62">
        <f t="shared" si="38"/>
        <v>193.96102673885611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0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6.625</v>
      </c>
      <c r="BY61" s="13">
        <f>IF('Données projet'!$A$114&gt;35,BY60+BX61-CG60,IF(A61&lt;'Données projet'!$A$114,$BV$205^A61,IF(A61='Données projet'!$A$114,'Données projet'!$B$114,BY60+BX61-CG60)))</f>
        <v>115.25</v>
      </c>
      <c r="BZ61" s="14">
        <f>BY61*VLOOKUP('Données projet'!$B$12,Paramètres!$A$1:$I$88,3,0)*VLOOKUP('Données projet'!$B$12,Paramètres!$A$1:$I$88,5,0)</f>
        <v>111.46980000000001</v>
      </c>
      <c r="CA61" s="14">
        <f t="shared" si="39"/>
        <v>29.677012946189294</v>
      </c>
      <c r="CB61" s="22">
        <f t="shared" si="10"/>
        <v>245.83069921461302</v>
      </c>
      <c r="CC61" s="62">
        <f t="shared" si="11"/>
        <v>539.16403254794636</v>
      </c>
      <c r="CD61" s="62">
        <f ca="1">AVERAGE(OFFSET($CC$3,0,0,'Données projet'!$E$12+1,1))-AVERAGE(OFFSET($H$3,0,0,'Données projet'!$E$12+1,1))</f>
        <v>303.93739496872121</v>
      </c>
      <c r="CE61" s="62">
        <f t="shared" si="40"/>
        <v>210.36431469568754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0</v>
      </c>
      <c r="CL61" s="23">
        <f>EXP(-LN(2)/25)*CL60+(1-EXP(-LN(2)/25))/(LN(2)/25)*Calculateur!CG61*Calculateur!CI61*VLOOKUP('Données projet'!$B$12,Paramètres!$A$1:$I$88,3,0)*0.475*44/12</f>
        <v>0</v>
      </c>
      <c r="CM61" s="23">
        <f>EXP(-LN(2)/2)*CM60+(1-EXP(-LN(2)/2))/(LN(2)/2)*CG61*CJ61*VLOOKUP('Données projet'!$B$12,Paramètres!$A$1:$I$88,3,0)*0.475*44/12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>
        <f>CT61*VLOOKUP('Données projet'!$B$13,Paramètres!$A$1:$I$88,3,0)*VLOOKUP('Données projet'!$B$13,Paramètres!$A$1:$I$88,5,0)</f>
        <v>0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57.812812891099895</v>
      </c>
      <c r="CZ61" s="62">
        <f t="shared" si="42"/>
        <v>244.79885157604684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projet'!$B$13,Paramètres!$A$1:$I$88,3,0)*0.475*44/12</f>
        <v>22.09754650125123</v>
      </c>
      <c r="DG61" s="23">
        <f>EXP(-LN(2)/25)*DG60+(1-EXP(-LN(2)/25))/(LN(2)/25)*Calculateur!DB61*Calculateur!DD61*VLOOKUP('Données projet'!$B$13,Paramètres!$A$1:$I$88,3,0)*0.475*44/12</f>
        <v>0</v>
      </c>
      <c r="DH61" s="23">
        <f>EXP(-LN(2)/2)*DH60+(1-EXP(-LN(2)/2))/(LN(2)/2)*DB61*DE61*VLOOKUP('Données projet'!$B$13,Paramètres!$A$1:$I$88,3,0)*0.475*44/12</f>
        <v>2.4483599141591655E-5</v>
      </c>
      <c r="DI61" s="24">
        <f t="shared" si="15"/>
        <v>22.097570984850371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6.625</v>
      </c>
      <c r="N62" s="14">
        <f>IF('Données projet'!$A$36&gt;35,N61+M62-V61,IF(A62&lt;'Données projet'!$A$36,$K$205^A62,IF(A62='Données projet'!$A$36,'Données projet'!$B$36,N61+M62-V61)))</f>
        <v>121.875</v>
      </c>
      <c r="O62" s="14">
        <f>N62*VLOOKUP('Données projet'!$B$9,Paramètres!$A$1:$I$88,3,0)*VLOOKUP('Données projet'!$B$9,Paramètres!$A$1:$I$88,5,0)</f>
        <v>110.27250000000001</v>
      </c>
      <c r="P62" s="14">
        <f t="shared" si="33"/>
        <v>29.395178449871299</v>
      </c>
      <c r="Q62" s="22">
        <f t="shared" si="53"/>
        <v>243.2545399668592</v>
      </c>
      <c r="R62" s="62">
        <f t="shared" si="0"/>
        <v>536.58787330019254</v>
      </c>
      <c r="S62" s="62">
        <f ca="1">AVERAGE(OFFSET($R$3,0,0,'Données projet'!$E$9+1,1))-AVERAGE(OFFSET($H$3,0,0,'Données projet'!$E$9+1,1))</f>
        <v>286.81278534843665</v>
      </c>
      <c r="T62" s="62">
        <f t="shared" si="34"/>
        <v>199.43308683696642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6.625</v>
      </c>
      <c r="AI62" s="14">
        <f>IF('Données projet'!$A$62&gt;35,AI61+AH62-AQ61,IF(A62&lt;'Données projet'!$A$62,$AF$205^A62,IF(A62='Données projet'!$A$62,'Données projet'!$B$62,AI61+AH62-AQ61)))</f>
        <v>121.875</v>
      </c>
      <c r="AJ62" s="14">
        <f>AI62*VLOOKUP('Données projet'!$B$10,Paramètres!$A$1:$I$88,3,0)*VLOOKUP('Données projet'!$B$10,Paramètres!$A$1:$I$88,5,0)</f>
        <v>123.58125</v>
      </c>
      <c r="AK62" s="14">
        <f t="shared" si="35"/>
        <v>32.508832126435216</v>
      </c>
      <c r="AL62" s="22">
        <f t="shared" si="4"/>
        <v>271.85689303687468</v>
      </c>
      <c r="AM62" s="62">
        <f t="shared" si="5"/>
        <v>565.19022637020794</v>
      </c>
      <c r="AN62" s="62">
        <f ca="1">AVERAGE(OFFSET($AM$3,0,0,'Données projet'!$E$10+1,1))-AVERAGE(OFFSET($H$3,0,0,'Données projet'!$E$10+1,1))</f>
        <v>316.76504852082684</v>
      </c>
      <c r="AO62" s="62">
        <f t="shared" si="36"/>
        <v>218.5520645293999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0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6.625</v>
      </c>
      <c r="BD62" s="13">
        <f>IF('Données projet'!$A$88&gt;35,BD61+BC62-BL61,IF(A62&lt;'Données projet'!$A$88,$BA$205^A62,IF(A62='Données projet'!$A$88,'Données projet'!$B$88,BD61+BC62-BL61)))</f>
        <v>121.875</v>
      </c>
      <c r="BE62" s="14">
        <f>BD62*VLOOKUP('Données projet'!$B$11,Paramètres!$A$1:$I$88,3,0)*VLOOKUP('Données projet'!$B$11,Paramètres!$A$1:$I$88,5,0)</f>
        <v>106.47</v>
      </c>
      <c r="BF62" s="14">
        <f t="shared" si="37"/>
        <v>28.49771681771891</v>
      </c>
      <c r="BG62" s="22">
        <f t="shared" si="7"/>
        <v>235.06877345752704</v>
      </c>
      <c r="BH62" s="62">
        <f t="shared" si="8"/>
        <v>528.40210679086033</v>
      </c>
      <c r="BI62" s="62">
        <f ca="1">AVERAGE(OFFSET($BH$3,0,0,'Données projet'!$E$11+1,1))-AVERAGE(OFFSET($H$3,0,0,'Données projet'!$E$11+1,1))</f>
        <v>278.24093386944304</v>
      </c>
      <c r="BJ62" s="62">
        <f t="shared" si="38"/>
        <v>193.96102673885611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0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6.625</v>
      </c>
      <c r="BY62" s="13">
        <f>IF('Données projet'!$A$114&gt;35,BY61+BX62-CG61,IF(A62&lt;'Données projet'!$A$114,$BV$205^A62,IF(A62='Données projet'!$A$114,'Données projet'!$B$114,BY61+BX62-CG61)))</f>
        <v>121.875</v>
      </c>
      <c r="BZ62" s="14">
        <f>BY62*VLOOKUP('Données projet'!$B$12,Paramètres!$A$1:$I$88,3,0)*VLOOKUP('Données projet'!$B$12,Paramètres!$A$1:$I$88,5,0)</f>
        <v>117.8775</v>
      </c>
      <c r="CA62" s="14">
        <f t="shared" si="39"/>
        <v>31.179448039973451</v>
      </c>
      <c r="CB62" s="22">
        <f t="shared" si="10"/>
        <v>259.60751783628712</v>
      </c>
      <c r="CC62" s="62">
        <f t="shared" si="11"/>
        <v>552.94085116962037</v>
      </c>
      <c r="CD62" s="62">
        <f ca="1">AVERAGE(OFFSET($CC$3,0,0,'Données projet'!$E$12+1,1))-AVERAGE(OFFSET($H$3,0,0,'Données projet'!$E$12+1,1))</f>
        <v>303.93739496872121</v>
      </c>
      <c r="CE62" s="62">
        <f t="shared" si="40"/>
        <v>210.36431469568754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0</v>
      </c>
      <c r="CL62" s="23">
        <f>EXP(-LN(2)/25)*CL61+(1-EXP(-LN(2)/25))/(LN(2)/25)*Calculateur!CG62*Calculateur!CI62*VLOOKUP('Données projet'!$B$12,Paramètres!$A$1:$I$88,3,0)*0.475*44/12</f>
        <v>0</v>
      </c>
      <c r="CM62" s="23">
        <f>EXP(-LN(2)/2)*CM61+(1-EXP(-LN(2)/2))/(LN(2)/2)*CG62*CJ62*VLOOKUP('Données projet'!$B$12,Paramètres!$A$1:$I$88,3,0)*0.475*44/12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>
        <f>CT62*VLOOKUP('Données projet'!$B$13,Paramètres!$A$1:$I$88,3,0)*VLOOKUP('Données projet'!$B$13,Paramètres!$A$1:$I$88,5,0)</f>
        <v>0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57.812812891099895</v>
      </c>
      <c r="CZ62" s="62">
        <f t="shared" si="42"/>
        <v>244.79885157604684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projet'!$B$13,Paramètres!$A$1:$I$88,3,0)*0.475*44/12</f>
        <v>21.664227092534201</v>
      </c>
      <c r="DG62" s="23">
        <f>EXP(-LN(2)/25)*DG61+(1-EXP(-LN(2)/25))/(LN(2)/25)*Calculateur!DB62*Calculateur!DD62*VLOOKUP('Données projet'!$B$13,Paramètres!$A$1:$I$88,3,0)*0.475*44/12</f>
        <v>0</v>
      </c>
      <c r="DH62" s="23">
        <f>EXP(-LN(2)/2)*DH61+(1-EXP(-LN(2)/2))/(LN(2)/2)*DB62*DE62*VLOOKUP('Données projet'!$B$13,Paramètres!$A$1:$I$88,3,0)*0.475*44/12</f>
        <v>1.7312518980872593E-5</v>
      </c>
      <c r="DI62" s="24">
        <f t="shared" si="15"/>
        <v>21.664244405053182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6.625</v>
      </c>
      <c r="N63" s="14">
        <f>IF('Données projet'!$A$36&gt;35,N62+M63-V62,IF(A63&lt;'Données projet'!$A$36,$K$205^A63,IF(A63='Données projet'!$A$36,'Données projet'!$B$36,N62+M63-V62)))</f>
        <v>128.5</v>
      </c>
      <c r="O63" s="14">
        <f>N63*VLOOKUP('Données projet'!$B$9,Paramètres!$A$1:$I$88,3,0)*VLOOKUP('Données projet'!$B$9,Paramètres!$A$1:$I$88,5,0)</f>
        <v>116.2668</v>
      </c>
      <c r="P63" s="14">
        <f t="shared" si="33"/>
        <v>30.802696637636817</v>
      </c>
      <c r="Q63" s="22">
        <f t="shared" si="53"/>
        <v>256.14603997721747</v>
      </c>
      <c r="R63" s="62">
        <f t="shared" si="0"/>
        <v>549.47937331055073</v>
      </c>
      <c r="S63" s="62">
        <f ca="1">AVERAGE(OFFSET($R$3,0,0,'Données projet'!$E$9+1,1))-AVERAGE(OFFSET($H$3,0,0,'Données projet'!$E$9+1,1))</f>
        <v>286.81278534843665</v>
      </c>
      <c r="T63" s="62">
        <f t="shared" si="34"/>
        <v>199.43308683696642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6.625</v>
      </c>
      <c r="AI63" s="14">
        <f>IF('Données projet'!$A$62&gt;35,AI62+AH63-AQ62,IF(A63&lt;'Données projet'!$A$62,$AF$205^A63,IF(A63='Données projet'!$A$62,'Données projet'!$B$62,AI62+AH63-AQ62)))</f>
        <v>128.5</v>
      </c>
      <c r="AJ63" s="14">
        <f>AI63*VLOOKUP('Données projet'!$B$10,Paramètres!$A$1:$I$88,3,0)*VLOOKUP('Données projet'!$B$10,Paramètres!$A$1:$I$88,5,0)</f>
        <v>130.29900000000001</v>
      </c>
      <c r="AK63" s="14">
        <f t="shared" si="35"/>
        <v>34.065440212996258</v>
      </c>
      <c r="AL63" s="22">
        <f t="shared" si="4"/>
        <v>286.26806670430182</v>
      </c>
      <c r="AM63" s="62">
        <f t="shared" si="5"/>
        <v>579.60140003763513</v>
      </c>
      <c r="AN63" s="62">
        <f ca="1">AVERAGE(OFFSET($AM$3,0,0,'Données projet'!$E$10+1,1))-AVERAGE(OFFSET($H$3,0,0,'Données projet'!$E$10+1,1))</f>
        <v>316.76504852082684</v>
      </c>
      <c r="AO63" s="62">
        <f t="shared" si="36"/>
        <v>218.5520645293999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0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6.625</v>
      </c>
      <c r="BD63" s="13">
        <f>IF('Données projet'!$A$88&gt;35,BD62+BC63-BL62,IF(A63&lt;'Données projet'!$A$88,$BA$205^A63,IF(A63='Données projet'!$A$88,'Données projet'!$B$88,BD62+BC63-BL62)))</f>
        <v>128.5</v>
      </c>
      <c r="BE63" s="14">
        <f>BD63*VLOOKUP('Données projet'!$B$11,Paramètres!$A$1:$I$88,3,0)*VLOOKUP('Données projet'!$B$11,Paramètres!$A$1:$I$88,5,0)</f>
        <v>112.25760000000001</v>
      </c>
      <c r="BF63" s="14">
        <f t="shared" si="37"/>
        <v>29.862262190325943</v>
      </c>
      <c r="BG63" s="22">
        <f t="shared" si="7"/>
        <v>247.52542664815101</v>
      </c>
      <c r="BH63" s="62">
        <f t="shared" si="8"/>
        <v>540.85875998148435</v>
      </c>
      <c r="BI63" s="62">
        <f ca="1">AVERAGE(OFFSET($BH$3,0,0,'Données projet'!$E$11+1,1))-AVERAGE(OFFSET($H$3,0,0,'Données projet'!$E$11+1,1))</f>
        <v>278.24093386944304</v>
      </c>
      <c r="BJ63" s="62">
        <f t="shared" si="38"/>
        <v>193.96102673885611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0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6.625</v>
      </c>
      <c r="BY63" s="13">
        <f>IF('Données projet'!$A$114&gt;35,BY62+BX63-CG62,IF(A63&lt;'Données projet'!$A$114,$BV$205^A63,IF(A63='Données projet'!$A$114,'Données projet'!$B$114,BY62+BX63-CG62)))</f>
        <v>128.5</v>
      </c>
      <c r="BZ63" s="14">
        <f>BY63*VLOOKUP('Données projet'!$B$12,Paramètres!$A$1:$I$88,3,0)*VLOOKUP('Données projet'!$B$12,Paramètres!$A$1:$I$88,5,0)</f>
        <v>124.2852</v>
      </c>
      <c r="CA63" s="14">
        <f t="shared" si="39"/>
        <v>32.672401732212208</v>
      </c>
      <c r="CB63" s="22">
        <f t="shared" si="10"/>
        <v>273.36782301693626</v>
      </c>
      <c r="CC63" s="62">
        <f t="shared" si="11"/>
        <v>566.70115635026957</v>
      </c>
      <c r="CD63" s="62">
        <f ca="1">AVERAGE(OFFSET($CC$3,0,0,'Données projet'!$E$12+1,1))-AVERAGE(OFFSET($H$3,0,0,'Données projet'!$E$12+1,1))</f>
        <v>303.93739496872121</v>
      </c>
      <c r="CE63" s="62">
        <f t="shared" si="40"/>
        <v>210.36431469568754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projet'!$B$12,Paramètres!$A$1:$I$88,3,0)*0.475*44/12</f>
        <v>0</v>
      </c>
      <c r="CL63" s="23">
        <f>EXP(-LN(2)/25)*CL62+(1-EXP(-LN(2)/25))/(LN(2)/25)*Calculateur!CG63*Calculateur!CI63*VLOOKUP('Données projet'!$B$12,Paramètres!$A$1:$I$88,3,0)*0.475*44/12</f>
        <v>0</v>
      </c>
      <c r="CM63" s="23">
        <f>EXP(-LN(2)/2)*CM62+(1-EXP(-LN(2)/2))/(LN(2)/2)*CG63*CJ63*VLOOKUP('Données projet'!$B$12,Paramètres!$A$1:$I$88,3,0)*0.475*44/12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>
        <f>CT63*VLOOKUP('Données projet'!$B$13,Paramètres!$A$1:$I$88,3,0)*VLOOKUP('Données projet'!$B$13,Paramètres!$A$1:$I$88,5,0)</f>
        <v>0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57.812812891099895</v>
      </c>
      <c r="CZ63" s="62">
        <f t="shared" si="42"/>
        <v>244.79885157604684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projet'!$B$13,Paramètres!$A$1:$I$88,3,0)*0.475*44/12</f>
        <v>21.239404813123372</v>
      </c>
      <c r="DG63" s="23">
        <f>EXP(-LN(2)/25)*DG62+(1-EXP(-LN(2)/25))/(LN(2)/25)*Calculateur!DB63*Calculateur!DD63*VLOOKUP('Données projet'!$B$13,Paramètres!$A$1:$I$88,3,0)*0.475*44/12</f>
        <v>0</v>
      </c>
      <c r="DH63" s="23">
        <f>EXP(-LN(2)/2)*DH62+(1-EXP(-LN(2)/2))/(LN(2)/2)*DB63*DE63*VLOOKUP('Données projet'!$B$13,Paramètres!$A$1:$I$88,3,0)*0.475*44/12</f>
        <v>1.2241799570795827E-5</v>
      </c>
      <c r="DI63" s="24">
        <f t="shared" si="15"/>
        <v>21.239417054922942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6.625</v>
      </c>
      <c r="N64" s="14">
        <f>IF('Données projet'!$A$36&gt;35,N63+M64-V63,IF(A64&lt;'Données projet'!$A$36,$K$205^A64,IF(A64='Données projet'!$A$36,'Données projet'!$B$36,N63+M64-V63)))</f>
        <v>135.125</v>
      </c>
      <c r="O64" s="14">
        <f>N64*VLOOKUP('Données projet'!$B$9,Paramètres!$A$1:$I$88,3,0)*VLOOKUP('Données projet'!$B$9,Paramètres!$A$1:$I$88,5,0)</f>
        <v>122.26109999999998</v>
      </c>
      <c r="P64" s="14">
        <f t="shared" si="33"/>
        <v>32.201789427344288</v>
      </c>
      <c r="Q64" s="22">
        <f t="shared" si="53"/>
        <v>269.02286575262457</v>
      </c>
      <c r="R64" s="62">
        <f t="shared" si="0"/>
        <v>562.35619908595788</v>
      </c>
      <c r="S64" s="62">
        <f ca="1">AVERAGE(OFFSET($R$3,0,0,'Données projet'!$E$9+1,1))-AVERAGE(OFFSET($H$3,0,0,'Données projet'!$E$9+1,1))</f>
        <v>286.81278534843665</v>
      </c>
      <c r="T64" s="62">
        <f t="shared" si="34"/>
        <v>199.43308683696642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6.625</v>
      </c>
      <c r="AI64" s="14">
        <f>IF('Données projet'!$A$62&gt;35,AI63+AH64-AQ63,IF(A64&lt;'Données projet'!$A$62,$AF$205^A64,IF(A64='Données projet'!$A$62,'Données projet'!$B$62,AI63+AH64-AQ63)))</f>
        <v>135.125</v>
      </c>
      <c r="AJ64" s="14">
        <f>AI64*VLOOKUP('Données projet'!$B$10,Paramètres!$A$1:$I$88,3,0)*VLOOKUP('Données projet'!$B$10,Paramètres!$A$1:$I$88,5,0)</f>
        <v>137.01675</v>
      </c>
      <c r="AK64" s="14">
        <f t="shared" si="35"/>
        <v>35.61273044998083</v>
      </c>
      <c r="AL64" s="22">
        <f t="shared" si="4"/>
        <v>300.66301178371663</v>
      </c>
      <c r="AM64" s="62">
        <f t="shared" si="5"/>
        <v>593.99634511704994</v>
      </c>
      <c r="AN64" s="62">
        <f ca="1">AVERAGE(OFFSET($AM$3,0,0,'Données projet'!$E$10+1,1))-AVERAGE(OFFSET($H$3,0,0,'Données projet'!$E$10+1,1))</f>
        <v>316.76504852082684</v>
      </c>
      <c r="AO64" s="62">
        <f t="shared" si="36"/>
        <v>218.5520645293999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0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6.625</v>
      </c>
      <c r="BD64" s="13">
        <f>IF('Données projet'!$A$88&gt;35,BD63+BC64-BL63,IF(A64&lt;'Données projet'!$A$88,$BA$205^A64,IF(A64='Données projet'!$A$88,'Données projet'!$B$88,BD63+BC64-BL63)))</f>
        <v>135.125</v>
      </c>
      <c r="BE64" s="14">
        <f>BD64*VLOOKUP('Données projet'!$B$11,Paramètres!$A$1:$I$88,3,0)*VLOOKUP('Données projet'!$B$11,Paramètres!$A$1:$I$88,5,0)</f>
        <v>118.04520000000001</v>
      </c>
      <c r="BF64" s="14">
        <f t="shared" si="37"/>
        <v>31.218639399968989</v>
      </c>
      <c r="BG64" s="22">
        <f t="shared" si="7"/>
        <v>259.96785362161262</v>
      </c>
      <c r="BH64" s="62">
        <f t="shared" si="8"/>
        <v>553.30118695494593</v>
      </c>
      <c r="BI64" s="62">
        <f ca="1">AVERAGE(OFFSET($BH$3,0,0,'Données projet'!$E$11+1,1))-AVERAGE(OFFSET($H$3,0,0,'Données projet'!$E$11+1,1))</f>
        <v>278.24093386944304</v>
      </c>
      <c r="BJ64" s="62">
        <f t="shared" si="38"/>
        <v>193.96102673885611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0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6.625</v>
      </c>
      <c r="BY64" s="13">
        <f>IF('Données projet'!$A$114&gt;35,BY63+BX64-CG63,IF(A64&lt;'Données projet'!$A$114,$BV$205^A64,IF(A64='Données projet'!$A$114,'Données projet'!$B$114,BY63+BX64-CG63)))</f>
        <v>135.125</v>
      </c>
      <c r="BZ64" s="14">
        <f>BY64*VLOOKUP('Données projet'!$B$12,Paramètres!$A$1:$I$88,3,0)*VLOOKUP('Données projet'!$B$12,Paramètres!$A$1:$I$88,5,0)</f>
        <v>130.69290000000001</v>
      </c>
      <c r="CA64" s="14">
        <f t="shared" si="39"/>
        <v>34.156418609816015</v>
      </c>
      <c r="CB64" s="22">
        <f t="shared" si="10"/>
        <v>287.11256324542956</v>
      </c>
      <c r="CC64" s="62">
        <f t="shared" si="11"/>
        <v>580.44589657876281</v>
      </c>
      <c r="CD64" s="62">
        <f ca="1">AVERAGE(OFFSET($CC$3,0,0,'Données projet'!$E$12+1,1))-AVERAGE(OFFSET($H$3,0,0,'Données projet'!$E$12+1,1))</f>
        <v>303.93739496872121</v>
      </c>
      <c r="CE64" s="62">
        <f t="shared" si="40"/>
        <v>210.36431469568754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0</v>
      </c>
      <c r="CL64" s="23">
        <f>EXP(-LN(2)/25)*CL63+(1-EXP(-LN(2)/25))/(LN(2)/25)*Calculateur!CG64*Calculateur!CI64*VLOOKUP('Données projet'!$B$12,Paramètres!$A$1:$I$88,3,0)*0.475*44/12</f>
        <v>0</v>
      </c>
      <c r="CM64" s="23">
        <f>EXP(-LN(2)/2)*CM63+(1-EXP(-LN(2)/2))/(LN(2)/2)*CG64*CJ64*VLOOKUP('Données projet'!$B$12,Paramètres!$A$1:$I$88,3,0)*0.475*44/12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>
        <f>CT64*VLOOKUP('Données projet'!$B$13,Paramètres!$A$1:$I$88,3,0)*VLOOKUP('Données projet'!$B$13,Paramètres!$A$1:$I$88,5,0)</f>
        <v>0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57.812812891099895</v>
      </c>
      <c r="CZ64" s="62">
        <f t="shared" si="42"/>
        <v>244.79885157604684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projet'!$B$13,Paramètres!$A$1:$I$88,3,0)*0.475*44/12</f>
        <v>20.822913039495781</v>
      </c>
      <c r="DG64" s="23">
        <f>EXP(-LN(2)/25)*DG63+(1-EXP(-LN(2)/25))/(LN(2)/25)*Calculateur!DB64*Calculateur!DD64*VLOOKUP('Données projet'!$B$13,Paramètres!$A$1:$I$88,3,0)*0.475*44/12</f>
        <v>0</v>
      </c>
      <c r="DH64" s="23">
        <f>EXP(-LN(2)/2)*DH63+(1-EXP(-LN(2)/2))/(LN(2)/2)*DB64*DE64*VLOOKUP('Données projet'!$B$13,Paramètres!$A$1:$I$88,3,0)*0.475*44/12</f>
        <v>8.6562594904362963E-6</v>
      </c>
      <c r="DI64" s="24">
        <f t="shared" si="15"/>
        <v>20.822921695755269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6.625</v>
      </c>
      <c r="N65" s="14">
        <f>IF('Données projet'!$A$36&gt;35,N64+M65-V64,IF(A65&lt;'Données projet'!$A$36,$K$205^A65,IF(A65='Données projet'!$A$36,'Données projet'!$B$36,N64+M65-V64)))</f>
        <v>141.75</v>
      </c>
      <c r="O65" s="14">
        <f>N65*VLOOKUP('Données projet'!$B$9,Paramètres!$A$1:$I$88,3,0)*VLOOKUP('Données projet'!$B$9,Paramètres!$A$1:$I$88,5,0)</f>
        <v>128.25539999999998</v>
      </c>
      <c r="P65" s="14">
        <f t="shared" si="33"/>
        <v>33.592917052375554</v>
      </c>
      <c r="Q65" s="22">
        <f t="shared" si="53"/>
        <v>281.88581886622069</v>
      </c>
      <c r="R65" s="62">
        <f t="shared" si="0"/>
        <v>575.21915219955395</v>
      </c>
      <c r="S65" s="62">
        <f ca="1">AVERAGE(OFFSET($R$3,0,0,'Données projet'!$E$9+1,1))-AVERAGE(OFFSET($H$3,0,0,'Données projet'!$E$9+1,1))</f>
        <v>286.81278534843665</v>
      </c>
      <c r="T65" s="62">
        <f t="shared" si="34"/>
        <v>199.43308683696642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6.625</v>
      </c>
      <c r="AI65" s="14">
        <f>IF('Données projet'!$A$62&gt;35,AI64+AH65-AQ64,IF(A65&lt;'Données projet'!$A$62,$AF$205^A65,IF(A65='Données projet'!$A$62,'Données projet'!$B$62,AI64+AH65-AQ64)))</f>
        <v>141.75</v>
      </c>
      <c r="AJ65" s="14">
        <f>AI65*VLOOKUP('Données projet'!$B$10,Paramètres!$A$1:$I$88,3,0)*VLOOKUP('Données projet'!$B$10,Paramètres!$A$1:$I$88,5,0)</f>
        <v>143.7345</v>
      </c>
      <c r="AK65" s="14">
        <f t="shared" si="35"/>
        <v>37.151211820512735</v>
      </c>
      <c r="AL65" s="22">
        <f t="shared" si="4"/>
        <v>315.04261475405968</v>
      </c>
      <c r="AM65" s="62">
        <f t="shared" si="5"/>
        <v>608.375948087393</v>
      </c>
      <c r="AN65" s="62">
        <f ca="1">AVERAGE(OFFSET($AM$3,0,0,'Données projet'!$E$10+1,1))-AVERAGE(OFFSET($H$3,0,0,'Données projet'!$E$10+1,1))</f>
        <v>316.76504852082684</v>
      </c>
      <c r="AO65" s="62">
        <f t="shared" si="36"/>
        <v>218.5520645293999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0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6.625</v>
      </c>
      <c r="BD65" s="13">
        <f>IF('Données projet'!$A$88&gt;35,BD64+BC65-BL64,IF(A65&lt;'Données projet'!$A$88,$BA$205^A65,IF(A65='Données projet'!$A$88,'Données projet'!$B$88,BD64+BC65-BL64)))</f>
        <v>141.75</v>
      </c>
      <c r="BE65" s="14">
        <f>BD65*VLOOKUP('Données projet'!$B$11,Paramètres!$A$1:$I$88,3,0)*VLOOKUP('Données projet'!$B$11,Paramètres!$A$1:$I$88,5,0)</f>
        <v>123.83280000000002</v>
      </c>
      <c r="BF65" s="14">
        <f t="shared" si="37"/>
        <v>32.567294628684579</v>
      </c>
      <c r="BG65" s="22">
        <f t="shared" si="7"/>
        <v>272.39683147829231</v>
      </c>
      <c r="BH65" s="62">
        <f t="shared" si="8"/>
        <v>565.73016481162563</v>
      </c>
      <c r="BI65" s="62">
        <f ca="1">AVERAGE(OFFSET($BH$3,0,0,'Données projet'!$E$11+1,1))-AVERAGE(OFFSET($H$3,0,0,'Données projet'!$E$11+1,1))</f>
        <v>278.24093386944304</v>
      </c>
      <c r="BJ65" s="62">
        <f t="shared" si="38"/>
        <v>193.96102673885611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0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6.625</v>
      </c>
      <c r="BY65" s="13">
        <f>IF('Données projet'!$A$114&gt;35,BY64+BX65-CG64,IF(A65&lt;'Données projet'!$A$114,$BV$205^A65,IF(A65='Données projet'!$A$114,'Données projet'!$B$114,BY64+BX65-CG64)))</f>
        <v>141.75</v>
      </c>
      <c r="BZ65" s="14">
        <f>BY65*VLOOKUP('Données projet'!$B$12,Paramètres!$A$1:$I$88,3,0)*VLOOKUP('Données projet'!$B$12,Paramètres!$A$1:$I$88,5,0)</f>
        <v>137.10060000000001</v>
      </c>
      <c r="CA65" s="14">
        <f t="shared" si="39"/>
        <v>35.631986842055269</v>
      </c>
      <c r="CB65" s="22">
        <f t="shared" si="10"/>
        <v>300.84258874991298</v>
      </c>
      <c r="CC65" s="62">
        <f t="shared" si="11"/>
        <v>594.17592208324629</v>
      </c>
      <c r="CD65" s="62">
        <f ca="1">AVERAGE(OFFSET($CC$3,0,0,'Données projet'!$E$12+1,1))-AVERAGE(OFFSET($H$3,0,0,'Données projet'!$E$12+1,1))</f>
        <v>303.93739496872121</v>
      </c>
      <c r="CE65" s="62">
        <f t="shared" si="40"/>
        <v>210.36431469568754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projet'!$B$12,Paramètres!$A$1:$I$88,3,0)*0.475*44/12</f>
        <v>0</v>
      </c>
      <c r="CL65" s="23">
        <f>EXP(-LN(2)/25)*CL64+(1-EXP(-LN(2)/25))/(LN(2)/25)*Calculateur!CG65*Calculateur!CI65*VLOOKUP('Données projet'!$B$12,Paramètres!$A$1:$I$88,3,0)*0.475*44/12</f>
        <v>0</v>
      </c>
      <c r="CM65" s="23">
        <f>EXP(-LN(2)/2)*CM64+(1-EXP(-LN(2)/2))/(LN(2)/2)*CG65*CJ65*VLOOKUP('Données projet'!$B$12,Paramètres!$A$1:$I$88,3,0)*0.475*44/12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>
        <f>CT65*VLOOKUP('Données projet'!$B$13,Paramètres!$A$1:$I$88,3,0)*VLOOKUP('Données projet'!$B$13,Paramètres!$A$1:$I$88,5,0)</f>
        <v>0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57.812812891099895</v>
      </c>
      <c r="CZ65" s="62">
        <f t="shared" si="42"/>
        <v>244.79885157604684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projet'!$B$13,Paramètres!$A$1:$I$88,3,0)*0.475*44/12</f>
        <v>20.414588415514132</v>
      </c>
      <c r="DG65" s="23">
        <f>EXP(-LN(2)/25)*DG64+(1-EXP(-LN(2)/25))/(LN(2)/25)*Calculateur!DB65*Calculateur!DD65*VLOOKUP('Données projet'!$B$13,Paramètres!$A$1:$I$88,3,0)*0.475*44/12</f>
        <v>0</v>
      </c>
      <c r="DH65" s="23">
        <f>EXP(-LN(2)/2)*DH64+(1-EXP(-LN(2)/2))/(LN(2)/2)*DB65*DE65*VLOOKUP('Données projet'!$B$13,Paramètres!$A$1:$I$88,3,0)*0.475*44/12</f>
        <v>6.1208997853979137E-6</v>
      </c>
      <c r="DI65" s="24">
        <f t="shared" si="15"/>
        <v>20.414594536413919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6.625</v>
      </c>
      <c r="N66" s="14">
        <f>IF('Données projet'!$A$36&gt;35,N65+M66-V65,IF(A66&lt;'Données projet'!$A$36,$K$205^A66,IF(A66='Données projet'!$A$36,'Données projet'!$B$36,N65+M66-V65)))</f>
        <v>148.375</v>
      </c>
      <c r="O66" s="14">
        <f>N66*VLOOKUP('Données projet'!$B$9,Paramètres!$A$1:$I$88,3,0)*VLOOKUP('Données projet'!$B$9,Paramètres!$A$1:$I$88,5,0)</f>
        <v>134.24969999999999</v>
      </c>
      <c r="P66" s="14">
        <f t="shared" si="33"/>
        <v>34.97649429485336</v>
      </c>
      <c r="Q66" s="22">
        <f t="shared" si="53"/>
        <v>294.73562173020292</v>
      </c>
      <c r="R66" s="62">
        <f t="shared" si="0"/>
        <v>588.06895506353624</v>
      </c>
      <c r="S66" s="62">
        <f ca="1">AVERAGE(OFFSET($R$3,0,0,'Données projet'!$E$9+1,1))-AVERAGE(OFFSET($H$3,0,0,'Données projet'!$E$9+1,1))</f>
        <v>286.81278534843665</v>
      </c>
      <c r="T66" s="62">
        <f t="shared" si="34"/>
        <v>199.43308683696642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6.625</v>
      </c>
      <c r="AI66" s="14">
        <f>IF('Données projet'!$A$62&gt;35,AI65+AH66-AQ65,IF(A66&lt;'Données projet'!$A$62,$AF$205^A66,IF(A66='Données projet'!$A$62,'Données projet'!$B$62,AI65+AH66-AQ65)))</f>
        <v>148.375</v>
      </c>
      <c r="AJ66" s="14">
        <f>AI66*VLOOKUP('Données projet'!$B$10,Paramètres!$A$1:$I$88,3,0)*VLOOKUP('Données projet'!$B$10,Paramètres!$A$1:$I$88,5,0)</f>
        <v>150.45225000000002</v>
      </c>
      <c r="AK66" s="14">
        <f t="shared" si="35"/>
        <v>38.681343042079284</v>
      </c>
      <c r="AL66" s="22">
        <f t="shared" si="4"/>
        <v>329.40767454828807</v>
      </c>
      <c r="AM66" s="62">
        <f t="shared" si="5"/>
        <v>622.74100788162139</v>
      </c>
      <c r="AN66" s="62">
        <f ca="1">AVERAGE(OFFSET($AM$3,0,0,'Données projet'!$E$10+1,1))-AVERAGE(OFFSET($H$3,0,0,'Données projet'!$E$10+1,1))</f>
        <v>316.76504852082684</v>
      </c>
      <c r="AO66" s="62">
        <f t="shared" si="36"/>
        <v>218.5520645293999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0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6.625</v>
      </c>
      <c r="BD66" s="13">
        <f>IF('Données projet'!$A$88&gt;35,BD65+BC66-BL65,IF(A66&lt;'Données projet'!$A$88,$BA$205^A66,IF(A66='Données projet'!$A$88,'Données projet'!$B$88,BD65+BC66-BL65)))</f>
        <v>148.375</v>
      </c>
      <c r="BE66" s="14">
        <f>BD66*VLOOKUP('Données projet'!$B$11,Paramètres!$A$1:$I$88,3,0)*VLOOKUP('Données projet'!$B$11,Paramètres!$A$1:$I$88,5,0)</f>
        <v>129.62040000000002</v>
      </c>
      <c r="BF66" s="14">
        <f t="shared" si="37"/>
        <v>33.908629994918613</v>
      </c>
      <c r="BG66" s="22">
        <f t="shared" si="7"/>
        <v>284.81306057448325</v>
      </c>
      <c r="BH66" s="62">
        <f t="shared" si="8"/>
        <v>578.14639390781656</v>
      </c>
      <c r="BI66" s="62">
        <f ca="1">AVERAGE(OFFSET($BH$3,0,0,'Données projet'!$E$11+1,1))-AVERAGE(OFFSET($H$3,0,0,'Données projet'!$E$11+1,1))</f>
        <v>278.24093386944304</v>
      </c>
      <c r="BJ66" s="62">
        <f t="shared" si="38"/>
        <v>193.96102673885611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0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6.625</v>
      </c>
      <c r="BY66" s="13">
        <f>IF('Données projet'!$A$114&gt;35,BY65+BX66-CG65,IF(A66&lt;'Données projet'!$A$114,$BV$205^A66,IF(A66='Données projet'!$A$114,'Données projet'!$B$114,BY65+BX66-CG65)))</f>
        <v>148.375</v>
      </c>
      <c r="BZ66" s="14">
        <f>BY66*VLOOKUP('Données projet'!$B$12,Paramètres!$A$1:$I$88,3,0)*VLOOKUP('Données projet'!$B$12,Paramètres!$A$1:$I$88,5,0)</f>
        <v>143.50829999999999</v>
      </c>
      <c r="CA66" s="14">
        <f t="shared" si="39"/>
        <v>37.099546388077194</v>
      </c>
      <c r="CB66" s="22">
        <f t="shared" si="10"/>
        <v>314.55866579256775</v>
      </c>
      <c r="CC66" s="62">
        <f t="shared" si="11"/>
        <v>607.89199912590107</v>
      </c>
      <c r="CD66" s="62">
        <f ca="1">AVERAGE(OFFSET($CC$3,0,0,'Données projet'!$E$12+1,1))-AVERAGE(OFFSET($H$3,0,0,'Données projet'!$E$12+1,1))</f>
        <v>303.93739496872121</v>
      </c>
      <c r="CE66" s="62">
        <f t="shared" si="40"/>
        <v>210.36431469568754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0</v>
      </c>
      <c r="CL66" s="23">
        <f>EXP(-LN(2)/25)*CL65+(1-EXP(-LN(2)/25))/(LN(2)/25)*Calculateur!CG66*Calculateur!CI66*VLOOKUP('Données projet'!$B$12,Paramètres!$A$1:$I$88,3,0)*0.475*44/12</f>
        <v>0</v>
      </c>
      <c r="CM66" s="23">
        <f>EXP(-LN(2)/2)*CM65+(1-EXP(-LN(2)/2))/(LN(2)/2)*CG66*CJ66*VLOOKUP('Données projet'!$B$12,Paramètres!$A$1:$I$88,3,0)*0.475*44/12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>
        <f>CT66*VLOOKUP('Données projet'!$B$13,Paramètres!$A$1:$I$88,3,0)*VLOOKUP('Données projet'!$B$13,Paramètres!$A$1:$I$88,5,0)</f>
        <v>0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57.812812891099895</v>
      </c>
      <c r="CZ66" s="62">
        <f t="shared" si="42"/>
        <v>244.79885157604684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projet'!$B$13,Paramètres!$A$1:$I$88,3,0)*0.475*44/12</f>
        <v>20.014270788355333</v>
      </c>
      <c r="DG66" s="23">
        <f>EXP(-LN(2)/25)*DG65+(1-EXP(-LN(2)/25))/(LN(2)/25)*Calculateur!DB66*Calculateur!DD66*VLOOKUP('Données projet'!$B$13,Paramètres!$A$1:$I$88,3,0)*0.475*44/12</f>
        <v>0</v>
      </c>
      <c r="DH66" s="23">
        <f>EXP(-LN(2)/2)*DH65+(1-EXP(-LN(2)/2))/(LN(2)/2)*DB66*DE66*VLOOKUP('Données projet'!$B$13,Paramètres!$A$1:$I$88,3,0)*0.475*44/12</f>
        <v>4.3281297452181482E-6</v>
      </c>
      <c r="DI66" s="24">
        <f t="shared" si="15"/>
        <v>20.014275116485077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>
        <f>VLOOKUP(A67,'Données projet'!$A$35:$I$55,2,0)</f>
        <v>155</v>
      </c>
      <c r="L67" s="13">
        <f>VLOOKUP(A67,'Données projet'!$A$35:$I$55,9,0)</f>
        <v>6.625</v>
      </c>
      <c r="M67" s="13">
        <f t="array" ref="M67">INDEX(L:L,MIN(IF(ISNUMBER(L67:L263),ROW(L67:L263),"")))</f>
        <v>6.625</v>
      </c>
      <c r="N67" s="14">
        <f>IF('Données projet'!$A$36&gt;35,N66+M67-V66,IF(A67&lt;'Données projet'!$A$36,$K$205^A67,IF(A67='Données projet'!$A$36,'Données projet'!$B$36,N66+M67-V66)))</f>
        <v>155</v>
      </c>
      <c r="O67" s="14">
        <f>N67*VLOOKUP('Données projet'!$B$9,Paramètres!$A$1:$I$88,3,0)*VLOOKUP('Données projet'!$B$9,Paramètres!$A$1:$I$88,5,0)</f>
        <v>140.244</v>
      </c>
      <c r="P67" s="14">
        <f t="shared" si="33"/>
        <v>36.352896802451752</v>
      </c>
      <c r="Q67" s="22">
        <f t="shared" ref="Q67:Q98" si="54">(O67+P67)*0.475*44/12</f>
        <v>307.57292859760338</v>
      </c>
      <c r="R67" s="62">
        <f t="shared" ref="R67:R130" si="55">Q67+(I67+J67)*44/12</f>
        <v>600.90626193093669</v>
      </c>
      <c r="S67" s="62">
        <f ca="1">AVERAGE(OFFSET($R$3,0,0,'Données projet'!$E$9+1,1))-AVERAGE(OFFSET($H$3,0,0,'Données projet'!$E$9+1,1))</f>
        <v>286.81278534843665</v>
      </c>
      <c r="T67" s="62">
        <f t="shared" si="34"/>
        <v>199.43308683696642</v>
      </c>
      <c r="U67" s="16">
        <f>IF(ISNA(VLOOKUP(A67,'Données projet'!$A$35:$I$55,3,0)),0,VLOOKUP(A67,'Données projet'!$A$35:$I$55,3,0))</f>
        <v>4</v>
      </c>
      <c r="V67" s="16">
        <f>IF(ISNA(VLOOKUP(A67,'Données projet'!$A$35:$I$55,4,0)),0,VLOOKUP(A67,'Données projet'!$A$35:$I$55,4,0))</f>
        <v>41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>
        <f>VLOOKUP(A67,'Données projet'!$A$61:$I$81,2,0)</f>
        <v>155</v>
      </c>
      <c r="AG67" s="13">
        <f>VLOOKUP(A67,'Données projet'!$A$61:$I$81,9,0)</f>
        <v>6.625</v>
      </c>
      <c r="AH67" s="13">
        <f t="array" ref="AH67">INDEX(AG:AG,MIN(IF(ISNUMBER(AG67:AG263),ROW(AG67:AG263),"")))</f>
        <v>6.625</v>
      </c>
      <c r="AI67" s="14">
        <f>IF('Données projet'!$A$62&gt;35,AI66+AH67-AQ66,IF(A67&lt;'Données projet'!$A$62,$AF$205^A67,IF(A67='Données projet'!$A$62,'Données projet'!$B$62,AI66+AH67-AQ66)))</f>
        <v>155</v>
      </c>
      <c r="AJ67" s="14">
        <f>AI67*VLOOKUP('Données projet'!$B$10,Paramètres!$A$1:$I$88,3,0)*VLOOKUP('Données projet'!$B$10,Paramètres!$A$1:$I$88,5,0)</f>
        <v>157.17000000000002</v>
      </c>
      <c r="AK67" s="14">
        <f t="shared" si="35"/>
        <v>40.203539552443232</v>
      </c>
      <c r="AL67" s="22">
        <f t="shared" si="4"/>
        <v>343.75891472050535</v>
      </c>
      <c r="AM67" s="62">
        <f t="shared" si="5"/>
        <v>637.0922480538386</v>
      </c>
      <c r="AN67" s="62">
        <f ca="1">AVERAGE(OFFSET($AM$3,0,0,'Données projet'!$E$10+1,1))-AVERAGE(OFFSET($H$3,0,0,'Données projet'!$E$10+1,1))</f>
        <v>316.76504852082684</v>
      </c>
      <c r="AO67" s="62">
        <f t="shared" si="36"/>
        <v>218.5520645293999</v>
      </c>
      <c r="AP67" s="16">
        <f>IF(ISNA(VLOOKUP(A67,'Données projet'!$A$61:$I$81,3,0)),0,VLOOKUP(A67,'Données projet'!$A$61:$I$81,3,0))</f>
        <v>4</v>
      </c>
      <c r="AQ67" s="16">
        <f>IF(ISNA(VLOOKUP(A67,'Données projet'!$A$61:$I$81,4,0)),0,VLOOKUP(A67,'Données projet'!$A$61:$I$81,4,0))</f>
        <v>41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0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>
        <f>VLOOKUP(A67,'Données projet'!$A$87:$I$107,2,0)</f>
        <v>155</v>
      </c>
      <c r="BB67" s="13">
        <f>VLOOKUP(A67,'Données projet'!$A$87:$I$107,9,0)</f>
        <v>6.625</v>
      </c>
      <c r="BC67" s="13">
        <f t="array" ref="BC67">INDEX(BB:BB,MIN(IF(ISNUMBER(BB67:BB263),ROW(BB67:BB263),"")))</f>
        <v>6.625</v>
      </c>
      <c r="BD67" s="13">
        <f>IF('Données projet'!$A$88&gt;35,BD66+BC67-BL66,IF(A67&lt;'Données projet'!$A$88,$BA$205^A67,IF(A67='Données projet'!$A$88,'Données projet'!$B$88,BD66+BC67-BL66)))</f>
        <v>155</v>
      </c>
      <c r="BE67" s="14">
        <f>BD67*VLOOKUP('Données projet'!$B$11,Paramètres!$A$1:$I$88,3,0)*VLOOKUP('Données projet'!$B$11,Paramètres!$A$1:$I$88,5,0)</f>
        <v>135.40800000000002</v>
      </c>
      <c r="BF67" s="14">
        <f t="shared" si="37"/>
        <v>35.243009677478732</v>
      </c>
      <c r="BG67" s="22">
        <f t="shared" si="7"/>
        <v>297.21717518827552</v>
      </c>
      <c r="BH67" s="62">
        <f t="shared" si="8"/>
        <v>590.55050852160889</v>
      </c>
      <c r="BI67" s="62">
        <f ca="1">AVERAGE(OFFSET($BH$3,0,0,'Données projet'!$E$11+1,1))-AVERAGE(OFFSET($H$3,0,0,'Données projet'!$E$11+1,1))</f>
        <v>278.24093386944304</v>
      </c>
      <c r="BJ67" s="62">
        <f t="shared" si="38"/>
        <v>193.96102673885611</v>
      </c>
      <c r="BK67" s="16">
        <f>IF(ISNA(VLOOKUP(A67,'Données projet'!$A$87:$I$107,3,0)),0,VLOOKUP(A67,'Données projet'!$A$87:$I$107,3,0))</f>
        <v>4</v>
      </c>
      <c r="BL67" s="16">
        <f>IF(ISNA(VLOOKUP(A67,'Données projet'!$A$87:$I$107,4,0)),0,VLOOKUP(A67,'Données projet'!$A$87:$I$107,4,0))</f>
        <v>41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0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>
        <f>VLOOKUP(A67,'Données projet'!$A$113:$I$133,2,0)</f>
        <v>155</v>
      </c>
      <c r="BW67" s="13">
        <f>VLOOKUP(A67,'Données projet'!$A$113:$I$133,9,0)</f>
        <v>6.625</v>
      </c>
      <c r="BX67" s="13">
        <f t="array" ref="BX67">INDEX(BW:BW,MIN(IF(ISNUMBER(BW67:BW263),ROW(BW67:BW263),"")))</f>
        <v>6.625</v>
      </c>
      <c r="BY67" s="13">
        <f>IF('Données projet'!$A$114&gt;35,BY66+BX67-CG66,IF(A67&lt;'Données projet'!$A$114,$BV$205^A67,IF(A67='Données projet'!$A$114,'Données projet'!$B$114,BY66+BX67-CG66)))</f>
        <v>155</v>
      </c>
      <c r="BZ67" s="14">
        <f>BY67*VLOOKUP('Données projet'!$B$12,Paramètres!$A$1:$I$88,3,0)*VLOOKUP('Données projet'!$B$12,Paramètres!$A$1:$I$88,5,0)</f>
        <v>149.916</v>
      </c>
      <c r="CA67" s="14">
        <f t="shared" si="39"/>
        <v>38.559495697142914</v>
      </c>
      <c r="CB67" s="22">
        <f t="shared" si="10"/>
        <v>328.26148833919052</v>
      </c>
      <c r="CC67" s="62">
        <f t="shared" si="11"/>
        <v>621.59482167252384</v>
      </c>
      <c r="CD67" s="62">
        <f ca="1">AVERAGE(OFFSET($CC$3,0,0,'Données projet'!$E$12+1,1))-AVERAGE(OFFSET($H$3,0,0,'Données projet'!$E$12+1,1))</f>
        <v>303.93739496872121</v>
      </c>
      <c r="CE67" s="62">
        <f t="shared" si="40"/>
        <v>210.36431469568754</v>
      </c>
      <c r="CF67" s="16">
        <f>IF(ISNA(VLOOKUP(A67,'Données projet'!$A$113:$I$133,3,0)),0,VLOOKUP(A67,'Données projet'!$A$113:$I$133,3,0))</f>
        <v>4</v>
      </c>
      <c r="CG67" s="16">
        <f>IF(ISNA(VLOOKUP(A67,'Données projet'!$A$113:$I$133,4,0)),0,VLOOKUP(A67,'Données projet'!$A$113:$I$133,4,0))</f>
        <v>41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0</v>
      </c>
      <c r="CL67" s="23">
        <f>EXP(-LN(2)/25)*CL66+(1-EXP(-LN(2)/25))/(LN(2)/25)*Calculateur!CG67*Calculateur!CI67*VLOOKUP('Données projet'!$B$12,Paramètres!$A$1:$I$88,3,0)*0.475*44/12</f>
        <v>0</v>
      </c>
      <c r="CM67" s="23">
        <f>EXP(-LN(2)/2)*CM66+(1-EXP(-LN(2)/2))/(LN(2)/2)*CG67*CJ67*VLOOKUP('Données projet'!$B$12,Paramètres!$A$1:$I$88,3,0)*0.475*44/12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>
        <f>CT67*VLOOKUP('Données projet'!$B$13,Paramètres!$A$1:$I$88,3,0)*VLOOKUP('Données projet'!$B$13,Paramètres!$A$1:$I$88,5,0)</f>
        <v>0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57.812812891099895</v>
      </c>
      <c r="CZ67" s="62">
        <f t="shared" si="42"/>
        <v>244.79885157604684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projet'!$B$13,Paramètres!$A$1:$I$88,3,0)*0.475*44/12</f>
        <v>19.621803145695477</v>
      </c>
      <c r="DG67" s="23">
        <f>EXP(-LN(2)/25)*DG66+(1-EXP(-LN(2)/25))/(LN(2)/25)*Calculateur!DB67*Calculateur!DD67*VLOOKUP('Données projet'!$B$13,Paramètres!$A$1:$I$88,3,0)*0.475*44/12</f>
        <v>0</v>
      </c>
      <c r="DH67" s="23">
        <f>EXP(-LN(2)/2)*DH66+(1-EXP(-LN(2)/2))/(LN(2)/2)*DB67*DE67*VLOOKUP('Données projet'!$B$13,Paramètres!$A$1:$I$88,3,0)*0.475*44/12</f>
        <v>3.0604498926989569E-6</v>
      </c>
      <c r="DI67" s="24">
        <f t="shared" si="15"/>
        <v>19.621806206145369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5.75</v>
      </c>
      <c r="N68" s="14">
        <f>IF('Données projet'!$A$36&gt;35,N67+M68-V67,IF(A68&lt;'Données projet'!$A$36,$K$205^A68,IF(A68='Données projet'!$A$36,'Données projet'!$B$36,N67+M68-V67)))</f>
        <v>119.75</v>
      </c>
      <c r="O68" s="14">
        <f>N68*VLOOKUP('Données projet'!$B$9,Paramètres!$A$1:$I$88,3,0)*VLOOKUP('Données projet'!$B$9,Paramètres!$A$1:$I$88,5,0)</f>
        <v>108.3498</v>
      </c>
      <c r="P68" s="14">
        <f t="shared" si="33"/>
        <v>28.941843207640417</v>
      </c>
      <c r="Q68" s="22">
        <f t="shared" si="54"/>
        <v>239.11627858664042</v>
      </c>
      <c r="R68" s="62">
        <f t="shared" si="55"/>
        <v>532.44961191997368</v>
      </c>
      <c r="S68" s="62">
        <f ca="1">AVERAGE(OFFSET($R$3,0,0,'Données projet'!$E$9+1,1))-AVERAGE(OFFSET($H$3,0,0,'Données projet'!$E$9+1,1))</f>
        <v>286.81278534843665</v>
      </c>
      <c r="T68" s="62">
        <f t="shared" si="34"/>
        <v>199.43308683696642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5.75</v>
      </c>
      <c r="AI68" s="14">
        <f>IF('Données projet'!$A$62&gt;35,AI67+AH68-AQ67,IF(A68&lt;'Données projet'!$A$62,$AF$205^A68,IF(A68='Données projet'!$A$62,'Données projet'!$B$62,AI67+AH68-AQ67)))</f>
        <v>119.75</v>
      </c>
      <c r="AJ68" s="14">
        <f>AI68*VLOOKUP('Données projet'!$B$10,Paramètres!$A$1:$I$88,3,0)*VLOOKUP('Données projet'!$B$10,Paramètres!$A$1:$I$88,5,0)</f>
        <v>121.42650000000002</v>
      </c>
      <c r="AK68" s="14">
        <f t="shared" si="35"/>
        <v>32.007477820598567</v>
      </c>
      <c r="AL68" s="22">
        <f t="shared" ref="AL68:AL131" si="58">(AJ68+AK68)*0.475*44/12</f>
        <v>267.23084470420918</v>
      </c>
      <c r="AM68" s="62">
        <f t="shared" ref="AM68:AM131" si="59">AL68+(AD68+AE68)*44/12</f>
        <v>560.56417803754243</v>
      </c>
      <c r="AN68" s="62">
        <f ca="1">AVERAGE(OFFSET($AM$3,0,0,'Données projet'!$E$10+1,1))-AVERAGE(OFFSET($H$3,0,0,'Données projet'!$E$10+1,1))</f>
        <v>316.76504852082684</v>
      </c>
      <c r="AO68" s="62">
        <f t="shared" si="36"/>
        <v>218.5520645293999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0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5.75</v>
      </c>
      <c r="BD68" s="13">
        <f>IF('Données projet'!$A$88&gt;35,BD67+BC68-BL67,IF(A68&lt;'Données projet'!$A$88,$BA$205^A68,IF(A68='Données projet'!$A$88,'Données projet'!$B$88,BD67+BC68-BL67)))</f>
        <v>119.75</v>
      </c>
      <c r="BE68" s="14">
        <f>BD68*VLOOKUP('Données projet'!$B$11,Paramètres!$A$1:$I$88,3,0)*VLOOKUP('Données projet'!$B$11,Paramètres!$A$1:$I$88,5,0)</f>
        <v>104.61360000000001</v>
      </c>
      <c r="BF68" s="14">
        <f t="shared" si="37"/>
        <v>28.058222314271017</v>
      </c>
      <c r="BG68" s="22">
        <f t="shared" ref="BG68:BG131" si="61">(BE68+BF68)*0.475*44/12</f>
        <v>231.0700905306887</v>
      </c>
      <c r="BH68" s="62">
        <f t="shared" ref="BH68:BH131" si="62">BG68+(AY68+AZ68)*44/12</f>
        <v>524.40342386402199</v>
      </c>
      <c r="BI68" s="62">
        <f ca="1">AVERAGE(OFFSET($BH$3,0,0,'Données projet'!$E$11+1,1))-AVERAGE(OFFSET($H$3,0,0,'Données projet'!$E$11+1,1))</f>
        <v>278.24093386944304</v>
      </c>
      <c r="BJ68" s="62">
        <f t="shared" si="38"/>
        <v>193.96102673885611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0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5.75</v>
      </c>
      <c r="BY68" s="13">
        <f>IF('Données projet'!$A$114&gt;35,BY67+BX68-CG67,IF(A68&lt;'Données projet'!$A$114,$BV$205^A68,IF(A68='Données projet'!$A$114,'Données projet'!$B$114,BY67+BX68-CG67)))</f>
        <v>119.75</v>
      </c>
      <c r="BZ68" s="14">
        <f>BY68*VLOOKUP('Données projet'!$B$12,Paramètres!$A$1:$I$88,3,0)*VLOOKUP('Données projet'!$B$12,Paramètres!$A$1:$I$88,5,0)</f>
        <v>115.82220000000001</v>
      </c>
      <c r="CA68" s="14">
        <f t="shared" si="39"/>
        <v>30.698595622154933</v>
      </c>
      <c r="CB68" s="22">
        <f t="shared" ref="CB68:CB131" si="64">(BZ68+CA68)*0.475*44/12</f>
        <v>255.19038570858649</v>
      </c>
      <c r="CC68" s="62">
        <f t="shared" ref="CC68:CC131" si="65">CB68+(BT68+BU68)*44/12</f>
        <v>548.52371904191978</v>
      </c>
      <c r="CD68" s="62">
        <f ca="1">AVERAGE(OFFSET($CC$3,0,0,'Données projet'!$E$12+1,1))-AVERAGE(OFFSET($H$3,0,0,'Données projet'!$E$12+1,1))</f>
        <v>303.93739496872121</v>
      </c>
      <c r="CE68" s="62">
        <f t="shared" si="40"/>
        <v>210.36431469568754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0</v>
      </c>
      <c r="CL68" s="23">
        <f>EXP(-LN(2)/25)*CL67+(1-EXP(-LN(2)/25))/(LN(2)/25)*Calculateur!CG68*Calculateur!CI68*VLOOKUP('Données projet'!$B$12,Paramètres!$A$1:$I$88,3,0)*0.475*44/12</f>
        <v>0</v>
      </c>
      <c r="CM68" s="23">
        <f>EXP(-LN(2)/2)*CM67+(1-EXP(-LN(2)/2))/(LN(2)/2)*CG68*CJ68*VLOOKUP('Données projet'!$B$12,Paramètres!$A$1:$I$88,3,0)*0.475*44/12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>
        <f>CT68*VLOOKUP('Données projet'!$B$13,Paramètres!$A$1:$I$88,3,0)*VLOOKUP('Données projet'!$B$13,Paramètres!$A$1:$I$88,5,0)</f>
        <v>0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57.812812891099895</v>
      </c>
      <c r="CZ68" s="62">
        <f t="shared" si="42"/>
        <v>244.79885157604684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projet'!$B$13,Paramètres!$A$1:$I$88,3,0)*0.475*44/12</f>
        <v>19.237031554126553</v>
      </c>
      <c r="DG68" s="23">
        <f>EXP(-LN(2)/25)*DG67+(1-EXP(-LN(2)/25))/(LN(2)/25)*Calculateur!DB68*Calculateur!DD68*VLOOKUP('Données projet'!$B$13,Paramètres!$A$1:$I$88,3,0)*0.475*44/12</f>
        <v>0</v>
      </c>
      <c r="DH68" s="23">
        <f>EXP(-LN(2)/2)*DH67+(1-EXP(-LN(2)/2))/(LN(2)/2)*DB68*DE68*VLOOKUP('Données projet'!$B$13,Paramètres!$A$1:$I$88,3,0)*0.475*44/12</f>
        <v>2.1640648726090741E-6</v>
      </c>
      <c r="DI68" s="24">
        <f t="shared" ref="DI68:DI131" si="69">SUM(DF68:DH68)</f>
        <v>19.237033718191427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5.75</v>
      </c>
      <c r="N69" s="14">
        <f>IF('Données projet'!$A$36&gt;35,N68+M69-V68,IF(A69&lt;'Données projet'!$A$36,$K$205^A69,IF(A69='Données projet'!$A$36,'Données projet'!$B$36,N68+M69-V68)))</f>
        <v>125.5</v>
      </c>
      <c r="O69" s="14">
        <f>N69*VLOOKUP('Données projet'!$B$9,Paramètres!$A$1:$I$88,3,0)*VLOOKUP('Données projet'!$B$9,Paramètres!$A$1:$I$88,5,0)</f>
        <v>113.55239999999999</v>
      </c>
      <c r="P69" s="14">
        <f t="shared" ref="P69:P132" si="87">EXP(-1.0587+0.8836*LN(O69)+0.284)</f>
        <v>30.166403182577518</v>
      </c>
      <c r="Q69" s="22">
        <f t="shared" si="54"/>
        <v>250.3102488763225</v>
      </c>
      <c r="R69" s="62">
        <f t="shared" si="55"/>
        <v>543.64358220965585</v>
      </c>
      <c r="S69" s="62">
        <f ca="1">AVERAGE(OFFSET($R$3,0,0,'Données projet'!$E$9+1,1))-AVERAGE(OFFSET($H$3,0,0,'Données projet'!$E$9+1,1))</f>
        <v>286.81278534843665</v>
      </c>
      <c r="T69" s="62">
        <f t="shared" ref="T69:T132" si="88">$T$3</f>
        <v>199.43308683696642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5.75</v>
      </c>
      <c r="AI69" s="14">
        <f>IF('Données projet'!$A$62&gt;35,AI68+AH69-AQ68,IF(A69&lt;'Données projet'!$A$62,$AF$205^A69,IF(A69='Données projet'!$A$62,'Données projet'!$B$62,AI68+AH69-AQ68)))</f>
        <v>125.5</v>
      </c>
      <c r="AJ69" s="14">
        <f>AI69*VLOOKUP('Données projet'!$B$10,Paramètres!$A$1:$I$88,3,0)*VLOOKUP('Données projet'!$B$10,Paramètres!$A$1:$I$88,5,0)</f>
        <v>127.25700000000001</v>
      </c>
      <c r="AK69" s="14">
        <f t="shared" ref="AK69:AK132" si="89">EXP(-1.0587+0.8836*LN(AJ69)+0.284)</f>
        <v>33.36174803609903</v>
      </c>
      <c r="AL69" s="22">
        <f t="shared" si="58"/>
        <v>279.74431949620583</v>
      </c>
      <c r="AM69" s="62">
        <f t="shared" si="59"/>
        <v>573.07765282953915</v>
      </c>
      <c r="AN69" s="62">
        <f ca="1">AVERAGE(OFFSET($AM$3,0,0,'Données projet'!$E$10+1,1))-AVERAGE(OFFSET($H$3,0,0,'Données projet'!$E$10+1,1))</f>
        <v>316.76504852082684</v>
      </c>
      <c r="AO69" s="62">
        <f t="shared" ref="AO69:AO132" si="90">$AO$3</f>
        <v>218.5520645293999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0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5.75</v>
      </c>
      <c r="BD69" s="13">
        <f>IF('Données projet'!$A$88&gt;35,BD68+BC69-BL68,IF(A69&lt;'Données projet'!$A$88,$BA$205^A69,IF(A69='Données projet'!$A$88,'Données projet'!$B$88,BD68+BC69-BL68)))</f>
        <v>125.5</v>
      </c>
      <c r="BE69" s="14">
        <f>BD69*VLOOKUP('Données projet'!$B$11,Paramètres!$A$1:$I$88,3,0)*VLOOKUP('Données projet'!$B$11,Paramètres!$A$1:$I$88,5,0)</f>
        <v>109.63680000000001</v>
      </c>
      <c r="BF69" s="14">
        <f t="shared" ref="BF69:BF132" si="91">EXP(-1.0587+0.8836*LN(BE69)+0.284)</f>
        <v>29.245395355305003</v>
      </c>
      <c r="BG69" s="22">
        <f t="shared" si="61"/>
        <v>241.88649024382286</v>
      </c>
      <c r="BH69" s="62">
        <f t="shared" si="62"/>
        <v>535.21982357715615</v>
      </c>
      <c r="BI69" s="62">
        <f ca="1">AVERAGE(OFFSET($BH$3,0,0,'Données projet'!$E$11+1,1))-AVERAGE(OFFSET($H$3,0,0,'Données projet'!$E$11+1,1))</f>
        <v>278.24093386944304</v>
      </c>
      <c r="BJ69" s="62">
        <f t="shared" ref="BJ69:BJ132" si="92">$BJ$3</f>
        <v>193.96102673885611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0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5.75</v>
      </c>
      <c r="BY69" s="13">
        <f>IF('Données projet'!$A$114&gt;35,BY68+BX69-CG68,IF(A69&lt;'Données projet'!$A$114,$BV$205^A69,IF(A69='Données projet'!$A$114,'Données projet'!$B$114,BY68+BX69-CG68)))</f>
        <v>125.5</v>
      </c>
      <c r="BZ69" s="14">
        <f>BY69*VLOOKUP('Données projet'!$B$12,Paramètres!$A$1:$I$88,3,0)*VLOOKUP('Données projet'!$B$12,Paramètres!$A$1:$I$88,5,0)</f>
        <v>121.3836</v>
      </c>
      <c r="CA69" s="14">
        <f t="shared" ref="CA69:CA132" si="93">EXP(-1.0587+0.8836*LN(BZ69)+0.284)</f>
        <v>31.997485648473166</v>
      </c>
      <c r="CB69" s="22">
        <f t="shared" si="64"/>
        <v>267.13872417109076</v>
      </c>
      <c r="CC69" s="62">
        <f t="shared" si="65"/>
        <v>560.47205750442413</v>
      </c>
      <c r="CD69" s="62">
        <f ca="1">AVERAGE(OFFSET($CC$3,0,0,'Données projet'!$E$12+1,1))-AVERAGE(OFFSET($H$3,0,0,'Données projet'!$E$12+1,1))</f>
        <v>303.93739496872121</v>
      </c>
      <c r="CE69" s="62">
        <f t="shared" ref="CE69:CE132" si="94">$CE$3</f>
        <v>210.36431469568754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0</v>
      </c>
      <c r="CL69" s="23">
        <f>EXP(-LN(2)/25)*CL68+(1-EXP(-LN(2)/25))/(LN(2)/25)*Calculateur!CG69*Calculateur!CI69*VLOOKUP('Données projet'!$B$12,Paramètres!$A$1:$I$88,3,0)*0.475*44/12</f>
        <v>0</v>
      </c>
      <c r="CM69" s="23">
        <f>EXP(-LN(2)/2)*CM68+(1-EXP(-LN(2)/2))/(LN(2)/2)*CG69*CJ69*VLOOKUP('Données projet'!$B$12,Paramètres!$A$1:$I$88,3,0)*0.475*44/12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>
        <f>CT69*VLOOKUP('Données projet'!$B$13,Paramètres!$A$1:$I$88,3,0)*VLOOKUP('Données projet'!$B$13,Paramètres!$A$1:$I$88,5,0)</f>
        <v>0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57.812812891099895</v>
      </c>
      <c r="CZ69" s="62">
        <f t="shared" ref="CZ69:CZ132" si="96">$CZ$3</f>
        <v>244.79885157604684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projet'!$B$13,Paramètres!$A$1:$I$88,3,0)*0.475*44/12</f>
        <v>18.8598050987808</v>
      </c>
      <c r="DG69" s="23">
        <f>EXP(-LN(2)/25)*DG68+(1-EXP(-LN(2)/25))/(LN(2)/25)*Calculateur!DB69*Calculateur!DD69*VLOOKUP('Données projet'!$B$13,Paramètres!$A$1:$I$88,3,0)*0.475*44/12</f>
        <v>0</v>
      </c>
      <c r="DH69" s="23">
        <f>EXP(-LN(2)/2)*DH68+(1-EXP(-LN(2)/2))/(LN(2)/2)*DB69*DE69*VLOOKUP('Données projet'!$B$13,Paramètres!$A$1:$I$88,3,0)*0.475*44/12</f>
        <v>1.5302249463494784E-6</v>
      </c>
      <c r="DI69" s="24">
        <f t="shared" si="69"/>
        <v>18.859806629005746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5.75</v>
      </c>
      <c r="N70" s="14">
        <f>IF('Données projet'!$A$36&gt;35,N69+M70-V69,IF(A70&lt;'Données projet'!$A$36,$K$205^A70,IF(A70='Données projet'!$A$36,'Données projet'!$B$36,N69+M70-V69)))</f>
        <v>131.25</v>
      </c>
      <c r="O70" s="14">
        <f>N70*VLOOKUP('Données projet'!$B$9,Paramètres!$A$1:$I$88,3,0)*VLOOKUP('Données projet'!$B$9,Paramètres!$A$1:$I$88,5,0)</f>
        <v>118.75500000000001</v>
      </c>
      <c r="P70" s="14">
        <f t="shared" si="87"/>
        <v>31.384447472481</v>
      </c>
      <c r="Q70" s="22">
        <f t="shared" si="54"/>
        <v>261.49287101457111</v>
      </c>
      <c r="R70" s="62">
        <f t="shared" si="55"/>
        <v>554.82620434790442</v>
      </c>
      <c r="S70" s="62">
        <f ca="1">AVERAGE(OFFSET($R$3,0,0,'Données projet'!$E$9+1,1))-AVERAGE(OFFSET($H$3,0,0,'Données projet'!$E$9+1,1))</f>
        <v>286.81278534843665</v>
      </c>
      <c r="T70" s="62">
        <f t="shared" si="88"/>
        <v>199.43308683696642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5.75</v>
      </c>
      <c r="AI70" s="14">
        <f>IF('Données projet'!$A$62&gt;35,AI69+AH70-AQ69,IF(A70&lt;'Données projet'!$A$62,$AF$205^A70,IF(A70='Données projet'!$A$62,'Données projet'!$B$62,AI69+AH70-AQ69)))</f>
        <v>131.25</v>
      </c>
      <c r="AJ70" s="14">
        <f>AI70*VLOOKUP('Données projet'!$B$10,Paramètres!$A$1:$I$88,3,0)*VLOOKUP('Données projet'!$B$10,Paramètres!$A$1:$I$88,5,0)</f>
        <v>133.08750000000001</v>
      </c>
      <c r="AK70" s="14">
        <f t="shared" si="89"/>
        <v>34.708812399411578</v>
      </c>
      <c r="AL70" s="22">
        <f t="shared" si="58"/>
        <v>292.24524409564179</v>
      </c>
      <c r="AM70" s="62">
        <f t="shared" si="59"/>
        <v>585.57857742897511</v>
      </c>
      <c r="AN70" s="62">
        <f ca="1">AVERAGE(OFFSET($AM$3,0,0,'Données projet'!$E$10+1,1))-AVERAGE(OFFSET($H$3,0,0,'Données projet'!$E$10+1,1))</f>
        <v>316.76504852082684</v>
      </c>
      <c r="AO70" s="62">
        <f t="shared" si="90"/>
        <v>218.5520645293999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0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5.75</v>
      </c>
      <c r="BD70" s="13">
        <f>IF('Données projet'!$A$88&gt;35,BD69+BC70-BL69,IF(A70&lt;'Données projet'!$A$88,$BA$205^A70,IF(A70='Données projet'!$A$88,'Données projet'!$B$88,BD69+BC70-BL69)))</f>
        <v>131.25</v>
      </c>
      <c r="BE70" s="14">
        <f>BD70*VLOOKUP('Données projet'!$B$11,Paramètres!$A$1:$I$88,3,0)*VLOOKUP('Données projet'!$B$11,Paramètres!$A$1:$I$88,5,0)</f>
        <v>114.66000000000001</v>
      </c>
      <c r="BF70" s="14">
        <f t="shared" si="91"/>
        <v>30.426251641117418</v>
      </c>
      <c r="BG70" s="22">
        <f t="shared" si="61"/>
        <v>252.69188827494614</v>
      </c>
      <c r="BH70" s="62">
        <f t="shared" si="62"/>
        <v>546.02522160827948</v>
      </c>
      <c r="BI70" s="62">
        <f ca="1">AVERAGE(OFFSET($BH$3,0,0,'Données projet'!$E$11+1,1))-AVERAGE(OFFSET($H$3,0,0,'Données projet'!$E$11+1,1))</f>
        <v>278.24093386944304</v>
      </c>
      <c r="BJ70" s="62">
        <f t="shared" si="92"/>
        <v>193.96102673885611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0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5.75</v>
      </c>
      <c r="BY70" s="13">
        <f>IF('Données projet'!$A$114&gt;35,BY69+BX70-CG69,IF(A70&lt;'Données projet'!$A$114,$BV$205^A70,IF(A70='Données projet'!$A$114,'Données projet'!$B$114,BY69+BX70-CG69)))</f>
        <v>131.25</v>
      </c>
      <c r="BZ70" s="14">
        <f>BY70*VLOOKUP('Données projet'!$B$12,Paramètres!$A$1:$I$88,3,0)*VLOOKUP('Données projet'!$B$12,Paramètres!$A$1:$I$88,5,0)</f>
        <v>126.94500000000001</v>
      </c>
      <c r="CA70" s="14">
        <f t="shared" si="93"/>
        <v>33.289464491608832</v>
      </c>
      <c r="CB70" s="22">
        <f t="shared" si="64"/>
        <v>279.07502565621871</v>
      </c>
      <c r="CC70" s="62">
        <f t="shared" si="65"/>
        <v>572.40835898955197</v>
      </c>
      <c r="CD70" s="62">
        <f ca="1">AVERAGE(OFFSET($CC$3,0,0,'Données projet'!$E$12+1,1))-AVERAGE(OFFSET($H$3,0,0,'Données projet'!$E$12+1,1))</f>
        <v>303.93739496872121</v>
      </c>
      <c r="CE70" s="62">
        <f t="shared" si="94"/>
        <v>210.36431469568754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0</v>
      </c>
      <c r="CL70" s="23">
        <f>EXP(-LN(2)/25)*CL69+(1-EXP(-LN(2)/25))/(LN(2)/25)*Calculateur!CG70*Calculateur!CI70*VLOOKUP('Données projet'!$B$12,Paramètres!$A$1:$I$88,3,0)*0.475*44/12</f>
        <v>0</v>
      </c>
      <c r="CM70" s="23">
        <f>EXP(-LN(2)/2)*CM69+(1-EXP(-LN(2)/2))/(LN(2)/2)*CG70*CJ70*VLOOKUP('Données projet'!$B$12,Paramètres!$A$1:$I$88,3,0)*0.475*44/12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>
        <f>CT70*VLOOKUP('Données projet'!$B$13,Paramètres!$A$1:$I$88,3,0)*VLOOKUP('Données projet'!$B$13,Paramètres!$A$1:$I$88,5,0)</f>
        <v>0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57.812812891099895</v>
      </c>
      <c r="CZ70" s="62">
        <f t="shared" si="96"/>
        <v>244.79885157604684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projet'!$B$13,Paramètres!$A$1:$I$88,3,0)*0.475*44/12</f>
        <v>18.489975824138959</v>
      </c>
      <c r="DG70" s="23">
        <f>EXP(-LN(2)/25)*DG69+(1-EXP(-LN(2)/25))/(LN(2)/25)*Calculateur!DB70*Calculateur!DD70*VLOOKUP('Données projet'!$B$13,Paramètres!$A$1:$I$88,3,0)*0.475*44/12</f>
        <v>0</v>
      </c>
      <c r="DH70" s="23">
        <f>EXP(-LN(2)/2)*DH69+(1-EXP(-LN(2)/2))/(LN(2)/2)*DB70*DE70*VLOOKUP('Données projet'!$B$13,Paramètres!$A$1:$I$88,3,0)*0.475*44/12</f>
        <v>1.082032436304537E-6</v>
      </c>
      <c r="DI70" s="24">
        <f t="shared" si="69"/>
        <v>18.489976906171396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5.75</v>
      </c>
      <c r="N71" s="14">
        <f>IF('Données projet'!$A$36&gt;35,N70+M71-V70,IF(A71&lt;'Données projet'!$A$36,$K$205^A71,IF(A71='Données projet'!$A$36,'Données projet'!$B$36,N70+M71-V70)))</f>
        <v>137</v>
      </c>
      <c r="O71" s="14">
        <f>N71*VLOOKUP('Données projet'!$B$9,Paramètres!$A$1:$I$88,3,0)*VLOOKUP('Données projet'!$B$9,Paramètres!$A$1:$I$88,5,0)</f>
        <v>123.9576</v>
      </c>
      <c r="P71" s="14">
        <f t="shared" si="87"/>
        <v>32.59629414926458</v>
      </c>
      <c r="Q71" s="22">
        <f t="shared" si="54"/>
        <v>272.6646989766358</v>
      </c>
      <c r="R71" s="62">
        <f t="shared" si="55"/>
        <v>565.99803230996918</v>
      </c>
      <c r="S71" s="62">
        <f ca="1">AVERAGE(OFFSET($R$3,0,0,'Données projet'!$E$9+1,1))-AVERAGE(OFFSET($H$3,0,0,'Données projet'!$E$9+1,1))</f>
        <v>286.81278534843665</v>
      </c>
      <c r="T71" s="62">
        <f t="shared" si="88"/>
        <v>199.43308683696642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5.75</v>
      </c>
      <c r="AI71" s="14">
        <f>IF('Données projet'!$A$62&gt;35,AI70+AH71-AQ70,IF(A71&lt;'Données projet'!$A$62,$AF$205^A71,IF(A71='Données projet'!$A$62,'Données projet'!$B$62,AI70+AH71-AQ70)))</f>
        <v>137</v>
      </c>
      <c r="AJ71" s="14">
        <f>AI71*VLOOKUP('Données projet'!$B$10,Paramètres!$A$1:$I$88,3,0)*VLOOKUP('Données projet'!$B$10,Paramètres!$A$1:$I$88,5,0)</f>
        <v>138.91800000000001</v>
      </c>
      <c r="AK71" s="14">
        <f t="shared" si="89"/>
        <v>36.049022673886341</v>
      </c>
      <c r="AL71" s="22">
        <f t="shared" si="58"/>
        <v>304.73423115701871</v>
      </c>
      <c r="AM71" s="62">
        <f t="shared" si="59"/>
        <v>598.06756449035197</v>
      </c>
      <c r="AN71" s="62">
        <f ca="1">AVERAGE(OFFSET($AM$3,0,0,'Données projet'!$E$10+1,1))-AVERAGE(OFFSET($H$3,0,0,'Données projet'!$E$10+1,1))</f>
        <v>316.76504852082684</v>
      </c>
      <c r="AO71" s="62">
        <f t="shared" si="90"/>
        <v>218.5520645293999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0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5.75</v>
      </c>
      <c r="BD71" s="13">
        <f>IF('Données projet'!$A$88&gt;35,BD70+BC71-BL70,IF(A71&lt;'Données projet'!$A$88,$BA$205^A71,IF(A71='Données projet'!$A$88,'Données projet'!$B$88,BD70+BC71-BL70)))</f>
        <v>137</v>
      </c>
      <c r="BE71" s="14">
        <f>BD71*VLOOKUP('Données projet'!$B$11,Paramètres!$A$1:$I$88,3,0)*VLOOKUP('Données projet'!$B$11,Paramètres!$A$1:$I$88,5,0)</f>
        <v>119.68320000000003</v>
      </c>
      <c r="BF71" s="14">
        <f t="shared" si="91"/>
        <v>31.601099532596194</v>
      </c>
      <c r="BG71" s="22">
        <f t="shared" si="61"/>
        <v>263.48682168593842</v>
      </c>
      <c r="BH71" s="62">
        <f t="shared" si="62"/>
        <v>556.82015501927174</v>
      </c>
      <c r="BI71" s="62">
        <f ca="1">AVERAGE(OFFSET($BH$3,0,0,'Données projet'!$E$11+1,1))-AVERAGE(OFFSET($H$3,0,0,'Données projet'!$E$11+1,1))</f>
        <v>278.24093386944304</v>
      </c>
      <c r="BJ71" s="62">
        <f t="shared" si="92"/>
        <v>193.96102673885611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0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5.75</v>
      </c>
      <c r="BY71" s="13">
        <f>IF('Données projet'!$A$114&gt;35,BY70+BX71-CG70,IF(A71&lt;'Données projet'!$A$114,$BV$205^A71,IF(A71='Données projet'!$A$114,'Données projet'!$B$114,BY70+BX71-CG70)))</f>
        <v>137</v>
      </c>
      <c r="BZ71" s="14">
        <f>BY71*VLOOKUP('Données projet'!$B$12,Paramètres!$A$1:$I$88,3,0)*VLOOKUP('Données projet'!$B$12,Paramètres!$A$1:$I$88,5,0)</f>
        <v>132.50640000000001</v>
      </c>
      <c r="CA71" s="14">
        <f t="shared" si="93"/>
        <v>34.574869530248939</v>
      </c>
      <c r="CB71" s="22">
        <f t="shared" si="64"/>
        <v>290.99987776518356</v>
      </c>
      <c r="CC71" s="62">
        <f t="shared" si="65"/>
        <v>584.33321109851681</v>
      </c>
      <c r="CD71" s="62">
        <f ca="1">AVERAGE(OFFSET($CC$3,0,0,'Données projet'!$E$12+1,1))-AVERAGE(OFFSET($H$3,0,0,'Données projet'!$E$12+1,1))</f>
        <v>303.93739496872121</v>
      </c>
      <c r="CE71" s="62">
        <f t="shared" si="94"/>
        <v>210.36431469568754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0</v>
      </c>
      <c r="CL71" s="23">
        <f>EXP(-LN(2)/25)*CL70+(1-EXP(-LN(2)/25))/(LN(2)/25)*Calculateur!CG71*Calculateur!CI71*VLOOKUP('Données projet'!$B$12,Paramètres!$A$1:$I$88,3,0)*0.475*44/12</f>
        <v>0</v>
      </c>
      <c r="CM71" s="23">
        <f>EXP(-LN(2)/2)*CM70+(1-EXP(-LN(2)/2))/(LN(2)/2)*CG71*CJ71*VLOOKUP('Données projet'!$B$12,Paramètres!$A$1:$I$88,3,0)*0.475*44/12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>
        <f>CT71*VLOOKUP('Données projet'!$B$13,Paramètres!$A$1:$I$88,3,0)*VLOOKUP('Données projet'!$B$13,Paramètres!$A$1:$I$88,5,0)</f>
        <v>0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57.812812891099895</v>
      </c>
      <c r="CZ71" s="62">
        <f t="shared" si="96"/>
        <v>244.79885157604684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projet'!$B$13,Paramètres!$A$1:$I$88,3,0)*0.475*44/12</f>
        <v>18.12739867599926</v>
      </c>
      <c r="DG71" s="23">
        <f>EXP(-LN(2)/25)*DG70+(1-EXP(-LN(2)/25))/(LN(2)/25)*Calculateur!DB71*Calculateur!DD71*VLOOKUP('Données projet'!$B$13,Paramètres!$A$1:$I$88,3,0)*0.475*44/12</f>
        <v>0</v>
      </c>
      <c r="DH71" s="23">
        <f>EXP(-LN(2)/2)*DH70+(1-EXP(-LN(2)/2))/(LN(2)/2)*DB71*DE71*VLOOKUP('Données projet'!$B$13,Paramètres!$A$1:$I$88,3,0)*0.475*44/12</f>
        <v>7.6511247317473922E-7</v>
      </c>
      <c r="DI71" s="24">
        <f t="shared" si="69"/>
        <v>18.127399441111734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5.75</v>
      </c>
      <c r="N72" s="14">
        <f>IF('Données projet'!$A$36&gt;35,N71+M72-V71,IF(A72&lt;'Données projet'!$A$36,$K$205^A72,IF(A72='Données projet'!$A$36,'Données projet'!$B$36,N71+M72-V71)))</f>
        <v>142.75</v>
      </c>
      <c r="O72" s="14">
        <f>N72*VLOOKUP('Données projet'!$B$9,Paramètres!$A$1:$I$88,3,0)*VLOOKUP('Données projet'!$B$9,Paramètres!$A$1:$I$88,5,0)</f>
        <v>129.16019999999997</v>
      </c>
      <c r="P72" s="14">
        <f t="shared" si="87"/>
        <v>33.80223307495099</v>
      </c>
      <c r="Q72" s="22">
        <f t="shared" si="54"/>
        <v>283.82623760553963</v>
      </c>
      <c r="R72" s="62">
        <f t="shared" si="55"/>
        <v>577.159570938873</v>
      </c>
      <c r="S72" s="62">
        <f ca="1">AVERAGE(OFFSET($R$3,0,0,'Données projet'!$E$9+1,1))-AVERAGE(OFFSET($H$3,0,0,'Données projet'!$E$9+1,1))</f>
        <v>286.81278534843665</v>
      </c>
      <c r="T72" s="62">
        <f t="shared" si="88"/>
        <v>199.43308683696642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5.75</v>
      </c>
      <c r="AI72" s="14">
        <f>IF('Données projet'!$A$62&gt;35,AI71+AH72-AQ71,IF(A72&lt;'Données projet'!$A$62,$AF$205^A72,IF(A72='Données projet'!$A$62,'Données projet'!$B$62,AI71+AH72-AQ71)))</f>
        <v>142.75</v>
      </c>
      <c r="AJ72" s="14">
        <f>AI72*VLOOKUP('Données projet'!$B$10,Paramètres!$A$1:$I$88,3,0)*VLOOKUP('Données projet'!$B$10,Paramètres!$A$1:$I$88,5,0)</f>
        <v>144.74850000000001</v>
      </c>
      <c r="AK72" s="14">
        <f t="shared" si="89"/>
        <v>37.38269942487895</v>
      </c>
      <c r="AL72" s="22">
        <f t="shared" si="58"/>
        <v>317.21183899833085</v>
      </c>
      <c r="AM72" s="62">
        <f t="shared" si="59"/>
        <v>610.54517233166416</v>
      </c>
      <c r="AN72" s="62">
        <f ca="1">AVERAGE(OFFSET($AM$3,0,0,'Données projet'!$E$10+1,1))-AVERAGE(OFFSET($H$3,0,0,'Données projet'!$E$10+1,1))</f>
        <v>316.76504852082684</v>
      </c>
      <c r="AO72" s="62">
        <f t="shared" si="90"/>
        <v>218.5520645293999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0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5.75</v>
      </c>
      <c r="BD72" s="13">
        <f>IF('Données projet'!$A$88&gt;35,BD71+BC72-BL71,IF(A72&lt;'Données projet'!$A$88,$BA$205^A72,IF(A72='Données projet'!$A$88,'Données projet'!$B$88,BD71+BC72-BL71)))</f>
        <v>142.75</v>
      </c>
      <c r="BE72" s="14">
        <f>BD72*VLOOKUP('Données projet'!$B$11,Paramètres!$A$1:$I$88,3,0)*VLOOKUP('Données projet'!$B$11,Paramètres!$A$1:$I$88,5,0)</f>
        <v>124.70640000000002</v>
      </c>
      <c r="BF72" s="14">
        <f t="shared" si="91"/>
        <v>32.770220042011751</v>
      </c>
      <c r="BG72" s="22">
        <f t="shared" si="61"/>
        <v>274.27177990650381</v>
      </c>
      <c r="BH72" s="62">
        <f t="shared" si="62"/>
        <v>567.60511323983712</v>
      </c>
      <c r="BI72" s="62">
        <f ca="1">AVERAGE(OFFSET($BH$3,0,0,'Données projet'!$E$11+1,1))-AVERAGE(OFFSET($H$3,0,0,'Données projet'!$E$11+1,1))</f>
        <v>278.24093386944304</v>
      </c>
      <c r="BJ72" s="62">
        <f t="shared" si="92"/>
        <v>193.96102673885611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0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5.75</v>
      </c>
      <c r="BY72" s="13">
        <f>IF('Données projet'!$A$114&gt;35,BY71+BX72-CG71,IF(A72&lt;'Données projet'!$A$114,$BV$205^A72,IF(A72='Données projet'!$A$114,'Données projet'!$B$114,BY71+BX72-CG71)))</f>
        <v>142.75</v>
      </c>
      <c r="BZ72" s="14">
        <f>BY72*VLOOKUP('Données projet'!$B$12,Paramètres!$A$1:$I$88,3,0)*VLOOKUP('Données projet'!$B$12,Paramètres!$A$1:$I$88,5,0)</f>
        <v>138.06780000000001</v>
      </c>
      <c r="CA72" s="14">
        <f t="shared" si="93"/>
        <v>35.854008220865929</v>
      </c>
      <c r="CB72" s="22">
        <f t="shared" si="64"/>
        <v>302.91381598467478</v>
      </c>
      <c r="CC72" s="62">
        <f t="shared" si="65"/>
        <v>596.24714931800804</v>
      </c>
      <c r="CD72" s="62">
        <f ca="1">AVERAGE(OFFSET($CC$3,0,0,'Données projet'!$E$12+1,1))-AVERAGE(OFFSET($H$3,0,0,'Données projet'!$E$12+1,1))</f>
        <v>303.93739496872121</v>
      </c>
      <c r="CE72" s="62">
        <f t="shared" si="94"/>
        <v>210.36431469568754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0</v>
      </c>
      <c r="CL72" s="23">
        <f>EXP(-LN(2)/25)*CL71+(1-EXP(-LN(2)/25))/(LN(2)/25)*Calculateur!CG72*Calculateur!CI72*VLOOKUP('Données projet'!$B$12,Paramètres!$A$1:$I$88,3,0)*0.475*44/12</f>
        <v>0</v>
      </c>
      <c r="CM72" s="23">
        <f>EXP(-LN(2)/2)*CM71+(1-EXP(-LN(2)/2))/(LN(2)/2)*CG72*CJ72*VLOOKUP('Données projet'!$B$12,Paramètres!$A$1:$I$88,3,0)*0.475*44/12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>
        <f>CT72*VLOOKUP('Données projet'!$B$13,Paramètres!$A$1:$I$88,3,0)*VLOOKUP('Données projet'!$B$13,Paramètres!$A$1:$I$88,5,0)</f>
        <v>0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57.812812891099895</v>
      </c>
      <c r="CZ72" s="62">
        <f t="shared" si="96"/>
        <v>244.79885157604684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projet'!$B$13,Paramètres!$A$1:$I$88,3,0)*0.475*44/12</f>
        <v>17.771931444584357</v>
      </c>
      <c r="DG72" s="23">
        <f>EXP(-LN(2)/25)*DG71+(1-EXP(-LN(2)/25))/(LN(2)/25)*Calculateur!DB72*Calculateur!DD72*VLOOKUP('Données projet'!$B$13,Paramètres!$A$1:$I$88,3,0)*0.475*44/12</f>
        <v>0</v>
      </c>
      <c r="DH72" s="23">
        <f>EXP(-LN(2)/2)*DH71+(1-EXP(-LN(2)/2))/(LN(2)/2)*DB72*DE72*VLOOKUP('Données projet'!$B$13,Paramètres!$A$1:$I$88,3,0)*0.475*44/12</f>
        <v>5.4101621815226852E-7</v>
      </c>
      <c r="DI72" s="24">
        <f t="shared" si="69"/>
        <v>17.771931985600574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5.75</v>
      </c>
      <c r="N73" s="14">
        <f>IF('Données projet'!$A$36&gt;35,N72+M73-V72,IF(A73&lt;'Données projet'!$A$36,$K$205^A73,IF(A73='Données projet'!$A$36,'Données projet'!$B$36,N72+M73-V72)))</f>
        <v>148.5</v>
      </c>
      <c r="O73" s="14">
        <f>N73*VLOOKUP('Données projet'!$B$9,Paramètres!$A$1:$I$88,3,0)*VLOOKUP('Données projet'!$B$9,Paramètres!$A$1:$I$88,5,0)</f>
        <v>134.36279999999999</v>
      </c>
      <c r="P73" s="14">
        <f t="shared" si="87"/>
        <v>35.002529438504695</v>
      </c>
      <c r="Q73" s="22">
        <f t="shared" si="54"/>
        <v>294.97794877206235</v>
      </c>
      <c r="R73" s="62">
        <f t="shared" si="55"/>
        <v>588.31128210539566</v>
      </c>
      <c r="S73" s="62">
        <f ca="1">AVERAGE(OFFSET($R$3,0,0,'Données projet'!$E$9+1,1))-AVERAGE(OFFSET($H$3,0,0,'Données projet'!$E$9+1,1))</f>
        <v>286.81278534843665</v>
      </c>
      <c r="T73" s="62">
        <f t="shared" si="88"/>
        <v>199.43308683696642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5.75</v>
      </c>
      <c r="AI73" s="14">
        <f>IF('Données projet'!$A$62&gt;35,AI72+AH73-AQ72,IF(A73&lt;'Données projet'!$A$62,$AF$205^A73,IF(A73='Données projet'!$A$62,'Données projet'!$B$62,AI72+AH73-AQ72)))</f>
        <v>148.5</v>
      </c>
      <c r="AJ73" s="14">
        <f>AI73*VLOOKUP('Données projet'!$B$10,Paramètres!$A$1:$I$88,3,0)*VLOOKUP('Données projet'!$B$10,Paramètres!$A$1:$I$88,5,0)</f>
        <v>150.57900000000001</v>
      </c>
      <c r="AK73" s="14">
        <f t="shared" si="89"/>
        <v>38.71013593121895</v>
      </c>
      <c r="AL73" s="22">
        <f t="shared" si="58"/>
        <v>329.6785784135397</v>
      </c>
      <c r="AM73" s="62">
        <f t="shared" si="59"/>
        <v>623.01191174687301</v>
      </c>
      <c r="AN73" s="62">
        <f ca="1">AVERAGE(OFFSET($AM$3,0,0,'Données projet'!$E$10+1,1))-AVERAGE(OFFSET($H$3,0,0,'Données projet'!$E$10+1,1))</f>
        <v>316.76504852082684</v>
      </c>
      <c r="AO73" s="62">
        <f t="shared" si="90"/>
        <v>218.5520645293999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0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5.75</v>
      </c>
      <c r="BD73" s="13">
        <f>IF('Données projet'!$A$88&gt;35,BD72+BC73-BL72,IF(A73&lt;'Données projet'!$A$88,$BA$205^A73,IF(A73='Données projet'!$A$88,'Données projet'!$B$88,BD72+BC73-BL72)))</f>
        <v>148.5</v>
      </c>
      <c r="BE73" s="14">
        <f>BD73*VLOOKUP('Données projet'!$B$11,Paramètres!$A$1:$I$88,3,0)*VLOOKUP('Données projet'!$B$11,Paramètres!$A$1:$I$88,5,0)</f>
        <v>129.72960000000003</v>
      </c>
      <c r="BF73" s="14">
        <f t="shared" si="91"/>
        <v>33.933870261867511</v>
      </c>
      <c r="BG73" s="22">
        <f t="shared" si="61"/>
        <v>285.04721070608593</v>
      </c>
      <c r="BH73" s="62">
        <f t="shared" si="62"/>
        <v>578.38054403941919</v>
      </c>
      <c r="BI73" s="62">
        <f ca="1">AVERAGE(OFFSET($BH$3,0,0,'Données projet'!$E$11+1,1))-AVERAGE(OFFSET($H$3,0,0,'Données projet'!$E$11+1,1))</f>
        <v>278.24093386944304</v>
      </c>
      <c r="BJ73" s="62">
        <f t="shared" si="92"/>
        <v>193.96102673885611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0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5.75</v>
      </c>
      <c r="BY73" s="13">
        <f>IF('Données projet'!$A$114&gt;35,BY72+BX73-CG72,IF(A73&lt;'Données projet'!$A$114,$BV$205^A73,IF(A73='Données projet'!$A$114,'Données projet'!$B$114,BY72+BX73-CG72)))</f>
        <v>148.5</v>
      </c>
      <c r="BZ73" s="14">
        <f>BY73*VLOOKUP('Données projet'!$B$12,Paramètres!$A$1:$I$88,3,0)*VLOOKUP('Données projet'!$B$12,Paramètres!$A$1:$I$88,5,0)</f>
        <v>143.6292</v>
      </c>
      <c r="CA73" s="14">
        <f t="shared" si="93"/>
        <v>37.127161849234376</v>
      </c>
      <c r="CB73" s="22">
        <f t="shared" si="64"/>
        <v>314.81733022074985</v>
      </c>
      <c r="CC73" s="62">
        <f t="shared" si="65"/>
        <v>608.15066355408317</v>
      </c>
      <c r="CD73" s="62">
        <f ca="1">AVERAGE(OFFSET($CC$3,0,0,'Données projet'!$E$12+1,1))-AVERAGE(OFFSET($H$3,0,0,'Données projet'!$E$12+1,1))</f>
        <v>303.93739496872121</v>
      </c>
      <c r="CE73" s="62">
        <f t="shared" si="94"/>
        <v>210.36431469568754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0</v>
      </c>
      <c r="CL73" s="23">
        <f>EXP(-LN(2)/25)*CL72+(1-EXP(-LN(2)/25))/(LN(2)/25)*Calculateur!CG73*Calculateur!CI73*VLOOKUP('Données projet'!$B$12,Paramètres!$A$1:$I$88,3,0)*0.475*44/12</f>
        <v>0</v>
      </c>
      <c r="CM73" s="23">
        <f>EXP(-LN(2)/2)*CM72+(1-EXP(-LN(2)/2))/(LN(2)/2)*CG73*CJ73*VLOOKUP('Données projet'!$B$12,Paramètres!$A$1:$I$88,3,0)*0.475*44/12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>
        <f>CT73*VLOOKUP('Données projet'!$B$13,Paramètres!$A$1:$I$88,3,0)*VLOOKUP('Données projet'!$B$13,Paramètres!$A$1:$I$88,5,0)</f>
        <v>0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57.812812891099895</v>
      </c>
      <c r="CZ73" s="62">
        <f t="shared" si="96"/>
        <v>244.79885157604684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projet'!$B$13,Paramètres!$A$1:$I$88,3,0)*0.475*44/12</f>
        <v>17.423434708763896</v>
      </c>
      <c r="DG73" s="23">
        <f>EXP(-LN(2)/25)*DG72+(1-EXP(-LN(2)/25))/(LN(2)/25)*Calculateur!DB73*Calculateur!DD73*VLOOKUP('Données projet'!$B$13,Paramètres!$A$1:$I$88,3,0)*0.475*44/12</f>
        <v>0</v>
      </c>
      <c r="DH73" s="23">
        <f>EXP(-LN(2)/2)*DH72+(1-EXP(-LN(2)/2))/(LN(2)/2)*DB73*DE73*VLOOKUP('Données projet'!$B$13,Paramètres!$A$1:$I$88,3,0)*0.475*44/12</f>
        <v>3.8255623658736961E-7</v>
      </c>
      <c r="DI73" s="24">
        <f t="shared" si="69"/>
        <v>17.423435091320133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5.75</v>
      </c>
      <c r="N74" s="14">
        <f>IF('Données projet'!$A$36&gt;35,N73+M74-V73,IF(A74&lt;'Données projet'!$A$36,$K$205^A74,IF(A74='Données projet'!$A$36,'Données projet'!$B$36,N73+M74-V73)))</f>
        <v>154.25</v>
      </c>
      <c r="O74" s="14">
        <f>N74*VLOOKUP('Données projet'!$B$9,Paramètres!$A$1:$I$88,3,0)*VLOOKUP('Données projet'!$B$9,Paramètres!$A$1:$I$88,5,0)</f>
        <v>139.56539999999998</v>
      </c>
      <c r="P74" s="14">
        <f t="shared" si="87"/>
        <v>36.197426729463054</v>
      </c>
      <c r="Q74" s="22">
        <f t="shared" si="54"/>
        <v>306.12025655381473</v>
      </c>
      <c r="R74" s="62">
        <f t="shared" si="55"/>
        <v>599.45358988714804</v>
      </c>
      <c r="S74" s="62">
        <f ca="1">AVERAGE(OFFSET($R$3,0,0,'Données projet'!$E$9+1,1))-AVERAGE(OFFSET($H$3,0,0,'Données projet'!$E$9+1,1))</f>
        <v>286.81278534843665</v>
      </c>
      <c r="T74" s="62">
        <f t="shared" si="88"/>
        <v>199.43308683696642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5.75</v>
      </c>
      <c r="AI74" s="14">
        <f>IF('Données projet'!$A$62&gt;35,AI73+AH74-AQ73,IF(A74&lt;'Données projet'!$A$62,$AF$205^A74,IF(A74='Données projet'!$A$62,'Données projet'!$B$62,AI73+AH74-AQ73)))</f>
        <v>154.25</v>
      </c>
      <c r="AJ74" s="14">
        <f>AI74*VLOOKUP('Données projet'!$B$10,Paramètres!$A$1:$I$88,3,0)*VLOOKUP('Données projet'!$B$10,Paramètres!$A$1:$I$88,5,0)</f>
        <v>156.40950000000001</v>
      </c>
      <c r="AK74" s="14">
        <f t="shared" si="89"/>
        <v>40.031601473819443</v>
      </c>
      <c r="AL74" s="22">
        <f t="shared" si="58"/>
        <v>342.13491840023556</v>
      </c>
      <c r="AM74" s="62">
        <f t="shared" si="59"/>
        <v>635.46825173356888</v>
      </c>
      <c r="AN74" s="62">
        <f ca="1">AVERAGE(OFFSET($AM$3,0,0,'Données projet'!$E$10+1,1))-AVERAGE(OFFSET($H$3,0,0,'Données projet'!$E$10+1,1))</f>
        <v>316.76504852082684</v>
      </c>
      <c r="AO74" s="62">
        <f t="shared" si="90"/>
        <v>218.5520645293999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0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5.75</v>
      </c>
      <c r="BD74" s="13">
        <f>IF('Données projet'!$A$88&gt;35,BD73+BC74-BL73,IF(A74&lt;'Données projet'!$A$88,$BA$205^A74,IF(A74='Données projet'!$A$88,'Données projet'!$B$88,BD73+BC74-BL73)))</f>
        <v>154.25</v>
      </c>
      <c r="BE74" s="14">
        <f>BD74*VLOOKUP('Données projet'!$B$11,Paramètres!$A$1:$I$88,3,0)*VLOOKUP('Données projet'!$B$11,Paramètres!$A$1:$I$88,5,0)</f>
        <v>134.75280000000001</v>
      </c>
      <c r="BF74" s="14">
        <f t="shared" si="91"/>
        <v>35.092286247742877</v>
      </c>
      <c r="BG74" s="22">
        <f t="shared" si="61"/>
        <v>295.81352521481881</v>
      </c>
      <c r="BH74" s="62">
        <f t="shared" si="62"/>
        <v>589.14685854815207</v>
      </c>
      <c r="BI74" s="62">
        <f ca="1">AVERAGE(OFFSET($BH$3,0,0,'Données projet'!$E$11+1,1))-AVERAGE(OFFSET($H$3,0,0,'Données projet'!$E$11+1,1))</f>
        <v>278.24093386944304</v>
      </c>
      <c r="BJ74" s="62">
        <f t="shared" si="92"/>
        <v>193.96102673885611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0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5.75</v>
      </c>
      <c r="BY74" s="13">
        <f>IF('Données projet'!$A$114&gt;35,BY73+BX74-CG73,IF(A74&lt;'Données projet'!$A$114,$BV$205^A74,IF(A74='Données projet'!$A$114,'Données projet'!$B$114,BY73+BX74-CG73)))</f>
        <v>154.25</v>
      </c>
      <c r="BZ74" s="14">
        <f>BY74*VLOOKUP('Données projet'!$B$12,Paramètres!$A$1:$I$88,3,0)*VLOOKUP('Données projet'!$B$12,Paramètres!$A$1:$I$88,5,0)</f>
        <v>149.19060000000002</v>
      </c>
      <c r="CA74" s="14">
        <f t="shared" si="93"/>
        <v>38.394588684559622</v>
      </c>
      <c r="CB74" s="22">
        <f t="shared" si="64"/>
        <v>326.71087029227471</v>
      </c>
      <c r="CC74" s="62">
        <f t="shared" si="65"/>
        <v>620.04420362560802</v>
      </c>
      <c r="CD74" s="62">
        <f ca="1">AVERAGE(OFFSET($CC$3,0,0,'Données projet'!$E$12+1,1))-AVERAGE(OFFSET($H$3,0,0,'Données projet'!$E$12+1,1))</f>
        <v>303.93739496872121</v>
      </c>
      <c r="CE74" s="62">
        <f t="shared" si="94"/>
        <v>210.36431469568754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0</v>
      </c>
      <c r="CL74" s="23">
        <f>EXP(-LN(2)/25)*CL73+(1-EXP(-LN(2)/25))/(LN(2)/25)*Calculateur!CG74*Calculateur!CI74*VLOOKUP('Données projet'!$B$12,Paramètres!$A$1:$I$88,3,0)*0.475*44/12</f>
        <v>0</v>
      </c>
      <c r="CM74" s="23">
        <f>EXP(-LN(2)/2)*CM73+(1-EXP(-LN(2)/2))/(LN(2)/2)*CG74*CJ74*VLOOKUP('Données projet'!$B$12,Paramètres!$A$1:$I$88,3,0)*0.475*44/12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>
        <f>CT74*VLOOKUP('Données projet'!$B$13,Paramètres!$A$1:$I$88,3,0)*VLOOKUP('Données projet'!$B$13,Paramètres!$A$1:$I$88,5,0)</f>
        <v>0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57.812812891099895</v>
      </c>
      <c r="CZ74" s="62">
        <f t="shared" si="96"/>
        <v>244.79885157604684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projet'!$B$13,Paramètres!$A$1:$I$88,3,0)*0.475*44/12</f>
        <v>17.081771781370854</v>
      </c>
      <c r="DG74" s="23">
        <f>EXP(-LN(2)/25)*DG73+(1-EXP(-LN(2)/25))/(LN(2)/25)*Calculateur!DB74*Calculateur!DD74*VLOOKUP('Données projet'!$B$13,Paramètres!$A$1:$I$88,3,0)*0.475*44/12</f>
        <v>0</v>
      </c>
      <c r="DH74" s="23">
        <f>EXP(-LN(2)/2)*DH73+(1-EXP(-LN(2)/2))/(LN(2)/2)*DB74*DE74*VLOOKUP('Données projet'!$B$13,Paramètres!$A$1:$I$88,3,0)*0.475*44/12</f>
        <v>2.7050810907613426E-7</v>
      </c>
      <c r="DI74" s="24">
        <f t="shared" si="69"/>
        <v>17.081772051878964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>
        <f>VLOOKUP(A75,'Données projet'!$A$35:$I$55,2,0)</f>
        <v>160</v>
      </c>
      <c r="L75" s="13">
        <f>VLOOKUP(A75,'Données projet'!$A$35:$I$55,9,0)</f>
        <v>5.75</v>
      </c>
      <c r="M75" s="13">
        <f t="array" ref="M75">INDEX(L:L,MIN(IF(ISNUMBER(L75:L271),ROW(L75:L271),"")))</f>
        <v>5.75</v>
      </c>
      <c r="N75" s="14">
        <f>IF('Données projet'!$A$36&gt;35,N74+M75-V74,IF(A75&lt;'Données projet'!$A$36,$K$205^A75,IF(A75='Données projet'!$A$36,'Données projet'!$B$36,N74+M75-V74)))</f>
        <v>160</v>
      </c>
      <c r="O75" s="14">
        <f>N75*VLOOKUP('Données projet'!$B$9,Paramètres!$A$1:$I$88,3,0)*VLOOKUP('Données projet'!$B$9,Paramètres!$A$1:$I$88,5,0)</f>
        <v>144.768</v>
      </c>
      <c r="P75" s="14">
        <f t="shared" si="87"/>
        <v>37.387149255707826</v>
      </c>
      <c r="Q75" s="22">
        <f t="shared" si="54"/>
        <v>317.25355162035777</v>
      </c>
      <c r="R75" s="62">
        <f t="shared" si="55"/>
        <v>610.58688495369108</v>
      </c>
      <c r="S75" s="62">
        <f ca="1">AVERAGE(OFFSET($R$3,0,0,'Données projet'!$E$9+1,1))-AVERAGE(OFFSET($H$3,0,0,'Données projet'!$E$9+1,1))</f>
        <v>286.81278534843665</v>
      </c>
      <c r="T75" s="62">
        <f t="shared" si="88"/>
        <v>199.43308683696642</v>
      </c>
      <c r="U75" s="16">
        <f>IF(ISNA(VLOOKUP(A75,'Données projet'!$A$35:$I$55,3,0)),0,VLOOKUP(A75,'Données projet'!$A$35:$I$55,3,0))</f>
        <v>5</v>
      </c>
      <c r="V75" s="16">
        <f>IF(ISNA(VLOOKUP(A75,'Données projet'!$A$35:$I$55,4,0)),0,VLOOKUP(A75,'Données projet'!$A$35:$I$55,4,0))</f>
        <v>32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>
        <f>VLOOKUP(A75,'Données projet'!$A$61:$I$81,2,0)</f>
        <v>160</v>
      </c>
      <c r="AG75" s="13">
        <f>VLOOKUP(A75,'Données projet'!$A$61:$I$81,9,0)</f>
        <v>5.75</v>
      </c>
      <c r="AH75" s="13">
        <f t="array" ref="AH75">INDEX(AG:AG,MIN(IF(ISNUMBER(AG75:AG271),ROW(AG75:AG271),"")))</f>
        <v>5.75</v>
      </c>
      <c r="AI75" s="14">
        <f>IF('Données projet'!$A$62&gt;35,AI74+AH75-AQ74,IF(A75&lt;'Données projet'!$A$62,$AF$205^A75,IF(A75='Données projet'!$A$62,'Données projet'!$B$62,AI74+AH75-AQ74)))</f>
        <v>160</v>
      </c>
      <c r="AJ75" s="14">
        <f>AI75*VLOOKUP('Données projet'!$B$10,Paramètres!$A$1:$I$88,3,0)*VLOOKUP('Données projet'!$B$10,Paramètres!$A$1:$I$88,5,0)</f>
        <v>162.24</v>
      </c>
      <c r="AK75" s="14">
        <f t="shared" si="89"/>
        <v>41.347344120141088</v>
      </c>
      <c r="AL75" s="22">
        <f t="shared" si="58"/>
        <v>354.58129100924572</v>
      </c>
      <c r="AM75" s="62">
        <f t="shared" si="59"/>
        <v>647.91462434257903</v>
      </c>
      <c r="AN75" s="62">
        <f ca="1">AVERAGE(OFFSET($AM$3,0,0,'Données projet'!$E$10+1,1))-AVERAGE(OFFSET($H$3,0,0,'Données projet'!$E$10+1,1))</f>
        <v>316.76504852082684</v>
      </c>
      <c r="AO75" s="62">
        <f t="shared" si="90"/>
        <v>218.5520645293999</v>
      </c>
      <c r="AP75" s="16">
        <f>IF(ISNA(VLOOKUP(A75,'Données projet'!$A$61:$I$81,3,0)),0,VLOOKUP(A75,'Données projet'!$A$61:$I$81,3,0))</f>
        <v>5</v>
      </c>
      <c r="AQ75" s="16">
        <f>IF(ISNA(VLOOKUP(A75,'Données projet'!$A$61:$I$81,4,0)),0,VLOOKUP(A75,'Données projet'!$A$61:$I$81,4,0))</f>
        <v>32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0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>
        <f>VLOOKUP(A75,'Données projet'!$A$87:$I$107,2,0)</f>
        <v>160</v>
      </c>
      <c r="BB75" s="13">
        <f>VLOOKUP(A75,'Données projet'!$A$87:$I$107,9,0)</f>
        <v>5.75</v>
      </c>
      <c r="BC75" s="13">
        <f t="array" ref="BC75">INDEX(BB:BB,MIN(IF(ISNUMBER(BB75:BB271),ROW(BB75:BB271),"")))</f>
        <v>5.75</v>
      </c>
      <c r="BD75" s="13">
        <f>IF('Données projet'!$A$88&gt;35,BD74+BC75-BL74,IF(A75&lt;'Données projet'!$A$88,$BA$205^A75,IF(A75='Données projet'!$A$88,'Données projet'!$B$88,BD74+BC75-BL74)))</f>
        <v>160</v>
      </c>
      <c r="BE75" s="14">
        <f>BD75*VLOOKUP('Données projet'!$B$11,Paramètres!$A$1:$I$88,3,0)*VLOOKUP('Données projet'!$B$11,Paramètres!$A$1:$I$88,5,0)</f>
        <v>139.77600000000001</v>
      </c>
      <c r="BF75" s="14">
        <f t="shared" si="91"/>
        <v>36.245685459195286</v>
      </c>
      <c r="BG75" s="22">
        <f t="shared" si="61"/>
        <v>306.57110217476514</v>
      </c>
      <c r="BH75" s="62">
        <f t="shared" si="62"/>
        <v>599.90443550809846</v>
      </c>
      <c r="BI75" s="62">
        <f ca="1">AVERAGE(OFFSET($BH$3,0,0,'Données projet'!$E$11+1,1))-AVERAGE(OFFSET($H$3,0,0,'Données projet'!$E$11+1,1))</f>
        <v>278.24093386944304</v>
      </c>
      <c r="BJ75" s="62">
        <f t="shared" si="92"/>
        <v>193.96102673885611</v>
      </c>
      <c r="BK75" s="16">
        <f>IF(ISNA(VLOOKUP(A75,'Données projet'!$A$87:$I$107,3,0)),0,VLOOKUP(A75,'Données projet'!$A$87:$I$107,3,0))</f>
        <v>5</v>
      </c>
      <c r="BL75" s="16">
        <f>IF(ISNA(VLOOKUP(A75,'Données projet'!$A$87:$I$107,4,0)),0,VLOOKUP(A75,'Données projet'!$A$87:$I$107,4,0))</f>
        <v>32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0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>
        <f>VLOOKUP(A75,'Données projet'!$A$113:$I$133,2,0)</f>
        <v>160</v>
      </c>
      <c r="BW75" s="13">
        <f>VLOOKUP(A75,'Données projet'!$A$113:$I$133,9,0)</f>
        <v>5.75</v>
      </c>
      <c r="BX75" s="13">
        <f t="array" ref="BX75">INDEX(BW:BW,MIN(IF(ISNUMBER(BW75:BW271),ROW(BW75:BW271),"")))</f>
        <v>5.75</v>
      </c>
      <c r="BY75" s="13">
        <f>IF('Données projet'!$A$114&gt;35,BY74+BX75-CG74,IF(A75&lt;'Données projet'!$A$114,$BV$205^A75,IF(A75='Données projet'!$A$114,'Données projet'!$B$114,BY74+BX75-CG74)))</f>
        <v>160</v>
      </c>
      <c r="BZ75" s="14">
        <f>BY75*VLOOKUP('Données projet'!$B$12,Paramètres!$A$1:$I$88,3,0)*VLOOKUP('Données projet'!$B$12,Paramètres!$A$1:$I$88,5,0)</f>
        <v>154.75200000000001</v>
      </c>
      <c r="CA75" s="14">
        <f t="shared" si="93"/>
        <v>39.656526650076415</v>
      </c>
      <c r="CB75" s="22">
        <f t="shared" si="64"/>
        <v>338.59485058221645</v>
      </c>
      <c r="CC75" s="62">
        <f t="shared" si="65"/>
        <v>631.92818391554977</v>
      </c>
      <c r="CD75" s="62">
        <f ca="1">AVERAGE(OFFSET($CC$3,0,0,'Données projet'!$E$12+1,1))-AVERAGE(OFFSET($H$3,0,0,'Données projet'!$E$12+1,1))</f>
        <v>303.93739496872121</v>
      </c>
      <c r="CE75" s="62">
        <f t="shared" si="94"/>
        <v>210.36431469568754</v>
      </c>
      <c r="CF75" s="16">
        <f>IF(ISNA(VLOOKUP(A75,'Données projet'!$A$113:$I$133,3,0)),0,VLOOKUP(A75,'Données projet'!$A$113:$I$133,3,0))</f>
        <v>5</v>
      </c>
      <c r="CG75" s="16">
        <f>IF(ISNA(VLOOKUP(A75,'Données projet'!$A$113:$I$133,4,0)),0,VLOOKUP(A75,'Données projet'!$A$113:$I$133,4,0))</f>
        <v>32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0</v>
      </c>
      <c r="CL75" s="23">
        <f>EXP(-LN(2)/25)*CL74+(1-EXP(-LN(2)/25))/(LN(2)/25)*Calculateur!CG75*Calculateur!CI75*VLOOKUP('Données projet'!$B$12,Paramètres!$A$1:$I$88,3,0)*0.475*44/12</f>
        <v>0</v>
      </c>
      <c r="CM75" s="23">
        <f>EXP(-LN(2)/2)*CM74+(1-EXP(-LN(2)/2))/(LN(2)/2)*CG75*CJ75*VLOOKUP('Données projet'!$B$12,Paramètres!$A$1:$I$88,3,0)*0.475*44/12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>
        <f>CT75*VLOOKUP('Données projet'!$B$13,Paramètres!$A$1:$I$88,3,0)*VLOOKUP('Données projet'!$B$13,Paramètres!$A$1:$I$88,5,0)</f>
        <v>0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57.812812891099895</v>
      </c>
      <c r="CZ75" s="62">
        <f t="shared" si="96"/>
        <v>244.79885157604684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projet'!$B$13,Paramètres!$A$1:$I$88,3,0)*0.475*44/12</f>
        <v>16.746808655590183</v>
      </c>
      <c r="DG75" s="23">
        <f>EXP(-LN(2)/25)*DG74+(1-EXP(-LN(2)/25))/(LN(2)/25)*Calculateur!DB75*Calculateur!DD75*VLOOKUP('Données projet'!$B$13,Paramètres!$A$1:$I$88,3,0)*0.475*44/12</f>
        <v>0</v>
      </c>
      <c r="DH75" s="23">
        <f>EXP(-LN(2)/2)*DH74+(1-EXP(-LN(2)/2))/(LN(2)/2)*DB75*DE75*VLOOKUP('Données projet'!$B$13,Paramètres!$A$1:$I$88,3,0)*0.475*44/12</f>
        <v>1.912781182936848E-7</v>
      </c>
      <c r="DI75" s="24">
        <f t="shared" si="69"/>
        <v>16.746808846868301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5</v>
      </c>
      <c r="N76" s="14">
        <f>IF('Données projet'!$A$36&gt;35,N75+M76-V75,IF(A76&lt;'Données projet'!$A$36,$K$205^A76,IF(A76='Données projet'!$A$36,'Données projet'!$B$36,N75+M76-V75)))</f>
        <v>133</v>
      </c>
      <c r="O76" s="14">
        <f>N76*VLOOKUP('Données projet'!$B$9,Paramètres!$A$1:$I$88,3,0)*VLOOKUP('Données projet'!$B$9,Paramètres!$A$1:$I$88,5,0)</f>
        <v>120.33840000000001</v>
      </c>
      <c r="P76" s="14">
        <f t="shared" si="87"/>
        <v>31.753912596847059</v>
      </c>
      <c r="Q76" s="22">
        <f t="shared" si="54"/>
        <v>264.89411110617533</v>
      </c>
      <c r="R76" s="62">
        <f t="shared" si="55"/>
        <v>558.22744443950864</v>
      </c>
      <c r="S76" s="62">
        <f ca="1">AVERAGE(OFFSET($R$3,0,0,'Données projet'!$E$9+1,1))-AVERAGE(OFFSET($H$3,0,0,'Données projet'!$E$9+1,1))</f>
        <v>286.81278534843665</v>
      </c>
      <c r="T76" s="62">
        <f t="shared" si="88"/>
        <v>199.43308683696642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</v>
      </c>
      <c r="AI76" s="14">
        <f>IF('Données projet'!$A$62&gt;35,AI75+AH76-AQ75,IF(A76&lt;'Données projet'!$A$62,$AF$205^A76,IF(A76='Données projet'!$A$62,'Données projet'!$B$62,AI75+AH76-AQ75)))</f>
        <v>133</v>
      </c>
      <c r="AJ76" s="14">
        <f>AI76*VLOOKUP('Données projet'!$B$10,Paramètres!$A$1:$I$88,3,0)*VLOOKUP('Données projet'!$B$10,Paramètres!$A$1:$I$88,5,0)</f>
        <v>134.86200000000002</v>
      </c>
      <c r="AK76" s="14">
        <f t="shared" si="89"/>
        <v>35.11741273245844</v>
      </c>
      <c r="AL76" s="22">
        <f t="shared" si="58"/>
        <v>296.04747717569848</v>
      </c>
      <c r="AM76" s="62">
        <f t="shared" si="59"/>
        <v>589.38081050903179</v>
      </c>
      <c r="AN76" s="62">
        <f ca="1">AVERAGE(OFFSET($AM$3,0,0,'Données projet'!$E$10+1,1))-AVERAGE(OFFSET($H$3,0,0,'Données projet'!$E$10+1,1))</f>
        <v>316.76504852082684</v>
      </c>
      <c r="AO76" s="62">
        <f t="shared" si="90"/>
        <v>218.5520645293999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0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5</v>
      </c>
      <c r="BD76" s="13">
        <f>IF('Données projet'!$A$88&gt;35,BD75+BC76-BL75,IF(A76&lt;'Données projet'!$A$88,$BA$205^A76,IF(A76='Données projet'!$A$88,'Données projet'!$B$88,BD75+BC76-BL75)))</f>
        <v>133</v>
      </c>
      <c r="BE76" s="14">
        <f>BD76*VLOOKUP('Données projet'!$B$11,Paramètres!$A$1:$I$88,3,0)*VLOOKUP('Données projet'!$B$11,Paramètres!$A$1:$I$88,5,0)</f>
        <v>116.18880000000001</v>
      </c>
      <c r="BF76" s="14">
        <f t="shared" si="91"/>
        <v>30.784436657961731</v>
      </c>
      <c r="BG76" s="22">
        <f t="shared" si="61"/>
        <v>255.97838717928335</v>
      </c>
      <c r="BH76" s="62">
        <f t="shared" si="62"/>
        <v>549.3117205126166</v>
      </c>
      <c r="BI76" s="62">
        <f ca="1">AVERAGE(OFFSET($BH$3,0,0,'Données projet'!$E$11+1,1))-AVERAGE(OFFSET($H$3,0,0,'Données projet'!$E$11+1,1))</f>
        <v>278.24093386944304</v>
      </c>
      <c r="BJ76" s="62">
        <f t="shared" si="92"/>
        <v>193.96102673885611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0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5</v>
      </c>
      <c r="BY76" s="13">
        <f>IF('Données projet'!$A$114&gt;35,BY75+BX76-CG75,IF(A76&lt;'Données projet'!$A$114,$BV$205^A76,IF(A76='Données projet'!$A$114,'Données projet'!$B$114,BY75+BX76-CG75)))</f>
        <v>133</v>
      </c>
      <c r="BZ76" s="14">
        <f>BY76*VLOOKUP('Données projet'!$B$12,Paramètres!$A$1:$I$88,3,0)*VLOOKUP('Données projet'!$B$12,Paramètres!$A$1:$I$88,5,0)</f>
        <v>128.63759999999999</v>
      </c>
      <c r="CA76" s="14">
        <f t="shared" si="93"/>
        <v>33.681355926028921</v>
      </c>
      <c r="CB76" s="22">
        <f t="shared" si="64"/>
        <v>282.70551490450038</v>
      </c>
      <c r="CC76" s="62">
        <f t="shared" si="65"/>
        <v>576.03884823783369</v>
      </c>
      <c r="CD76" s="62">
        <f ca="1">AVERAGE(OFFSET($CC$3,0,0,'Données projet'!$E$12+1,1))-AVERAGE(OFFSET($H$3,0,0,'Données projet'!$E$12+1,1))</f>
        <v>303.93739496872121</v>
      </c>
      <c r="CE76" s="62">
        <f t="shared" si="94"/>
        <v>210.36431469568754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0</v>
      </c>
      <c r="CL76" s="23">
        <f>EXP(-LN(2)/25)*CL75+(1-EXP(-LN(2)/25))/(LN(2)/25)*Calculateur!CG76*Calculateur!CI76*VLOOKUP('Données projet'!$B$12,Paramètres!$A$1:$I$88,3,0)*0.475*44/12</f>
        <v>0</v>
      </c>
      <c r="CM76" s="23">
        <f>EXP(-LN(2)/2)*CM75+(1-EXP(-LN(2)/2))/(LN(2)/2)*CG76*CJ76*VLOOKUP('Données projet'!$B$12,Paramètres!$A$1:$I$88,3,0)*0.475*44/12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>
        <f>CT76*VLOOKUP('Données projet'!$B$13,Paramètres!$A$1:$I$88,3,0)*VLOOKUP('Données projet'!$B$13,Paramètres!$A$1:$I$88,5,0)</f>
        <v>0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57.812812891099895</v>
      </c>
      <c r="CZ76" s="62">
        <f t="shared" si="96"/>
        <v>244.79885157604684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projet'!$B$13,Paramètres!$A$1:$I$88,3,0)*0.475*44/12</f>
        <v>16.418413952398737</v>
      </c>
      <c r="DG76" s="23">
        <f>EXP(-LN(2)/25)*DG75+(1-EXP(-LN(2)/25))/(LN(2)/25)*Calculateur!DB76*Calculateur!DD76*VLOOKUP('Données projet'!$B$13,Paramètres!$A$1:$I$88,3,0)*0.475*44/12</f>
        <v>0</v>
      </c>
      <c r="DH76" s="23">
        <f>EXP(-LN(2)/2)*DH75+(1-EXP(-LN(2)/2))/(LN(2)/2)*DB76*DE76*VLOOKUP('Données projet'!$B$13,Paramètres!$A$1:$I$88,3,0)*0.475*44/12</f>
        <v>1.3525405453806713E-7</v>
      </c>
      <c r="DI76" s="24">
        <f t="shared" si="69"/>
        <v>16.418414087652792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5</v>
      </c>
      <c r="N77" s="14">
        <f>IF('Données projet'!$A$36&gt;35,N76+M77-V76,IF(A77&lt;'Données projet'!$A$36,$K$205^A77,IF(A77='Données projet'!$A$36,'Données projet'!$B$36,N76+M77-V76)))</f>
        <v>138</v>
      </c>
      <c r="O77" s="14">
        <f>N77*VLOOKUP('Données projet'!$B$9,Paramètres!$A$1:$I$88,3,0)*VLOOKUP('Données projet'!$B$9,Paramètres!$A$1:$I$88,5,0)</f>
        <v>124.86239999999999</v>
      </c>
      <c r="P77" s="14">
        <f t="shared" si="87"/>
        <v>32.806439280561598</v>
      </c>
      <c r="Q77" s="22">
        <f t="shared" si="54"/>
        <v>274.60656174697812</v>
      </c>
      <c r="R77" s="62">
        <f t="shared" si="55"/>
        <v>567.93989508031143</v>
      </c>
      <c r="S77" s="62">
        <f ca="1">AVERAGE(OFFSET($R$3,0,0,'Données projet'!$E$9+1,1))-AVERAGE(OFFSET($H$3,0,0,'Données projet'!$E$9+1,1))</f>
        <v>286.81278534843665</v>
      </c>
      <c r="T77" s="62">
        <f t="shared" si="88"/>
        <v>199.43308683696642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</v>
      </c>
      <c r="AI77" s="14">
        <f>IF('Données projet'!$A$62&gt;35,AI76+AH77-AQ76,IF(A77&lt;'Données projet'!$A$62,$AF$205^A77,IF(A77='Données projet'!$A$62,'Données projet'!$B$62,AI76+AH77-AQ76)))</f>
        <v>138</v>
      </c>
      <c r="AJ77" s="14">
        <f>AI77*VLOOKUP('Données projet'!$B$10,Paramètres!$A$1:$I$88,3,0)*VLOOKUP('Données projet'!$B$10,Paramètres!$A$1:$I$88,5,0)</f>
        <v>139.93200000000002</v>
      </c>
      <c r="AK77" s="14">
        <f t="shared" si="89"/>
        <v>36.281427209452353</v>
      </c>
      <c r="AL77" s="22">
        <f t="shared" si="58"/>
        <v>306.90505238979614</v>
      </c>
      <c r="AM77" s="62">
        <f t="shared" si="59"/>
        <v>600.23838572312945</v>
      </c>
      <c r="AN77" s="62">
        <f ca="1">AVERAGE(OFFSET($AM$3,0,0,'Données projet'!$E$10+1,1))-AVERAGE(OFFSET($H$3,0,0,'Données projet'!$E$10+1,1))</f>
        <v>316.76504852082684</v>
      </c>
      <c r="AO77" s="62">
        <f t="shared" si="90"/>
        <v>218.5520645293999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0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5</v>
      </c>
      <c r="BD77" s="13">
        <f>IF('Données projet'!$A$88&gt;35,BD76+BC77-BL76,IF(A77&lt;'Données projet'!$A$88,$BA$205^A77,IF(A77='Données projet'!$A$88,'Données projet'!$B$88,BD76+BC77-BL76)))</f>
        <v>138</v>
      </c>
      <c r="BE77" s="14">
        <f>BD77*VLOOKUP('Données projet'!$B$11,Paramètres!$A$1:$I$88,3,0)*VLOOKUP('Données projet'!$B$11,Paramètres!$A$1:$I$88,5,0)</f>
        <v>120.55680000000001</v>
      </c>
      <c r="BF77" s="14">
        <f t="shared" si="91"/>
        <v>31.804828741198779</v>
      </c>
      <c r="BG77" s="22">
        <f t="shared" si="61"/>
        <v>265.36317005758787</v>
      </c>
      <c r="BH77" s="62">
        <f t="shared" si="62"/>
        <v>558.69650339092118</v>
      </c>
      <c r="BI77" s="62">
        <f ca="1">AVERAGE(OFFSET($BH$3,0,0,'Données projet'!$E$11+1,1))-AVERAGE(OFFSET($H$3,0,0,'Données projet'!$E$11+1,1))</f>
        <v>278.24093386944304</v>
      </c>
      <c r="BJ77" s="62">
        <f t="shared" si="92"/>
        <v>193.96102673885611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0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5</v>
      </c>
      <c r="BY77" s="13">
        <f>IF('Données projet'!$A$114&gt;35,BY76+BX77-CG76,IF(A77&lt;'Données projet'!$A$114,$BV$205^A77,IF(A77='Données projet'!$A$114,'Données projet'!$B$114,BY76+BX77-CG76)))</f>
        <v>138</v>
      </c>
      <c r="BZ77" s="14">
        <f>BY77*VLOOKUP('Données projet'!$B$12,Paramètres!$A$1:$I$88,3,0)*VLOOKUP('Données projet'!$B$12,Paramètres!$A$1:$I$88,5,0)</f>
        <v>133.4736</v>
      </c>
      <c r="CA77" s="14">
        <f t="shared" si="93"/>
        <v>34.797770344180101</v>
      </c>
      <c r="CB77" s="22">
        <f t="shared" si="64"/>
        <v>293.07263668278034</v>
      </c>
      <c r="CC77" s="62">
        <f t="shared" si="65"/>
        <v>586.40597001611366</v>
      </c>
      <c r="CD77" s="62">
        <f ca="1">AVERAGE(OFFSET($CC$3,0,0,'Données projet'!$E$12+1,1))-AVERAGE(OFFSET($H$3,0,0,'Données projet'!$E$12+1,1))</f>
        <v>303.93739496872121</v>
      </c>
      <c r="CE77" s="62">
        <f t="shared" si="94"/>
        <v>210.36431469568754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0</v>
      </c>
      <c r="CL77" s="23">
        <f>EXP(-LN(2)/25)*CL76+(1-EXP(-LN(2)/25))/(LN(2)/25)*Calculateur!CG77*Calculateur!CI77*VLOOKUP('Données projet'!$B$12,Paramètres!$A$1:$I$88,3,0)*0.475*44/12</f>
        <v>0</v>
      </c>
      <c r="CM77" s="23">
        <f>EXP(-LN(2)/2)*CM76+(1-EXP(-LN(2)/2))/(LN(2)/2)*CG77*CJ77*VLOOKUP('Données projet'!$B$12,Paramètres!$A$1:$I$88,3,0)*0.475*44/12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>
        <f>CT77*VLOOKUP('Données projet'!$B$13,Paramètres!$A$1:$I$88,3,0)*VLOOKUP('Données projet'!$B$13,Paramètres!$A$1:$I$88,5,0)</f>
        <v>0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57.812812891099895</v>
      </c>
      <c r="CZ77" s="62">
        <f t="shared" si="96"/>
        <v>244.79885157604684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projet'!$B$13,Paramètres!$A$1:$I$88,3,0)*0.475*44/12</f>
        <v>16.096458869035885</v>
      </c>
      <c r="DG77" s="23">
        <f>EXP(-LN(2)/25)*DG76+(1-EXP(-LN(2)/25))/(LN(2)/25)*Calculateur!DB77*Calculateur!DD77*VLOOKUP('Données projet'!$B$13,Paramètres!$A$1:$I$88,3,0)*0.475*44/12</f>
        <v>0</v>
      </c>
      <c r="DH77" s="23">
        <f>EXP(-LN(2)/2)*DH76+(1-EXP(-LN(2)/2))/(LN(2)/2)*DB77*DE77*VLOOKUP('Données projet'!$B$13,Paramètres!$A$1:$I$88,3,0)*0.475*44/12</f>
        <v>9.5639059146842402E-8</v>
      </c>
      <c r="DI77" s="24">
        <f t="shared" si="69"/>
        <v>16.096458964674945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5</v>
      </c>
      <c r="N78" s="14">
        <f>IF('Données projet'!$A$36&gt;35,N77+M78-V77,IF(A78&lt;'Données projet'!$A$36,$K$205^A78,IF(A78='Données projet'!$A$36,'Données projet'!$B$36,N77+M78-V77)))</f>
        <v>143</v>
      </c>
      <c r="O78" s="14">
        <f>N78*VLOOKUP('Données projet'!$B$9,Paramètres!$A$1:$I$88,3,0)*VLOOKUP('Données projet'!$B$9,Paramètres!$A$1:$I$88,5,0)</f>
        <v>129.38640000000001</v>
      </c>
      <c r="P78" s="14">
        <f t="shared" si="87"/>
        <v>33.854535370613952</v>
      </c>
      <c r="Q78" s="22">
        <f t="shared" si="54"/>
        <v>284.31129577048597</v>
      </c>
      <c r="R78" s="62">
        <f t="shared" si="55"/>
        <v>577.64462910381928</v>
      </c>
      <c r="S78" s="62">
        <f ca="1">AVERAGE(OFFSET($R$3,0,0,'Données projet'!$E$9+1,1))-AVERAGE(OFFSET($H$3,0,0,'Données projet'!$E$9+1,1))</f>
        <v>286.81278534843665</v>
      </c>
      <c r="T78" s="62">
        <f t="shared" si="88"/>
        <v>199.43308683696642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5</v>
      </c>
      <c r="AI78" s="14">
        <f>IF('Données projet'!$A$62&gt;35,AI77+AH78-AQ77,IF(A78&lt;'Données projet'!$A$62,$AF$205^A78,IF(A78='Données projet'!$A$62,'Données projet'!$B$62,AI77+AH78-AQ77)))</f>
        <v>143</v>
      </c>
      <c r="AJ78" s="14">
        <f>AI78*VLOOKUP('Données projet'!$B$10,Paramètres!$A$1:$I$88,3,0)*VLOOKUP('Données projet'!$B$10,Paramètres!$A$1:$I$88,5,0)</f>
        <v>145.00200000000001</v>
      </c>
      <c r="AK78" s="14">
        <f t="shared" si="89"/>
        <v>37.44054178676268</v>
      </c>
      <c r="AL78" s="22">
        <f t="shared" si="58"/>
        <v>317.75409361194505</v>
      </c>
      <c r="AM78" s="62">
        <f t="shared" si="59"/>
        <v>611.08742694527837</v>
      </c>
      <c r="AN78" s="62">
        <f ca="1">AVERAGE(OFFSET($AM$3,0,0,'Données projet'!$E$10+1,1))-AVERAGE(OFFSET($H$3,0,0,'Données projet'!$E$10+1,1))</f>
        <v>316.76504852082684</v>
      </c>
      <c r="AO78" s="62">
        <f t="shared" si="90"/>
        <v>218.5520645293999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0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5</v>
      </c>
      <c r="BD78" s="13">
        <f>IF('Données projet'!$A$88&gt;35,BD77+BC78-BL77,IF(A78&lt;'Données projet'!$A$88,$BA$205^A78,IF(A78='Données projet'!$A$88,'Données projet'!$B$88,BD77+BC78-BL77)))</f>
        <v>143</v>
      </c>
      <c r="BE78" s="14">
        <f>BD78*VLOOKUP('Données projet'!$B$11,Paramètres!$A$1:$I$88,3,0)*VLOOKUP('Données projet'!$B$11,Paramètres!$A$1:$I$88,5,0)</f>
        <v>124.92480000000002</v>
      </c>
      <c r="BF78" s="14">
        <f t="shared" si="91"/>
        <v>32.820925500842712</v>
      </c>
      <c r="BG78" s="22">
        <f t="shared" si="61"/>
        <v>274.74047191396772</v>
      </c>
      <c r="BH78" s="62">
        <f t="shared" si="62"/>
        <v>568.07380524730104</v>
      </c>
      <c r="BI78" s="62">
        <f ca="1">AVERAGE(OFFSET($BH$3,0,0,'Données projet'!$E$11+1,1))-AVERAGE(OFFSET($H$3,0,0,'Données projet'!$E$11+1,1))</f>
        <v>278.24093386944304</v>
      </c>
      <c r="BJ78" s="62">
        <f t="shared" si="92"/>
        <v>193.96102673885611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0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5</v>
      </c>
      <c r="BY78" s="13">
        <f>IF('Données projet'!$A$114&gt;35,BY77+BX78-CG77,IF(A78&lt;'Données projet'!$A$114,$BV$205^A78,IF(A78='Données projet'!$A$114,'Données projet'!$B$114,BY77+BX78-CG77)))</f>
        <v>143</v>
      </c>
      <c r="BZ78" s="14">
        <f>BY78*VLOOKUP('Données projet'!$B$12,Paramètres!$A$1:$I$88,3,0)*VLOOKUP('Données projet'!$B$12,Paramètres!$A$1:$I$88,5,0)</f>
        <v>138.30959999999999</v>
      </c>
      <c r="CA78" s="14">
        <f t="shared" si="93"/>
        <v>35.909485234307901</v>
      </c>
      <c r="CB78" s="22">
        <f t="shared" si="64"/>
        <v>303.43157344975288</v>
      </c>
      <c r="CC78" s="62">
        <f t="shared" si="65"/>
        <v>596.76490678308619</v>
      </c>
      <c r="CD78" s="62">
        <f ca="1">AVERAGE(OFFSET($CC$3,0,0,'Données projet'!$E$12+1,1))-AVERAGE(OFFSET($H$3,0,0,'Données projet'!$E$12+1,1))</f>
        <v>303.93739496872121</v>
      </c>
      <c r="CE78" s="62">
        <f t="shared" si="94"/>
        <v>210.36431469568754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0</v>
      </c>
      <c r="CL78" s="23">
        <f>EXP(-LN(2)/25)*CL77+(1-EXP(-LN(2)/25))/(LN(2)/25)*Calculateur!CG78*Calculateur!CI78*VLOOKUP('Données projet'!$B$12,Paramètres!$A$1:$I$88,3,0)*0.475*44/12</f>
        <v>0</v>
      </c>
      <c r="CM78" s="23">
        <f>EXP(-LN(2)/2)*CM77+(1-EXP(-LN(2)/2))/(LN(2)/2)*CG78*CJ78*VLOOKUP('Données projet'!$B$12,Paramètres!$A$1:$I$88,3,0)*0.475*44/12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>
        <f>CT78*VLOOKUP('Données projet'!$B$13,Paramètres!$A$1:$I$88,3,0)*VLOOKUP('Données projet'!$B$13,Paramètres!$A$1:$I$88,5,0)</f>
        <v>0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57.812812891099895</v>
      </c>
      <c r="CZ78" s="62">
        <f t="shared" si="96"/>
        <v>244.79885157604684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projet'!$B$13,Paramètres!$A$1:$I$88,3,0)*0.475*44/12</f>
        <v>15.780817128484568</v>
      </c>
      <c r="DG78" s="23">
        <f>EXP(-LN(2)/25)*DG77+(1-EXP(-LN(2)/25))/(LN(2)/25)*Calculateur!DB78*Calculateur!DD78*VLOOKUP('Données projet'!$B$13,Paramètres!$A$1:$I$88,3,0)*0.475*44/12</f>
        <v>0</v>
      </c>
      <c r="DH78" s="23">
        <f>EXP(-LN(2)/2)*DH77+(1-EXP(-LN(2)/2))/(LN(2)/2)*DB78*DE78*VLOOKUP('Données projet'!$B$13,Paramètres!$A$1:$I$88,3,0)*0.475*44/12</f>
        <v>6.7627027269033565E-8</v>
      </c>
      <c r="DI78" s="24">
        <f t="shared" si="69"/>
        <v>15.780817196111595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</v>
      </c>
      <c r="N79" s="14">
        <f>IF('Données projet'!$A$36&gt;35,N78+M79-V78,IF(A79&lt;'Données projet'!$A$36,$K$205^A79,IF(A79='Données projet'!$A$36,'Données projet'!$B$36,N78+M79-V78)))</f>
        <v>148</v>
      </c>
      <c r="O79" s="14">
        <f>N79*VLOOKUP('Données projet'!$B$9,Paramètres!$A$1:$I$88,3,0)*VLOOKUP('Données projet'!$B$9,Paramètres!$A$1:$I$88,5,0)</f>
        <v>133.91039999999998</v>
      </c>
      <c r="P79" s="14">
        <f t="shared" si="87"/>
        <v>34.898373535125089</v>
      </c>
      <c r="Q79" s="22">
        <f t="shared" si="54"/>
        <v>294.00861390700948</v>
      </c>
      <c r="R79" s="62">
        <f t="shared" si="55"/>
        <v>587.34194724034273</v>
      </c>
      <c r="S79" s="62">
        <f ca="1">AVERAGE(OFFSET($R$3,0,0,'Données projet'!$E$9+1,1))-AVERAGE(OFFSET($H$3,0,0,'Données projet'!$E$9+1,1))</f>
        <v>286.81278534843665</v>
      </c>
      <c r="T79" s="62">
        <f t="shared" si="88"/>
        <v>199.43308683696642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</v>
      </c>
      <c r="AI79" s="14">
        <f>IF('Données projet'!$A$62&gt;35,AI78+AH79-AQ78,IF(A79&lt;'Données projet'!$A$62,$AF$205^A79,IF(A79='Données projet'!$A$62,'Données projet'!$B$62,AI78+AH79-AQ78)))</f>
        <v>148</v>
      </c>
      <c r="AJ79" s="14">
        <f>AI79*VLOOKUP('Données projet'!$B$10,Paramètres!$A$1:$I$88,3,0)*VLOOKUP('Données projet'!$B$10,Paramètres!$A$1:$I$88,5,0)</f>
        <v>150.072</v>
      </c>
      <c r="AK79" s="14">
        <f t="shared" si="89"/>
        <v>38.594947422201457</v>
      </c>
      <c r="AL79" s="22">
        <f t="shared" si="58"/>
        <v>328.59493342700091</v>
      </c>
      <c r="AM79" s="62">
        <f t="shared" si="59"/>
        <v>621.92826676033428</v>
      </c>
      <c r="AN79" s="62">
        <f ca="1">AVERAGE(OFFSET($AM$3,0,0,'Données projet'!$E$10+1,1))-AVERAGE(OFFSET($H$3,0,0,'Données projet'!$E$10+1,1))</f>
        <v>316.76504852082684</v>
      </c>
      <c r="AO79" s="62">
        <f t="shared" si="90"/>
        <v>218.5520645293999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0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</v>
      </c>
      <c r="BD79" s="13">
        <f>IF('Données projet'!$A$88&gt;35,BD78+BC79-BL78,IF(A79&lt;'Données projet'!$A$88,$BA$205^A79,IF(A79='Données projet'!$A$88,'Données projet'!$B$88,BD78+BC79-BL78)))</f>
        <v>148</v>
      </c>
      <c r="BE79" s="14">
        <f>BD79*VLOOKUP('Données projet'!$B$11,Paramètres!$A$1:$I$88,3,0)*VLOOKUP('Données projet'!$B$11,Paramètres!$A$1:$I$88,5,0)</f>
        <v>129.29280000000003</v>
      </c>
      <c r="BF79" s="14">
        <f t="shared" si="91"/>
        <v>33.832894333299251</v>
      </c>
      <c r="BG79" s="22">
        <f t="shared" si="61"/>
        <v>284.11058429716292</v>
      </c>
      <c r="BH79" s="62">
        <f t="shared" si="62"/>
        <v>577.44391763049623</v>
      </c>
      <c r="BI79" s="62">
        <f ca="1">AVERAGE(OFFSET($BH$3,0,0,'Données projet'!$E$11+1,1))-AVERAGE(OFFSET($H$3,0,0,'Données projet'!$E$11+1,1))</f>
        <v>278.24093386944304</v>
      </c>
      <c r="BJ79" s="62">
        <f t="shared" si="92"/>
        <v>193.96102673885611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0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5</v>
      </c>
      <c r="BY79" s="13">
        <f>IF('Données projet'!$A$114&gt;35,BY78+BX79-CG78,IF(A79&lt;'Données projet'!$A$114,$BV$205^A79,IF(A79='Données projet'!$A$114,'Données projet'!$B$114,BY78+BX79-CG78)))</f>
        <v>148</v>
      </c>
      <c r="BZ79" s="14">
        <f>BY79*VLOOKUP('Données projet'!$B$12,Paramètres!$A$1:$I$88,3,0)*VLOOKUP('Données projet'!$B$12,Paramètres!$A$1:$I$88,5,0)</f>
        <v>143.1456</v>
      </c>
      <c r="CA79" s="14">
        <f t="shared" si="93"/>
        <v>37.01668374538415</v>
      </c>
      <c r="CB79" s="22">
        <f t="shared" si="64"/>
        <v>313.78264418987732</v>
      </c>
      <c r="CC79" s="62">
        <f t="shared" si="65"/>
        <v>607.11597752321063</v>
      </c>
      <c r="CD79" s="62">
        <f ca="1">AVERAGE(OFFSET($CC$3,0,0,'Données projet'!$E$12+1,1))-AVERAGE(OFFSET($H$3,0,0,'Données projet'!$E$12+1,1))</f>
        <v>303.93739496872121</v>
      </c>
      <c r="CE79" s="62">
        <f t="shared" si="94"/>
        <v>210.36431469568754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0</v>
      </c>
      <c r="CL79" s="23">
        <f>EXP(-LN(2)/25)*CL78+(1-EXP(-LN(2)/25))/(LN(2)/25)*Calculateur!CG79*Calculateur!CI79*VLOOKUP('Données projet'!$B$12,Paramètres!$A$1:$I$88,3,0)*0.475*44/12</f>
        <v>0</v>
      </c>
      <c r="CM79" s="23">
        <f>EXP(-LN(2)/2)*CM78+(1-EXP(-LN(2)/2))/(LN(2)/2)*CG79*CJ79*VLOOKUP('Données projet'!$B$12,Paramètres!$A$1:$I$88,3,0)*0.475*44/12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>
        <f>CT79*VLOOKUP('Données projet'!$B$13,Paramètres!$A$1:$I$88,3,0)*VLOOKUP('Données projet'!$B$13,Paramètres!$A$1:$I$88,5,0)</f>
        <v>0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57.812812891099895</v>
      </c>
      <c r="CZ79" s="62">
        <f t="shared" si="96"/>
        <v>244.79885157604684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projet'!$B$13,Paramètres!$A$1:$I$88,3,0)*0.475*44/12</f>
        <v>15.471364929943009</v>
      </c>
      <c r="DG79" s="23">
        <f>EXP(-LN(2)/25)*DG78+(1-EXP(-LN(2)/25))/(LN(2)/25)*Calculateur!DB79*Calculateur!DD79*VLOOKUP('Données projet'!$B$13,Paramètres!$A$1:$I$88,3,0)*0.475*44/12</f>
        <v>0</v>
      </c>
      <c r="DH79" s="23">
        <f>EXP(-LN(2)/2)*DH78+(1-EXP(-LN(2)/2))/(LN(2)/2)*DB79*DE79*VLOOKUP('Données projet'!$B$13,Paramètres!$A$1:$I$88,3,0)*0.475*44/12</f>
        <v>4.7819529573421201E-8</v>
      </c>
      <c r="DI79" s="24">
        <f t="shared" si="69"/>
        <v>15.471364977762539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</v>
      </c>
      <c r="N80" s="14">
        <f>IF('Données projet'!$A$36&gt;35,N79+M80-V79,IF(A80&lt;'Données projet'!$A$36,$K$205^A80,IF(A80='Données projet'!$A$36,'Données projet'!$B$36,N79+M80-V79)))</f>
        <v>153</v>
      </c>
      <c r="O80" s="14">
        <f>N80*VLOOKUP('Données projet'!$B$9,Paramètres!$A$1:$I$88,3,0)*VLOOKUP('Données projet'!$B$9,Paramètres!$A$1:$I$88,5,0)</f>
        <v>138.43440000000001</v>
      </c>
      <c r="P80" s="14">
        <f t="shared" si="87"/>
        <v>35.938114113553581</v>
      </c>
      <c r="Q80" s="22">
        <f t="shared" si="54"/>
        <v>303.69879541443919</v>
      </c>
      <c r="R80" s="62">
        <f t="shared" si="55"/>
        <v>597.0321287477725</v>
      </c>
      <c r="S80" s="62">
        <f ca="1">AVERAGE(OFFSET($R$3,0,0,'Données projet'!$E$9+1,1))-AVERAGE(OFFSET($H$3,0,0,'Données projet'!$E$9+1,1))</f>
        <v>286.81278534843665</v>
      </c>
      <c r="T80" s="62">
        <f t="shared" si="88"/>
        <v>199.43308683696642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</v>
      </c>
      <c r="AI80" s="14">
        <f>IF('Données projet'!$A$62&gt;35,AI79+AH80-AQ79,IF(A80&lt;'Données projet'!$A$62,$AF$205^A80,IF(A80='Données projet'!$A$62,'Données projet'!$B$62,AI79+AH80-AQ79)))</f>
        <v>153</v>
      </c>
      <c r="AJ80" s="14">
        <f>AI80*VLOOKUP('Données projet'!$B$10,Paramètres!$A$1:$I$88,3,0)*VLOOKUP('Données projet'!$B$10,Paramètres!$A$1:$I$88,5,0)</f>
        <v>155.142</v>
      </c>
      <c r="AK80" s="14">
        <f t="shared" si="89"/>
        <v>39.744821439017343</v>
      </c>
      <c r="AL80" s="22">
        <f t="shared" si="58"/>
        <v>339.42788067295515</v>
      </c>
      <c r="AM80" s="62">
        <f t="shared" si="59"/>
        <v>632.76121400628847</v>
      </c>
      <c r="AN80" s="62">
        <f ca="1">AVERAGE(OFFSET($AM$3,0,0,'Données projet'!$E$10+1,1))-AVERAGE(OFFSET($H$3,0,0,'Données projet'!$E$10+1,1))</f>
        <v>316.76504852082684</v>
      </c>
      <c r="AO80" s="62">
        <f t="shared" si="90"/>
        <v>218.5520645293999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0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</v>
      </c>
      <c r="BD80" s="13">
        <f>IF('Données projet'!$A$88&gt;35,BD79+BC80-BL79,IF(A80&lt;'Données projet'!$A$88,$BA$205^A80,IF(A80='Données projet'!$A$88,'Données projet'!$B$88,BD79+BC80-BL79)))</f>
        <v>153</v>
      </c>
      <c r="BE80" s="14">
        <f>BD80*VLOOKUP('Données projet'!$B$11,Paramètres!$A$1:$I$88,3,0)*VLOOKUP('Données projet'!$B$11,Paramètres!$A$1:$I$88,5,0)</f>
        <v>133.66080000000002</v>
      </c>
      <c r="BF80" s="14">
        <f t="shared" si="91"/>
        <v>34.840890682716747</v>
      </c>
      <c r="BG80" s="22">
        <f t="shared" si="61"/>
        <v>293.47377793906503</v>
      </c>
      <c r="BH80" s="62">
        <f t="shared" si="62"/>
        <v>586.80711127239829</v>
      </c>
      <c r="BI80" s="62">
        <f ca="1">AVERAGE(OFFSET($BH$3,0,0,'Données projet'!$E$11+1,1))-AVERAGE(OFFSET($H$3,0,0,'Données projet'!$E$11+1,1))</f>
        <v>278.24093386944304</v>
      </c>
      <c r="BJ80" s="62">
        <f t="shared" si="92"/>
        <v>193.96102673885611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0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5</v>
      </c>
      <c r="BY80" s="13">
        <f>IF('Données projet'!$A$114&gt;35,BY79+BX80-CG79,IF(A80&lt;'Données projet'!$A$114,$BV$205^A80,IF(A80='Données projet'!$A$114,'Données projet'!$B$114,BY79+BX80-CG79)))</f>
        <v>153</v>
      </c>
      <c r="BZ80" s="14">
        <f>BY80*VLOOKUP('Données projet'!$B$12,Paramètres!$A$1:$I$88,3,0)*VLOOKUP('Données projet'!$B$12,Paramètres!$A$1:$I$88,5,0)</f>
        <v>147.98160000000001</v>
      </c>
      <c r="CA80" s="14">
        <f t="shared" si="93"/>
        <v>38.119535949375617</v>
      </c>
      <c r="CB80" s="22">
        <f t="shared" si="64"/>
        <v>324.12614511182926</v>
      </c>
      <c r="CC80" s="62">
        <f t="shared" si="65"/>
        <v>617.45947844516263</v>
      </c>
      <c r="CD80" s="62">
        <f ca="1">AVERAGE(OFFSET($CC$3,0,0,'Données projet'!$E$12+1,1))-AVERAGE(OFFSET($H$3,0,0,'Données projet'!$E$12+1,1))</f>
        <v>303.93739496872121</v>
      </c>
      <c r="CE80" s="62">
        <f t="shared" si="94"/>
        <v>210.36431469568754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0</v>
      </c>
      <c r="CL80" s="23">
        <f>EXP(-LN(2)/25)*CL79+(1-EXP(-LN(2)/25))/(LN(2)/25)*Calculateur!CG80*Calculateur!CI80*VLOOKUP('Données projet'!$B$12,Paramètres!$A$1:$I$88,3,0)*0.475*44/12</f>
        <v>0</v>
      </c>
      <c r="CM80" s="23">
        <f>EXP(-LN(2)/2)*CM79+(1-EXP(-LN(2)/2))/(LN(2)/2)*CG80*CJ80*VLOOKUP('Données projet'!$B$12,Paramètres!$A$1:$I$88,3,0)*0.475*44/12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>
        <f>CT80*VLOOKUP('Données projet'!$B$13,Paramètres!$A$1:$I$88,3,0)*VLOOKUP('Données projet'!$B$13,Paramètres!$A$1:$I$88,5,0)</f>
        <v>0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57.812812891099895</v>
      </c>
      <c r="CZ80" s="62">
        <f t="shared" si="96"/>
        <v>244.79885157604684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projet'!$B$13,Paramètres!$A$1:$I$88,3,0)*0.475*44/12</f>
        <v>15.167980900267647</v>
      </c>
      <c r="DG80" s="23">
        <f>EXP(-LN(2)/25)*DG79+(1-EXP(-LN(2)/25))/(LN(2)/25)*Calculateur!DB80*Calculateur!DD80*VLOOKUP('Données projet'!$B$13,Paramètres!$A$1:$I$88,3,0)*0.475*44/12</f>
        <v>0</v>
      </c>
      <c r="DH80" s="23">
        <f>EXP(-LN(2)/2)*DH79+(1-EXP(-LN(2)/2))/(LN(2)/2)*DB80*DE80*VLOOKUP('Données projet'!$B$13,Paramètres!$A$1:$I$88,3,0)*0.475*44/12</f>
        <v>3.3813513634516783E-8</v>
      </c>
      <c r="DI80" s="24">
        <f t="shared" si="69"/>
        <v>15.167980934081161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</v>
      </c>
      <c r="N81" s="14">
        <f>IF('Données projet'!$A$36&gt;35,N80+M81-V80,IF(A81&lt;'Données projet'!$A$36,$K$205^A81,IF(A81='Données projet'!$A$36,'Données projet'!$B$36,N80+M81-V80)))</f>
        <v>158</v>
      </c>
      <c r="O81" s="14">
        <f>N81*VLOOKUP('Données projet'!$B$9,Paramètres!$A$1:$I$88,3,0)*VLOOKUP('Données projet'!$B$9,Paramètres!$A$1:$I$88,5,0)</f>
        <v>142.95840000000001</v>
      </c>
      <c r="P81" s="14">
        <f t="shared" si="87"/>
        <v>36.973906370811264</v>
      </c>
      <c r="Q81" s="22">
        <f t="shared" si="54"/>
        <v>313.38210026249629</v>
      </c>
      <c r="R81" s="62">
        <f t="shared" si="55"/>
        <v>606.71543359582961</v>
      </c>
      <c r="S81" s="62">
        <f ca="1">AVERAGE(OFFSET($R$3,0,0,'Données projet'!$E$9+1,1))-AVERAGE(OFFSET($H$3,0,0,'Données projet'!$E$9+1,1))</f>
        <v>286.81278534843665</v>
      </c>
      <c r="T81" s="62">
        <f t="shared" si="88"/>
        <v>199.43308683696642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</v>
      </c>
      <c r="AI81" s="14">
        <f>IF('Données projet'!$A$62&gt;35,AI80+AH81-AQ80,IF(A81&lt;'Données projet'!$A$62,$AF$205^A81,IF(A81='Données projet'!$A$62,'Données projet'!$B$62,AI80+AH81-AQ80)))</f>
        <v>158</v>
      </c>
      <c r="AJ81" s="14">
        <f>AI81*VLOOKUP('Données projet'!$B$10,Paramètres!$A$1:$I$88,3,0)*VLOOKUP('Données projet'!$B$10,Paramètres!$A$1:$I$88,5,0)</f>
        <v>160.21200000000002</v>
      </c>
      <c r="AK81" s="14">
        <f t="shared" si="89"/>
        <v>40.890328912852695</v>
      </c>
      <c r="AL81" s="22">
        <f t="shared" si="58"/>
        <v>350.25322285655176</v>
      </c>
      <c r="AM81" s="62">
        <f t="shared" si="59"/>
        <v>643.58655618988507</v>
      </c>
      <c r="AN81" s="62">
        <f ca="1">AVERAGE(OFFSET($AM$3,0,0,'Données projet'!$E$10+1,1))-AVERAGE(OFFSET($H$3,0,0,'Données projet'!$E$10+1,1))</f>
        <v>316.76504852082684</v>
      </c>
      <c r="AO81" s="62">
        <f t="shared" si="90"/>
        <v>218.5520645293999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0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</v>
      </c>
      <c r="BD81" s="13">
        <f>IF('Données projet'!$A$88&gt;35,BD80+BC81-BL80,IF(A81&lt;'Données projet'!$A$88,$BA$205^A81,IF(A81='Données projet'!$A$88,'Données projet'!$B$88,BD80+BC81-BL80)))</f>
        <v>158</v>
      </c>
      <c r="BE81" s="14">
        <f>BD81*VLOOKUP('Données projet'!$B$11,Paramètres!$A$1:$I$88,3,0)*VLOOKUP('Données projet'!$B$11,Paramètres!$A$1:$I$88,5,0)</f>
        <v>138.02880000000002</v>
      </c>
      <c r="BF81" s="14">
        <f t="shared" si="91"/>
        <v>35.845059256813073</v>
      </c>
      <c r="BG81" s="22">
        <f t="shared" si="61"/>
        <v>302.8303048722828</v>
      </c>
      <c r="BH81" s="62">
        <f t="shared" si="62"/>
        <v>596.16363820561605</v>
      </c>
      <c r="BI81" s="62">
        <f ca="1">AVERAGE(OFFSET($BH$3,0,0,'Données projet'!$E$11+1,1))-AVERAGE(OFFSET($H$3,0,0,'Données projet'!$E$11+1,1))</f>
        <v>278.24093386944304</v>
      </c>
      <c r="BJ81" s="62">
        <f t="shared" si="92"/>
        <v>193.96102673885611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0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5</v>
      </c>
      <c r="BY81" s="13">
        <f>IF('Données projet'!$A$114&gt;35,BY80+BX81-CG80,IF(A81&lt;'Données projet'!$A$114,$BV$205^A81,IF(A81='Données projet'!$A$114,'Données projet'!$B$114,BY80+BX81-CG80)))</f>
        <v>158</v>
      </c>
      <c r="BZ81" s="14">
        <f>BY81*VLOOKUP('Données projet'!$B$12,Paramètres!$A$1:$I$88,3,0)*VLOOKUP('Données projet'!$B$12,Paramètres!$A$1:$I$88,5,0)</f>
        <v>152.8176</v>
      </c>
      <c r="CA81" s="14">
        <f t="shared" si="93"/>
        <v>39.218200171484227</v>
      </c>
      <c r="CB81" s="22">
        <f t="shared" si="64"/>
        <v>334.46235196533502</v>
      </c>
      <c r="CC81" s="62">
        <f t="shared" si="65"/>
        <v>627.79568529866833</v>
      </c>
      <c r="CD81" s="62">
        <f ca="1">AVERAGE(OFFSET($CC$3,0,0,'Données projet'!$E$12+1,1))-AVERAGE(OFFSET($H$3,0,0,'Données projet'!$E$12+1,1))</f>
        <v>303.93739496872121</v>
      </c>
      <c r="CE81" s="62">
        <f t="shared" si="94"/>
        <v>210.36431469568754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0</v>
      </c>
      <c r="CL81" s="23">
        <f>EXP(-LN(2)/25)*CL80+(1-EXP(-LN(2)/25))/(LN(2)/25)*Calculateur!CG81*Calculateur!CI81*VLOOKUP('Données projet'!$B$12,Paramètres!$A$1:$I$88,3,0)*0.475*44/12</f>
        <v>0</v>
      </c>
      <c r="CM81" s="23">
        <f>EXP(-LN(2)/2)*CM80+(1-EXP(-LN(2)/2))/(LN(2)/2)*CG81*CJ81*VLOOKUP('Données projet'!$B$12,Paramètres!$A$1:$I$88,3,0)*0.475*44/12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>
        <f>CT81*VLOOKUP('Données projet'!$B$13,Paramètres!$A$1:$I$88,3,0)*VLOOKUP('Données projet'!$B$13,Paramètres!$A$1:$I$88,5,0)</f>
        <v>0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57.812812891099895</v>
      </c>
      <c r="CZ81" s="62">
        <f t="shared" si="96"/>
        <v>244.79885157604684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projet'!$B$13,Paramètres!$A$1:$I$88,3,0)*0.475*44/12</f>
        <v>14.870546046368233</v>
      </c>
      <c r="DG81" s="23">
        <f>EXP(-LN(2)/25)*DG80+(1-EXP(-LN(2)/25))/(LN(2)/25)*Calculateur!DB81*Calculateur!DD81*VLOOKUP('Données projet'!$B$13,Paramètres!$A$1:$I$88,3,0)*0.475*44/12</f>
        <v>0</v>
      </c>
      <c r="DH81" s="23">
        <f>EXP(-LN(2)/2)*DH80+(1-EXP(-LN(2)/2))/(LN(2)/2)*DB81*DE81*VLOOKUP('Données projet'!$B$13,Paramètres!$A$1:$I$88,3,0)*0.475*44/12</f>
        <v>2.39097647867106E-8</v>
      </c>
      <c r="DI81" s="24">
        <f t="shared" si="69"/>
        <v>14.870546070277998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</v>
      </c>
      <c r="N82" s="14">
        <f>IF('Données projet'!$A$36&gt;35,N81+M82-V81,IF(A82&lt;'Données projet'!$A$36,$K$205^A82,IF(A82='Données projet'!$A$36,'Données projet'!$B$36,N81+M82-V81)))</f>
        <v>163</v>
      </c>
      <c r="O82" s="14">
        <f>N82*VLOOKUP('Données projet'!$B$9,Paramètres!$A$1:$I$88,3,0)*VLOOKUP('Données projet'!$B$9,Paramètres!$A$1:$I$88,5,0)</f>
        <v>147.48239999999998</v>
      </c>
      <c r="P82" s="14">
        <f t="shared" si="87"/>
        <v>38.005889588171215</v>
      </c>
      <c r="Q82" s="22">
        <f t="shared" si="54"/>
        <v>323.0587710327315</v>
      </c>
      <c r="R82" s="62">
        <f t="shared" si="55"/>
        <v>616.39210436606481</v>
      </c>
      <c r="S82" s="62">
        <f ca="1">AVERAGE(OFFSET($R$3,0,0,'Données projet'!$E$9+1,1))-AVERAGE(OFFSET($H$3,0,0,'Données projet'!$E$9+1,1))</f>
        <v>286.81278534843665</v>
      </c>
      <c r="T82" s="62">
        <f t="shared" si="88"/>
        <v>199.43308683696642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</v>
      </c>
      <c r="AI82" s="14">
        <f>IF('Données projet'!$A$62&gt;35,AI81+AH82-AQ81,IF(A82&lt;'Données projet'!$A$62,$AF$205^A82,IF(A82='Données projet'!$A$62,'Données projet'!$B$62,AI81+AH82-AQ81)))</f>
        <v>163</v>
      </c>
      <c r="AJ82" s="14">
        <f>AI82*VLOOKUP('Données projet'!$B$10,Paramètres!$A$1:$I$88,3,0)*VLOOKUP('Données projet'!$B$10,Paramètres!$A$1:$I$88,5,0)</f>
        <v>165.28200000000001</v>
      </c>
      <c r="AK82" s="14">
        <f t="shared" si="89"/>
        <v>42.031623878204442</v>
      </c>
      <c r="AL82" s="22">
        <f t="shared" si="58"/>
        <v>361.07122825453939</v>
      </c>
      <c r="AM82" s="62">
        <f t="shared" si="59"/>
        <v>654.40456158787265</v>
      </c>
      <c r="AN82" s="62">
        <f ca="1">AVERAGE(OFFSET($AM$3,0,0,'Données projet'!$E$10+1,1))-AVERAGE(OFFSET($H$3,0,0,'Données projet'!$E$10+1,1))</f>
        <v>316.76504852082684</v>
      </c>
      <c r="AO82" s="62">
        <f t="shared" si="90"/>
        <v>218.5520645293999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0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</v>
      </c>
      <c r="BD82" s="13">
        <f>IF('Données projet'!$A$88&gt;35,BD81+BC82-BL81,IF(A82&lt;'Données projet'!$A$88,$BA$205^A82,IF(A82='Données projet'!$A$88,'Données projet'!$B$88,BD81+BC82-BL81)))</f>
        <v>163</v>
      </c>
      <c r="BE82" s="14">
        <f>BD82*VLOOKUP('Données projet'!$B$11,Paramètres!$A$1:$I$88,3,0)*VLOOKUP('Données projet'!$B$11,Paramètres!$A$1:$I$88,5,0)</f>
        <v>142.39680000000004</v>
      </c>
      <c r="BF82" s="14">
        <f t="shared" si="91"/>
        <v>36.845535084476985</v>
      </c>
      <c r="BG82" s="22">
        <f t="shared" si="61"/>
        <v>312.18040027213078</v>
      </c>
      <c r="BH82" s="62">
        <f t="shared" si="62"/>
        <v>605.51373360546404</v>
      </c>
      <c r="BI82" s="62">
        <f ca="1">AVERAGE(OFFSET($BH$3,0,0,'Données projet'!$E$11+1,1))-AVERAGE(OFFSET($H$3,0,0,'Données projet'!$E$11+1,1))</f>
        <v>278.24093386944304</v>
      </c>
      <c r="BJ82" s="62">
        <f t="shared" si="92"/>
        <v>193.96102673885611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0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5</v>
      </c>
      <c r="BY82" s="13">
        <f>IF('Données projet'!$A$114&gt;35,BY81+BX82-CG81,IF(A82&lt;'Données projet'!$A$114,$BV$205^A82,IF(A82='Données projet'!$A$114,'Données projet'!$B$114,BY81+BX82-CG81)))</f>
        <v>163</v>
      </c>
      <c r="BZ82" s="14">
        <f>BY82*VLOOKUP('Données projet'!$B$12,Paramètres!$A$1:$I$88,3,0)*VLOOKUP('Données projet'!$B$12,Paramètres!$A$1:$I$88,5,0)</f>
        <v>157.65360000000001</v>
      </c>
      <c r="CA82" s="14">
        <f t="shared" si="93"/>
        <v>40.31282414727238</v>
      </c>
      <c r="CB82" s="22">
        <f t="shared" si="64"/>
        <v>344.79152205649939</v>
      </c>
      <c r="CC82" s="62">
        <f t="shared" si="65"/>
        <v>638.12485538983265</v>
      </c>
      <c r="CD82" s="62">
        <f ca="1">AVERAGE(OFFSET($CC$3,0,0,'Données projet'!$E$12+1,1))-AVERAGE(OFFSET($H$3,0,0,'Données projet'!$E$12+1,1))</f>
        <v>303.93739496872121</v>
      </c>
      <c r="CE82" s="62">
        <f t="shared" si="94"/>
        <v>210.36431469568754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0</v>
      </c>
      <c r="CL82" s="23">
        <f>EXP(-LN(2)/25)*CL81+(1-EXP(-LN(2)/25))/(LN(2)/25)*Calculateur!CG82*Calculateur!CI82*VLOOKUP('Données projet'!$B$12,Paramètres!$A$1:$I$88,3,0)*0.475*44/12</f>
        <v>0</v>
      </c>
      <c r="CM82" s="23">
        <f>EXP(-LN(2)/2)*CM81+(1-EXP(-LN(2)/2))/(LN(2)/2)*CG82*CJ82*VLOOKUP('Données projet'!$B$12,Paramètres!$A$1:$I$88,3,0)*0.475*44/12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>
        <f>CT82*VLOOKUP('Données projet'!$B$13,Paramètres!$A$1:$I$88,3,0)*VLOOKUP('Données projet'!$B$13,Paramètres!$A$1:$I$88,5,0)</f>
        <v>0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57.812812891099895</v>
      </c>
      <c r="CZ82" s="62">
        <f t="shared" si="96"/>
        <v>244.79885157604684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projet'!$B$13,Paramètres!$A$1:$I$88,3,0)*0.475*44/12</f>
        <v>14.578943708536439</v>
      </c>
      <c r="DG82" s="23">
        <f>EXP(-LN(2)/25)*DG81+(1-EXP(-LN(2)/25))/(LN(2)/25)*Calculateur!DB82*Calculateur!DD82*VLOOKUP('Données projet'!$B$13,Paramètres!$A$1:$I$88,3,0)*0.475*44/12</f>
        <v>0</v>
      </c>
      <c r="DH82" s="23">
        <f>EXP(-LN(2)/2)*DH81+(1-EXP(-LN(2)/2))/(LN(2)/2)*DB82*DE82*VLOOKUP('Données projet'!$B$13,Paramètres!$A$1:$I$88,3,0)*0.475*44/12</f>
        <v>1.6906756817258391E-8</v>
      </c>
      <c r="DI82" s="24">
        <f t="shared" si="69"/>
        <v>14.578943725443196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</v>
      </c>
      <c r="N83" s="14">
        <f>IF('Données projet'!$A$36&gt;35,N82+M83-V82,IF(A83&lt;'Données projet'!$A$36,$K$205^A83,IF(A83='Données projet'!$A$36,'Données projet'!$B$36,N82+M83-V82)))</f>
        <v>168</v>
      </c>
      <c r="O83" s="14">
        <f>N83*VLOOKUP('Données projet'!$B$9,Paramètres!$A$1:$I$88,3,0)*VLOOKUP('Données projet'!$B$9,Paramètres!$A$1:$I$88,5,0)</f>
        <v>152.00640000000001</v>
      </c>
      <c r="P83" s="14">
        <f t="shared" si="87"/>
        <v>39.03419401656145</v>
      </c>
      <c r="Q83" s="22">
        <f t="shared" si="54"/>
        <v>332.72903457884451</v>
      </c>
      <c r="R83" s="62">
        <f t="shared" si="55"/>
        <v>626.06236791217782</v>
      </c>
      <c r="S83" s="62">
        <f ca="1">AVERAGE(OFFSET($R$3,0,0,'Données projet'!$E$9+1,1))-AVERAGE(OFFSET($H$3,0,0,'Données projet'!$E$9+1,1))</f>
        <v>286.81278534843665</v>
      </c>
      <c r="T83" s="62">
        <f t="shared" si="88"/>
        <v>199.43308683696642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</v>
      </c>
      <c r="AI83" s="14">
        <f>IF('Données projet'!$A$62&gt;35,AI82+AH83-AQ82,IF(A83&lt;'Données projet'!$A$62,$AF$205^A83,IF(A83='Données projet'!$A$62,'Données projet'!$B$62,AI82+AH83-AQ82)))</f>
        <v>168</v>
      </c>
      <c r="AJ83" s="14">
        <f>AI83*VLOOKUP('Données projet'!$B$10,Paramètres!$A$1:$I$88,3,0)*VLOOKUP('Données projet'!$B$10,Paramètres!$A$1:$I$88,5,0)</f>
        <v>170.352</v>
      </c>
      <c r="AK83" s="14">
        <f t="shared" si="89"/>
        <v>43.168850382694451</v>
      </c>
      <c r="AL83" s="22">
        <f t="shared" si="58"/>
        <v>371.88214774985948</v>
      </c>
      <c r="AM83" s="62">
        <f t="shared" si="59"/>
        <v>665.2154810831928</v>
      </c>
      <c r="AN83" s="62">
        <f ca="1">AVERAGE(OFFSET($AM$3,0,0,'Données projet'!$E$10+1,1))-AVERAGE(OFFSET($H$3,0,0,'Données projet'!$E$10+1,1))</f>
        <v>316.76504852082684</v>
      </c>
      <c r="AO83" s="62">
        <f t="shared" si="90"/>
        <v>218.5520645293999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0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5</v>
      </c>
      <c r="BD83" s="13">
        <f>IF('Données projet'!$A$88&gt;35,BD82+BC83-BL82,IF(A83&lt;'Données projet'!$A$88,$BA$205^A83,IF(A83='Données projet'!$A$88,'Données projet'!$B$88,BD82+BC83-BL82)))</f>
        <v>168</v>
      </c>
      <c r="BE83" s="14">
        <f>BD83*VLOOKUP('Données projet'!$B$11,Paramètres!$A$1:$I$88,3,0)*VLOOKUP('Données projet'!$B$11,Paramètres!$A$1:$I$88,5,0)</f>
        <v>146.76480000000004</v>
      </c>
      <c r="BF83" s="14">
        <f t="shared" si="91"/>
        <v>37.842444439956665</v>
      </c>
      <c r="BG83" s="22">
        <f t="shared" si="61"/>
        <v>321.52428406625791</v>
      </c>
      <c r="BH83" s="62">
        <f t="shared" si="62"/>
        <v>614.85761739959116</v>
      </c>
      <c r="BI83" s="62">
        <f ca="1">AVERAGE(OFFSET($BH$3,0,0,'Données projet'!$E$11+1,1))-AVERAGE(OFFSET($H$3,0,0,'Données projet'!$E$11+1,1))</f>
        <v>278.24093386944304</v>
      </c>
      <c r="BJ83" s="62">
        <f t="shared" si="92"/>
        <v>193.96102673885611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0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5</v>
      </c>
      <c r="BY83" s="13">
        <f>IF('Données projet'!$A$114&gt;35,BY82+BX83-CG82,IF(A83&lt;'Données projet'!$A$114,$BV$205^A83,IF(A83='Données projet'!$A$114,'Données projet'!$B$114,BY82+BX83-CG82)))</f>
        <v>168</v>
      </c>
      <c r="BZ83" s="14">
        <f>BY83*VLOOKUP('Données projet'!$B$12,Paramètres!$A$1:$I$88,3,0)*VLOOKUP('Données projet'!$B$12,Paramètres!$A$1:$I$88,5,0)</f>
        <v>162.4896</v>
      </c>
      <c r="CA83" s="14">
        <f t="shared" si="93"/>
        <v>41.403546033820696</v>
      </c>
      <c r="CB83" s="22">
        <f t="shared" si="64"/>
        <v>355.11389600890431</v>
      </c>
      <c r="CC83" s="62">
        <f t="shared" si="65"/>
        <v>648.44722934223762</v>
      </c>
      <c r="CD83" s="62">
        <f ca="1">AVERAGE(OFFSET($CC$3,0,0,'Données projet'!$E$12+1,1))-AVERAGE(OFFSET($H$3,0,0,'Données projet'!$E$12+1,1))</f>
        <v>303.93739496872121</v>
      </c>
      <c r="CE83" s="62">
        <f t="shared" si="94"/>
        <v>210.36431469568754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0</v>
      </c>
      <c r="CL83" s="23">
        <f>EXP(-LN(2)/25)*CL82+(1-EXP(-LN(2)/25))/(LN(2)/25)*Calculateur!CG83*Calculateur!CI83*VLOOKUP('Données projet'!$B$12,Paramètres!$A$1:$I$88,3,0)*0.475*44/12</f>
        <v>0</v>
      </c>
      <c r="CM83" s="23">
        <f>EXP(-LN(2)/2)*CM82+(1-EXP(-LN(2)/2))/(LN(2)/2)*CG83*CJ83*VLOOKUP('Données projet'!$B$12,Paramètres!$A$1:$I$88,3,0)*0.475*44/12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>
        <f>CT83*VLOOKUP('Données projet'!$B$13,Paramètres!$A$1:$I$88,3,0)*VLOOKUP('Données projet'!$B$13,Paramètres!$A$1:$I$88,5,0)</f>
        <v>0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57.812812891099895</v>
      </c>
      <c r="CZ83" s="62">
        <f t="shared" si="96"/>
        <v>244.79885157604684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projet'!$B$13,Paramètres!$A$1:$I$88,3,0)*0.475*44/12</f>
        <v>14.293059514689663</v>
      </c>
      <c r="DG83" s="23">
        <f>EXP(-LN(2)/25)*DG82+(1-EXP(-LN(2)/25))/(LN(2)/25)*Calculateur!DB83*Calculateur!DD83*VLOOKUP('Données projet'!$B$13,Paramètres!$A$1:$I$88,3,0)*0.475*44/12</f>
        <v>0</v>
      </c>
      <c r="DH83" s="23">
        <f>EXP(-LN(2)/2)*DH82+(1-EXP(-LN(2)/2))/(LN(2)/2)*DB83*DE83*VLOOKUP('Données projet'!$B$13,Paramètres!$A$1:$I$88,3,0)*0.475*44/12</f>
        <v>1.19548823933553E-8</v>
      </c>
      <c r="DI83" s="24">
        <f t="shared" si="69"/>
        <v>14.293059526644544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>
        <f>VLOOKUP(A84,'Données projet'!$A$35:$I$55,2,0)</f>
        <v>173</v>
      </c>
      <c r="L84" s="13">
        <f>VLOOKUP(A84,'Données projet'!$A$35:$I$55,9,0)</f>
        <v>5</v>
      </c>
      <c r="M84" s="13">
        <f t="array" ref="M84">INDEX(L:L,MIN(IF(ISNUMBER(L84:L280),ROW(L84:L280),"")))</f>
        <v>5</v>
      </c>
      <c r="N84" s="14">
        <f>IF('Données projet'!$A$36&gt;35,N83+M84-V83,IF(A84&lt;'Données projet'!$A$36,$K$205^A84,IF(A84='Données projet'!$A$36,'Données projet'!$B$36,N83+M84-V83)))</f>
        <v>173</v>
      </c>
      <c r="O84" s="14">
        <f>N84*VLOOKUP('Données projet'!$B$9,Paramètres!$A$1:$I$88,3,0)*VLOOKUP('Données projet'!$B$9,Paramètres!$A$1:$I$88,5,0)</f>
        <v>156.53039999999999</v>
      </c>
      <c r="P84" s="14">
        <f t="shared" si="87"/>
        <v>40.058941713182037</v>
      </c>
      <c r="Q84" s="22">
        <f t="shared" si="54"/>
        <v>342.393103483792</v>
      </c>
      <c r="R84" s="62">
        <f t="shared" si="55"/>
        <v>635.72643681712532</v>
      </c>
      <c r="S84" s="62">
        <f ca="1">AVERAGE(OFFSET($R$3,0,0,'Données projet'!$E$9+1,1))-AVERAGE(OFFSET($H$3,0,0,'Données projet'!$E$9+1,1))</f>
        <v>286.81278534843665</v>
      </c>
      <c r="T84" s="62">
        <f t="shared" si="88"/>
        <v>199.43308683696642</v>
      </c>
      <c r="U84" s="16">
        <f>IF(ISNA(VLOOKUP(A84,'Données projet'!$A$35:$I$55,3,0)),0,VLOOKUP(A84,'Données projet'!$A$35:$I$55,3,0))</f>
        <v>6</v>
      </c>
      <c r="V84" s="16">
        <f>IF(ISNA(VLOOKUP(A84,'Données projet'!$A$35:$I$55,4,0)),0,VLOOKUP(A84,'Données projet'!$A$35:$I$55,4,0))</f>
        <v>31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>
        <f>VLOOKUP(A84,'Données projet'!$A$61:$I$81,2,0)</f>
        <v>173</v>
      </c>
      <c r="AG84" s="13">
        <f>VLOOKUP(A84,'Données projet'!$A$61:$I$81,9,0)</f>
        <v>5</v>
      </c>
      <c r="AH84" s="13">
        <f t="array" ref="AH84">INDEX(AG:AG,MIN(IF(ISNUMBER(AG84:AG280),ROW(AG84:AG280),"")))</f>
        <v>5</v>
      </c>
      <c r="AI84" s="14">
        <f>IF('Données projet'!$A$62&gt;35,AI83+AH84-AQ83,IF(A84&lt;'Données projet'!$A$62,$AF$205^A84,IF(A84='Données projet'!$A$62,'Données projet'!$B$62,AI83+AH84-AQ83)))</f>
        <v>173</v>
      </c>
      <c r="AJ84" s="14">
        <f>AI84*VLOOKUP('Données projet'!$B$10,Paramètres!$A$1:$I$88,3,0)*VLOOKUP('Données projet'!$B$10,Paramètres!$A$1:$I$88,5,0)</f>
        <v>175.422</v>
      </c>
      <c r="AK84" s="14">
        <f t="shared" si="89"/>
        <v>44.302143412304737</v>
      </c>
      <c r="AL84" s="22">
        <f t="shared" si="58"/>
        <v>382.68621644309741</v>
      </c>
      <c r="AM84" s="62">
        <f t="shared" si="59"/>
        <v>676.01954977643072</v>
      </c>
      <c r="AN84" s="62">
        <f ca="1">AVERAGE(OFFSET($AM$3,0,0,'Données projet'!$E$10+1,1))-AVERAGE(OFFSET($H$3,0,0,'Données projet'!$E$10+1,1))</f>
        <v>316.76504852082684</v>
      </c>
      <c r="AO84" s="62">
        <f t="shared" si="90"/>
        <v>218.5520645293999</v>
      </c>
      <c r="AP84" s="16">
        <f>IF(ISNA(VLOOKUP(A84,'Données projet'!$A$61:$I$81,3,0)),0,VLOOKUP(A84,'Données projet'!$A$61:$I$81,3,0))</f>
        <v>6</v>
      </c>
      <c r="AQ84" s="16">
        <f>IF(ISNA(VLOOKUP(A84,'Données projet'!$A$61:$I$81,4,0)),0,VLOOKUP(A84,'Données projet'!$A$61:$I$81,4,0))</f>
        <v>31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0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>
        <f>VLOOKUP(A84,'Données projet'!$A$87:$I$107,2,0)</f>
        <v>173</v>
      </c>
      <c r="BB84" s="13">
        <f>VLOOKUP(A84,'Données projet'!$A$87:$I$107,9,0)</f>
        <v>5</v>
      </c>
      <c r="BC84" s="13">
        <f t="array" ref="BC84">INDEX(BB:BB,MIN(IF(ISNUMBER(BB84:BB280),ROW(BB84:BB280),"")))</f>
        <v>5</v>
      </c>
      <c r="BD84" s="13">
        <f>IF('Données projet'!$A$88&gt;35,BD83+BC84-BL83,IF(A84&lt;'Données projet'!$A$88,$BA$205^A84,IF(A84='Données projet'!$A$88,'Données projet'!$B$88,BD83+BC84-BL83)))</f>
        <v>173</v>
      </c>
      <c r="BE84" s="14">
        <f>BD84*VLOOKUP('Données projet'!$B$11,Paramètres!$A$1:$I$88,3,0)*VLOOKUP('Données projet'!$B$11,Paramètres!$A$1:$I$88,5,0)</f>
        <v>151.13280000000003</v>
      </c>
      <c r="BF84" s="14">
        <f t="shared" si="91"/>
        <v>38.835905653934425</v>
      </c>
      <c r="BG84" s="22">
        <f t="shared" si="61"/>
        <v>330.86216234726913</v>
      </c>
      <c r="BH84" s="62">
        <f t="shared" si="62"/>
        <v>624.19549568060245</v>
      </c>
      <c r="BI84" s="62">
        <f ca="1">AVERAGE(OFFSET($BH$3,0,0,'Données projet'!$E$11+1,1))-AVERAGE(OFFSET($H$3,0,0,'Données projet'!$E$11+1,1))</f>
        <v>278.24093386944304</v>
      </c>
      <c r="BJ84" s="62">
        <f t="shared" si="92"/>
        <v>193.96102673885611</v>
      </c>
      <c r="BK84" s="16">
        <f>IF(ISNA(VLOOKUP(A84,'Données projet'!$A$87:$I$107,3,0)),0,VLOOKUP(A84,'Données projet'!$A$87:$I$107,3,0))</f>
        <v>6</v>
      </c>
      <c r="BL84" s="16">
        <f>IF(ISNA(VLOOKUP(A84,'Données projet'!$A$87:$I$107,4,0)),0,VLOOKUP(A84,'Données projet'!$A$87:$I$107,4,0))</f>
        <v>31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0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>
        <f>VLOOKUP(A84,'Données projet'!$A$113:$I$133,2,0)</f>
        <v>173</v>
      </c>
      <c r="BW84" s="13">
        <f>VLOOKUP(A84,'Données projet'!$A$113:$I$133,9,0)</f>
        <v>5</v>
      </c>
      <c r="BX84" s="13">
        <f t="array" ref="BX84">INDEX(BW:BW,MIN(IF(ISNUMBER(BW84:BW280),ROW(BW84:BW280),"")))</f>
        <v>5</v>
      </c>
      <c r="BY84" s="13">
        <f>IF('Données projet'!$A$114&gt;35,BY83+BX84-CG83,IF(A84&lt;'Données projet'!$A$114,$BV$205^A84,IF(A84='Données projet'!$A$114,'Données projet'!$B$114,BY83+BX84-CG83)))</f>
        <v>173</v>
      </c>
      <c r="BZ84" s="14">
        <f>BY84*VLOOKUP('Données projet'!$B$12,Paramètres!$A$1:$I$88,3,0)*VLOOKUP('Données projet'!$B$12,Paramètres!$A$1:$I$88,5,0)</f>
        <v>167.32560000000001</v>
      </c>
      <c r="CA84" s="14">
        <f t="shared" si="93"/>
        <v>42.490495297127609</v>
      </c>
      <c r="CB84" s="22">
        <f t="shared" si="64"/>
        <v>365.42969930916388</v>
      </c>
      <c r="CC84" s="62">
        <f t="shared" si="65"/>
        <v>658.76303264249714</v>
      </c>
      <c r="CD84" s="62">
        <f ca="1">AVERAGE(OFFSET($CC$3,0,0,'Données projet'!$E$12+1,1))-AVERAGE(OFFSET($H$3,0,0,'Données projet'!$E$12+1,1))</f>
        <v>303.93739496872121</v>
      </c>
      <c r="CE84" s="62">
        <f t="shared" si="94"/>
        <v>210.36431469568754</v>
      </c>
      <c r="CF84" s="16">
        <f>IF(ISNA(VLOOKUP(A84,'Données projet'!$A$113:$I$133,3,0)),0,VLOOKUP(A84,'Données projet'!$A$113:$I$133,3,0))</f>
        <v>6</v>
      </c>
      <c r="CG84" s="16">
        <f>IF(ISNA(VLOOKUP(A84,'Données projet'!$A$113:$I$133,4,0)),0,VLOOKUP(A84,'Données projet'!$A$113:$I$133,4,0))</f>
        <v>31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0</v>
      </c>
      <c r="CL84" s="23">
        <f>EXP(-LN(2)/25)*CL83+(1-EXP(-LN(2)/25))/(LN(2)/25)*Calculateur!CG84*Calculateur!CI84*VLOOKUP('Données projet'!$B$12,Paramètres!$A$1:$I$88,3,0)*0.475*44/12</f>
        <v>0</v>
      </c>
      <c r="CM84" s="23">
        <f>EXP(-LN(2)/2)*CM83+(1-EXP(-LN(2)/2))/(LN(2)/2)*CG84*CJ84*VLOOKUP('Données projet'!$B$12,Paramètres!$A$1:$I$88,3,0)*0.475*44/12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>
        <f>CT84*VLOOKUP('Données projet'!$B$13,Paramètres!$A$1:$I$88,3,0)*VLOOKUP('Données projet'!$B$13,Paramètres!$A$1:$I$88,5,0)</f>
        <v>0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57.812812891099895</v>
      </c>
      <c r="CZ84" s="62">
        <f t="shared" si="96"/>
        <v>244.79885157604684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projet'!$B$13,Paramètres!$A$1:$I$88,3,0)*0.475*44/12</f>
        <v>14.012781335512081</v>
      </c>
      <c r="DG84" s="23">
        <f>EXP(-LN(2)/25)*DG83+(1-EXP(-LN(2)/25))/(LN(2)/25)*Calculateur!DB84*Calculateur!DD84*VLOOKUP('Données projet'!$B$13,Paramètres!$A$1:$I$88,3,0)*0.475*44/12</f>
        <v>0</v>
      </c>
      <c r="DH84" s="23">
        <f>EXP(-LN(2)/2)*DH83+(1-EXP(-LN(2)/2))/(LN(2)/2)*DB84*DE84*VLOOKUP('Données projet'!$B$13,Paramètres!$A$1:$I$88,3,0)*0.475*44/12</f>
        <v>8.4533784086291956E-9</v>
      </c>
      <c r="DI84" s="24">
        <f t="shared" si="69"/>
        <v>14.012781343965459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4.666666666666667</v>
      </c>
      <c r="N85" s="14">
        <f>IF('Données projet'!$A$36&gt;35,N84+M85-V84,IF(A85&lt;'Données projet'!$A$36,$K$205^A85,IF(A85='Données projet'!$A$36,'Données projet'!$B$36,N84+M85-V84)))</f>
        <v>146.66666666666666</v>
      </c>
      <c r="O85" s="14">
        <f>N85*VLOOKUP('Données projet'!$B$9,Paramètres!$A$1:$I$88,3,0)*VLOOKUP('Données projet'!$B$9,Paramètres!$A$1:$I$88,5,0)</f>
        <v>132.70399999999998</v>
      </c>
      <c r="P85" s="14">
        <f t="shared" si="87"/>
        <v>34.620423755923817</v>
      </c>
      <c r="Q85" s="22">
        <f t="shared" si="54"/>
        <v>291.42337137490063</v>
      </c>
      <c r="R85" s="62">
        <f t="shared" si="55"/>
        <v>584.75670470823388</v>
      </c>
      <c r="S85" s="62">
        <f ca="1">AVERAGE(OFFSET($R$3,0,0,'Données projet'!$E$9+1,1))-AVERAGE(OFFSET($H$3,0,0,'Données projet'!$E$9+1,1))</f>
        <v>286.81278534843665</v>
      </c>
      <c r="T85" s="62">
        <f t="shared" si="88"/>
        <v>199.43308683696642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4.666666666666667</v>
      </c>
      <c r="AI85" s="14">
        <f>IF('Données projet'!$A$62&gt;35,AI84+AH85-AQ84,IF(A85&lt;'Données projet'!$A$62,$AF$205^A85,IF(A85='Données projet'!$A$62,'Données projet'!$B$62,AI84+AH85-AQ84)))</f>
        <v>146.66666666666666</v>
      </c>
      <c r="AJ85" s="14">
        <f>AI85*VLOOKUP('Données projet'!$B$10,Paramètres!$A$1:$I$88,3,0)*VLOOKUP('Données projet'!$B$10,Paramètres!$A$1:$I$88,5,0)</f>
        <v>148.72</v>
      </c>
      <c r="AK85" s="14">
        <f t="shared" si="89"/>
        <v>38.287556101987391</v>
      </c>
      <c r="AL85" s="22">
        <f t="shared" si="58"/>
        <v>325.70482687762802</v>
      </c>
      <c r="AM85" s="62">
        <f t="shared" si="59"/>
        <v>619.03816021096134</v>
      </c>
      <c r="AN85" s="62">
        <f ca="1">AVERAGE(OFFSET($AM$3,0,0,'Données projet'!$E$10+1,1))-AVERAGE(OFFSET($H$3,0,0,'Données projet'!$E$10+1,1))</f>
        <v>316.76504852082684</v>
      </c>
      <c r="AO85" s="62">
        <f t="shared" si="90"/>
        <v>218.5520645293999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0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4.666666666666667</v>
      </c>
      <c r="BD85" s="13">
        <f>IF('Données projet'!$A$88&gt;35,BD84+BC85-BL84,IF(A85&lt;'Données projet'!$A$88,$BA$205^A85,IF(A85='Données projet'!$A$88,'Données projet'!$B$88,BD84+BC85-BL84)))</f>
        <v>146.66666666666666</v>
      </c>
      <c r="BE85" s="14">
        <f>BD85*VLOOKUP('Données projet'!$B$11,Paramètres!$A$1:$I$88,3,0)*VLOOKUP('Données projet'!$B$11,Paramètres!$A$1:$I$88,5,0)</f>
        <v>128.12800000000001</v>
      </c>
      <c r="BF85" s="14">
        <f t="shared" si="91"/>
        <v>33.563430614589933</v>
      </c>
      <c r="BG85" s="22">
        <f t="shared" si="61"/>
        <v>281.61257498707744</v>
      </c>
      <c r="BH85" s="62">
        <f t="shared" si="62"/>
        <v>574.94590832041081</v>
      </c>
      <c r="BI85" s="62">
        <f ca="1">AVERAGE(OFFSET($BH$3,0,0,'Données projet'!$E$11+1,1))-AVERAGE(OFFSET($H$3,0,0,'Données projet'!$E$11+1,1))</f>
        <v>278.24093386944304</v>
      </c>
      <c r="BJ85" s="62">
        <f t="shared" si="92"/>
        <v>193.96102673885611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0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4.666666666666667</v>
      </c>
      <c r="BY85" s="13">
        <f>IF('Données projet'!$A$114&gt;35,BY84+BX85-CG84,IF(A85&lt;'Données projet'!$A$114,$BV$205^A85,IF(A85='Données projet'!$A$114,'Données projet'!$B$114,BY84+BX85-CG84)))</f>
        <v>146.66666666666666</v>
      </c>
      <c r="BZ85" s="14">
        <f>BY85*VLOOKUP('Données projet'!$B$12,Paramètres!$A$1:$I$88,3,0)*VLOOKUP('Données projet'!$B$12,Paramètres!$A$1:$I$88,5,0)</f>
        <v>141.85599999999999</v>
      </c>
      <c r="CA85" s="14">
        <f t="shared" si="93"/>
        <v>36.72186258234521</v>
      </c>
      <c r="CB85" s="22">
        <f t="shared" si="64"/>
        <v>311.02311066425125</v>
      </c>
      <c r="CC85" s="62">
        <f t="shared" si="65"/>
        <v>604.35644399758462</v>
      </c>
      <c r="CD85" s="62">
        <f ca="1">AVERAGE(OFFSET($CC$3,0,0,'Données projet'!$E$12+1,1))-AVERAGE(OFFSET($H$3,0,0,'Données projet'!$E$12+1,1))</f>
        <v>303.93739496872121</v>
      </c>
      <c r="CE85" s="62">
        <f t="shared" si="94"/>
        <v>210.36431469568754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0</v>
      </c>
      <c r="CL85" s="23">
        <f>EXP(-LN(2)/25)*CL84+(1-EXP(-LN(2)/25))/(LN(2)/25)*Calculateur!CG85*Calculateur!CI85*VLOOKUP('Données projet'!$B$12,Paramètres!$A$1:$I$88,3,0)*0.475*44/12</f>
        <v>0</v>
      </c>
      <c r="CM85" s="23">
        <f>EXP(-LN(2)/2)*CM84+(1-EXP(-LN(2)/2))/(LN(2)/2)*CG85*CJ85*VLOOKUP('Données projet'!$B$12,Paramètres!$A$1:$I$88,3,0)*0.475*44/12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>
        <f>CT85*VLOOKUP('Données projet'!$B$13,Paramètres!$A$1:$I$88,3,0)*VLOOKUP('Données projet'!$B$13,Paramètres!$A$1:$I$88,5,0)</f>
        <v>0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57.812812891099895</v>
      </c>
      <c r="CZ85" s="62">
        <f t="shared" si="96"/>
        <v>244.79885157604684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projet'!$B$13,Paramètres!$A$1:$I$88,3,0)*0.475*44/12</f>
        <v>13.737999240475363</v>
      </c>
      <c r="DG85" s="23">
        <f>EXP(-LN(2)/25)*DG84+(1-EXP(-LN(2)/25))/(LN(2)/25)*Calculateur!DB85*Calculateur!DD85*VLOOKUP('Données projet'!$B$13,Paramètres!$A$1:$I$88,3,0)*0.475*44/12</f>
        <v>0</v>
      </c>
      <c r="DH85" s="23">
        <f>EXP(-LN(2)/2)*DH84+(1-EXP(-LN(2)/2))/(LN(2)/2)*DB85*DE85*VLOOKUP('Données projet'!$B$13,Paramètres!$A$1:$I$88,3,0)*0.475*44/12</f>
        <v>5.9774411966776501E-9</v>
      </c>
      <c r="DI85" s="24">
        <f t="shared" si="69"/>
        <v>13.737999246452803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4.666666666666667</v>
      </c>
      <c r="N86" s="14">
        <f>IF('Données projet'!$A$36&gt;35,N85+M86-V85,IF(A86&lt;'Données projet'!$A$36,$K$205^A86,IF(A86='Données projet'!$A$36,'Données projet'!$B$36,N85+M86-V85)))</f>
        <v>151.33333333333331</v>
      </c>
      <c r="O86" s="14">
        <f>N86*VLOOKUP('Données projet'!$B$9,Paramètres!$A$1:$I$88,3,0)*VLOOKUP('Données projet'!$B$9,Paramètres!$A$1:$I$88,5,0)</f>
        <v>136.92639999999997</v>
      </c>
      <c r="P86" s="14">
        <f t="shared" si="87"/>
        <v>35.591979778937876</v>
      </c>
      <c r="Q86" s="22">
        <f t="shared" si="54"/>
        <v>300.46951144831678</v>
      </c>
      <c r="R86" s="62">
        <f t="shared" si="55"/>
        <v>593.80284478165004</v>
      </c>
      <c r="S86" s="62">
        <f ca="1">AVERAGE(OFFSET($R$3,0,0,'Données projet'!$E$9+1,1))-AVERAGE(OFFSET($H$3,0,0,'Données projet'!$E$9+1,1))</f>
        <v>286.81278534843665</v>
      </c>
      <c r="T86" s="62">
        <f t="shared" si="88"/>
        <v>199.43308683696642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4.666666666666667</v>
      </c>
      <c r="AI86" s="14">
        <f>IF('Données projet'!$A$62&gt;35,AI85+AH86-AQ85,IF(A86&lt;'Données projet'!$A$62,$AF$205^A86,IF(A86='Données projet'!$A$62,'Données projet'!$B$62,AI85+AH86-AQ85)))</f>
        <v>151.33333333333331</v>
      </c>
      <c r="AJ86" s="14">
        <f>AI86*VLOOKUP('Données projet'!$B$10,Paramètres!$A$1:$I$88,3,0)*VLOOKUP('Données projet'!$B$10,Paramètres!$A$1:$I$88,5,0)</f>
        <v>153.452</v>
      </c>
      <c r="AK86" s="14">
        <f t="shared" si="89"/>
        <v>39.362023185337527</v>
      </c>
      <c r="AL86" s="22">
        <f t="shared" si="58"/>
        <v>335.81775704779619</v>
      </c>
      <c r="AM86" s="62">
        <f t="shared" si="59"/>
        <v>629.15109038112951</v>
      </c>
      <c r="AN86" s="62">
        <f ca="1">AVERAGE(OFFSET($AM$3,0,0,'Données projet'!$E$10+1,1))-AVERAGE(OFFSET($H$3,0,0,'Données projet'!$E$10+1,1))</f>
        <v>316.76504852082684</v>
      </c>
      <c r="AO86" s="62">
        <f t="shared" si="90"/>
        <v>218.5520645293999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0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4.666666666666667</v>
      </c>
      <c r="BD86" s="13">
        <f>IF('Données projet'!$A$88&gt;35,BD85+BC86-BL85,IF(A86&lt;'Données projet'!$A$88,$BA$205^A86,IF(A86='Données projet'!$A$88,'Données projet'!$B$88,BD85+BC86-BL85)))</f>
        <v>151.33333333333331</v>
      </c>
      <c r="BE86" s="14">
        <f>BD86*VLOOKUP('Données projet'!$B$11,Paramètres!$A$1:$I$88,3,0)*VLOOKUP('Données projet'!$B$11,Paramètres!$A$1:$I$88,5,0)</f>
        <v>132.20480000000001</v>
      </c>
      <c r="BF86" s="14">
        <f t="shared" si="91"/>
        <v>34.505324145313672</v>
      </c>
      <c r="BG86" s="22">
        <f t="shared" si="61"/>
        <v>290.35346621975464</v>
      </c>
      <c r="BH86" s="62">
        <f t="shared" si="62"/>
        <v>583.68679955308789</v>
      </c>
      <c r="BI86" s="62">
        <f ca="1">AVERAGE(OFFSET($BH$3,0,0,'Données projet'!$E$11+1,1))-AVERAGE(OFFSET($H$3,0,0,'Données projet'!$E$11+1,1))</f>
        <v>278.24093386944304</v>
      </c>
      <c r="BJ86" s="62">
        <f t="shared" si="92"/>
        <v>193.96102673885611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0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4.666666666666667</v>
      </c>
      <c r="BY86" s="13">
        <f>IF('Données projet'!$A$114&gt;35,BY85+BX86-CG85,IF(A86&lt;'Données projet'!$A$114,$BV$205^A86,IF(A86='Données projet'!$A$114,'Données projet'!$B$114,BY85+BX86-CG85)))</f>
        <v>151.33333333333331</v>
      </c>
      <c r="BZ86" s="14">
        <f>BY86*VLOOKUP('Données projet'!$B$12,Paramètres!$A$1:$I$88,3,0)*VLOOKUP('Données projet'!$B$12,Paramètres!$A$1:$I$88,5,0)</f>
        <v>146.36959999999999</v>
      </c>
      <c r="CA86" s="14">
        <f t="shared" si="93"/>
        <v>37.752391469562149</v>
      </c>
      <c r="CB86" s="22">
        <f t="shared" si="64"/>
        <v>320.67913514282071</v>
      </c>
      <c r="CC86" s="62">
        <f t="shared" si="65"/>
        <v>614.01246847615403</v>
      </c>
      <c r="CD86" s="62">
        <f ca="1">AVERAGE(OFFSET($CC$3,0,0,'Données projet'!$E$12+1,1))-AVERAGE(OFFSET($H$3,0,0,'Données projet'!$E$12+1,1))</f>
        <v>303.93739496872121</v>
      </c>
      <c r="CE86" s="62">
        <f t="shared" si="94"/>
        <v>210.36431469568754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0</v>
      </c>
      <c r="CL86" s="23">
        <f>EXP(-LN(2)/25)*CL85+(1-EXP(-LN(2)/25))/(LN(2)/25)*Calculateur!CG86*Calculateur!CI86*VLOOKUP('Données projet'!$B$12,Paramètres!$A$1:$I$88,3,0)*0.475*44/12</f>
        <v>0</v>
      </c>
      <c r="CM86" s="23">
        <f>EXP(-LN(2)/2)*CM85+(1-EXP(-LN(2)/2))/(LN(2)/2)*CG86*CJ86*VLOOKUP('Données projet'!$B$12,Paramètres!$A$1:$I$88,3,0)*0.475*44/12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projet'!$B$13,Paramètres!$A$1:$I$88,3,0)*VLOOKUP('Données projet'!$B$13,Paramètres!$A$1:$I$88,5,0)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57.812812891099895</v>
      </c>
      <c r="CZ86" s="62">
        <f t="shared" si="96"/>
        <v>244.79885157604684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projet'!$B$13,Paramètres!$A$1:$I$88,3,0)*0.475*44/12</f>
        <v>13.468605454721786</v>
      </c>
      <c r="DG86" s="23">
        <f>EXP(-LN(2)/25)*DG85+(1-EXP(-LN(2)/25))/(LN(2)/25)*Calculateur!DB86*Calculateur!DD86*VLOOKUP('Données projet'!$B$13,Paramètres!$A$1:$I$88,3,0)*0.475*44/12</f>
        <v>0</v>
      </c>
      <c r="DH86" s="23">
        <f>EXP(-LN(2)/2)*DH85+(1-EXP(-LN(2)/2))/(LN(2)/2)*DB86*DE86*VLOOKUP('Données projet'!$B$13,Paramètres!$A$1:$I$88,3,0)*0.475*44/12</f>
        <v>4.2266892043145978E-9</v>
      </c>
      <c r="DI86" s="24">
        <f t="shared" si="69"/>
        <v>13.468605458948474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4.666666666666667</v>
      </c>
      <c r="N87" s="14">
        <f>IF('Données projet'!$A$36&gt;35,N86+M87-V86,IF(A87&lt;'Données projet'!$A$36,$K$205^A87,IF(A87='Données projet'!$A$36,'Données projet'!$B$36,N86+M87-V86)))</f>
        <v>155.99999999999997</v>
      </c>
      <c r="O87" s="14">
        <f>N87*VLOOKUP('Données projet'!$B$9,Paramètres!$A$1:$I$88,3,0)*VLOOKUP('Données projet'!$B$9,Paramètres!$A$1:$I$88,5,0)</f>
        <v>141.14879999999997</v>
      </c>
      <c r="P87" s="14">
        <f t="shared" si="87"/>
        <v>36.560054140504484</v>
      </c>
      <c r="Q87" s="22">
        <f t="shared" si="54"/>
        <v>309.50958762804527</v>
      </c>
      <c r="R87" s="62">
        <f t="shared" si="55"/>
        <v>602.84292096137858</v>
      </c>
      <c r="S87" s="62">
        <f ca="1">AVERAGE(OFFSET($R$3,0,0,'Données projet'!$E$9+1,1))-AVERAGE(OFFSET($H$3,0,0,'Données projet'!$E$9+1,1))</f>
        <v>286.81278534843665</v>
      </c>
      <c r="T87" s="62">
        <f t="shared" si="88"/>
        <v>199.43308683696642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4.666666666666667</v>
      </c>
      <c r="AI87" s="14">
        <f>IF('Données projet'!$A$62&gt;35,AI86+AH87-AQ86,IF(A87&lt;'Données projet'!$A$62,$AF$205^A87,IF(A87='Données projet'!$A$62,'Données projet'!$B$62,AI86+AH87-AQ86)))</f>
        <v>155.99999999999997</v>
      </c>
      <c r="AJ87" s="14">
        <f>AI87*VLOOKUP('Données projet'!$B$10,Paramètres!$A$1:$I$88,3,0)*VLOOKUP('Données projet'!$B$10,Paramètres!$A$1:$I$88,5,0)</f>
        <v>158.184</v>
      </c>
      <c r="AK87" s="14">
        <f t="shared" si="89"/>
        <v>40.432639815875881</v>
      </c>
      <c r="AL87" s="22">
        <f t="shared" si="58"/>
        <v>345.92398101265053</v>
      </c>
      <c r="AM87" s="62">
        <f t="shared" si="59"/>
        <v>639.25731434598379</v>
      </c>
      <c r="AN87" s="62">
        <f ca="1">AVERAGE(OFFSET($AM$3,0,0,'Données projet'!$E$10+1,1))-AVERAGE(OFFSET($H$3,0,0,'Données projet'!$E$10+1,1))</f>
        <v>316.76504852082684</v>
      </c>
      <c r="AO87" s="62">
        <f t="shared" si="90"/>
        <v>218.5520645293999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0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4.666666666666667</v>
      </c>
      <c r="BD87" s="13">
        <f>IF('Données projet'!$A$88&gt;35,BD86+BC87-BL86,IF(A87&lt;'Données projet'!$A$88,$BA$205^A87,IF(A87='Données projet'!$A$88,'Données projet'!$B$88,BD86+BC87-BL86)))</f>
        <v>155.99999999999997</v>
      </c>
      <c r="BE87" s="14">
        <f>BD87*VLOOKUP('Données projet'!$B$11,Paramètres!$A$1:$I$88,3,0)*VLOOKUP('Données projet'!$B$11,Paramètres!$A$1:$I$88,5,0)</f>
        <v>136.2816</v>
      </c>
      <c r="BF87" s="14">
        <f t="shared" si="91"/>
        <v>35.443842312892279</v>
      </c>
      <c r="BG87" s="22">
        <f t="shared" si="61"/>
        <v>299.08847869495406</v>
      </c>
      <c r="BH87" s="62">
        <f t="shared" si="62"/>
        <v>592.42181202828738</v>
      </c>
      <c r="BI87" s="62">
        <f ca="1">AVERAGE(OFFSET($BH$3,0,0,'Données projet'!$E$11+1,1))-AVERAGE(OFFSET($H$3,0,0,'Données projet'!$E$11+1,1))</f>
        <v>278.24093386944304</v>
      </c>
      <c r="BJ87" s="62">
        <f t="shared" si="92"/>
        <v>193.96102673885611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0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4.666666666666667</v>
      </c>
      <c r="BY87" s="13">
        <f>IF('Données projet'!$A$114&gt;35,BY86+BX87-CG86,IF(A87&lt;'Données projet'!$A$114,$BV$205^A87,IF(A87='Données projet'!$A$114,'Données projet'!$B$114,BY86+BX87-CG86)))</f>
        <v>155.99999999999997</v>
      </c>
      <c r="BZ87" s="14">
        <f>BY87*VLOOKUP('Données projet'!$B$12,Paramètres!$A$1:$I$88,3,0)*VLOOKUP('Données projet'!$B$12,Paramètres!$A$1:$I$88,5,0)</f>
        <v>150.88319999999999</v>
      </c>
      <c r="CA87" s="14">
        <f t="shared" si="93"/>
        <v>38.779227360583199</v>
      </c>
      <c r="CB87" s="22">
        <f t="shared" si="64"/>
        <v>330.32872765301573</v>
      </c>
      <c r="CC87" s="62">
        <f t="shared" si="65"/>
        <v>623.66206098634905</v>
      </c>
      <c r="CD87" s="62">
        <f ca="1">AVERAGE(OFFSET($CC$3,0,0,'Données projet'!$E$12+1,1))-AVERAGE(OFFSET($H$3,0,0,'Données projet'!$E$12+1,1))</f>
        <v>303.93739496872121</v>
      </c>
      <c r="CE87" s="62">
        <f t="shared" si="94"/>
        <v>210.36431469568754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0</v>
      </c>
      <c r="CL87" s="23">
        <f>EXP(-LN(2)/25)*CL86+(1-EXP(-LN(2)/25))/(LN(2)/25)*Calculateur!CG87*Calculateur!CI87*VLOOKUP('Données projet'!$B$12,Paramètres!$A$1:$I$88,3,0)*0.475*44/12</f>
        <v>0</v>
      </c>
      <c r="CM87" s="23">
        <f>EXP(-LN(2)/2)*CM86+(1-EXP(-LN(2)/2))/(LN(2)/2)*CG87*CJ87*VLOOKUP('Données projet'!$B$12,Paramètres!$A$1:$I$88,3,0)*0.475*44/12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projet'!$B$13,Paramètres!$A$1:$I$88,3,0)*VLOOKUP('Données projet'!$B$13,Paramètres!$A$1:$I$88,5,0)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57.812812891099895</v>
      </c>
      <c r="CZ87" s="62">
        <f t="shared" si="96"/>
        <v>244.79885157604684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projet'!$B$13,Paramètres!$A$1:$I$88,3,0)*0.475*44/12</f>
        <v>13.204494316792852</v>
      </c>
      <c r="DG87" s="23">
        <f>EXP(-LN(2)/25)*DG86+(1-EXP(-LN(2)/25))/(LN(2)/25)*Calculateur!DB87*Calculateur!DD87*VLOOKUP('Données projet'!$B$13,Paramètres!$A$1:$I$88,3,0)*0.475*44/12</f>
        <v>0</v>
      </c>
      <c r="DH87" s="23">
        <f>EXP(-LN(2)/2)*DH86+(1-EXP(-LN(2)/2))/(LN(2)/2)*DB87*DE87*VLOOKUP('Données projet'!$B$13,Paramètres!$A$1:$I$88,3,0)*0.475*44/12</f>
        <v>2.9887205983388251E-9</v>
      </c>
      <c r="DI87" s="24">
        <f t="shared" si="69"/>
        <v>13.204494319781572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4.666666666666667</v>
      </c>
      <c r="N88" s="14">
        <f>IF('Données projet'!$A$36&gt;35,N87+M88-V87,IF(A88&lt;'Données projet'!$A$36,$K$205^A88,IF(A88='Données projet'!$A$36,'Données projet'!$B$36,N87+M88-V87)))</f>
        <v>160.66666666666663</v>
      </c>
      <c r="O88" s="14">
        <f>N88*VLOOKUP('Données projet'!$B$9,Paramètres!$A$1:$I$88,3,0)*VLOOKUP('Données projet'!$B$9,Paramètres!$A$1:$I$88,5,0)</f>
        <v>145.37119999999996</v>
      </c>
      <c r="P88" s="14">
        <f t="shared" si="87"/>
        <v>37.524762949124401</v>
      </c>
      <c r="Q88" s="22">
        <f t="shared" si="54"/>
        <v>318.54380213639161</v>
      </c>
      <c r="R88" s="62">
        <f t="shared" si="55"/>
        <v>611.87713546972486</v>
      </c>
      <c r="S88" s="62">
        <f ca="1">AVERAGE(OFFSET($R$3,0,0,'Données projet'!$E$9+1,1))-AVERAGE(OFFSET($H$3,0,0,'Données projet'!$E$9+1,1))</f>
        <v>286.81278534843665</v>
      </c>
      <c r="T88" s="62">
        <f t="shared" si="88"/>
        <v>199.43308683696642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4.666666666666667</v>
      </c>
      <c r="AI88" s="14">
        <f>IF('Données projet'!$A$62&gt;35,AI87+AH88-AQ87,IF(A88&lt;'Données projet'!$A$62,$AF$205^A88,IF(A88='Données projet'!$A$62,'Données projet'!$B$62,AI87+AH88-AQ87)))</f>
        <v>160.66666666666663</v>
      </c>
      <c r="AJ88" s="14">
        <f>AI88*VLOOKUP('Données projet'!$B$10,Paramètres!$A$1:$I$88,3,0)*VLOOKUP('Données projet'!$B$10,Paramètres!$A$1:$I$88,5,0)</f>
        <v>162.91599999999997</v>
      </c>
      <c r="AK88" s="14">
        <f t="shared" si="89"/>
        <v>41.499534400775282</v>
      </c>
      <c r="AL88" s="22">
        <f t="shared" si="58"/>
        <v>356.02372241468356</v>
      </c>
      <c r="AM88" s="62">
        <f t="shared" si="59"/>
        <v>649.35705574801682</v>
      </c>
      <c r="AN88" s="62">
        <f ca="1">AVERAGE(OFFSET($AM$3,0,0,'Données projet'!$E$10+1,1))-AVERAGE(OFFSET($H$3,0,0,'Données projet'!$E$10+1,1))</f>
        <v>316.76504852082684</v>
      </c>
      <c r="AO88" s="62">
        <f t="shared" si="90"/>
        <v>218.5520645293999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0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4.666666666666667</v>
      </c>
      <c r="BD88" s="13">
        <f>IF('Données projet'!$A$88&gt;35,BD87+BC88-BL87,IF(A88&lt;'Données projet'!$A$88,$BA$205^A88,IF(A88='Données projet'!$A$88,'Données projet'!$B$88,BD87+BC88-BL87)))</f>
        <v>160.66666666666663</v>
      </c>
      <c r="BE88" s="14">
        <f>BD88*VLOOKUP('Données projet'!$B$11,Paramètres!$A$1:$I$88,3,0)*VLOOKUP('Données projet'!$B$11,Paramètres!$A$1:$I$88,5,0)</f>
        <v>140.35839999999999</v>
      </c>
      <c r="BF88" s="14">
        <f t="shared" si="91"/>
        <v>36.379097680928005</v>
      </c>
      <c r="BG88" s="22">
        <f t="shared" si="61"/>
        <v>307.81780846094955</v>
      </c>
      <c r="BH88" s="62">
        <f t="shared" si="62"/>
        <v>601.15114179428292</v>
      </c>
      <c r="BI88" s="62">
        <f ca="1">AVERAGE(OFFSET($BH$3,0,0,'Données projet'!$E$11+1,1))-AVERAGE(OFFSET($H$3,0,0,'Données projet'!$E$11+1,1))</f>
        <v>278.24093386944304</v>
      </c>
      <c r="BJ88" s="62">
        <f t="shared" si="92"/>
        <v>193.96102673885611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0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4.666666666666667</v>
      </c>
      <c r="BY88" s="13">
        <f>IF('Données projet'!$A$114&gt;35,BY87+BX88-CG87,IF(A88&lt;'Données projet'!$A$114,$BV$205^A88,IF(A88='Données projet'!$A$114,'Données projet'!$B$114,BY87+BX88-CG87)))</f>
        <v>160.66666666666663</v>
      </c>
      <c r="BZ88" s="14">
        <f>BY88*VLOOKUP('Données projet'!$B$12,Paramètres!$A$1:$I$88,3,0)*VLOOKUP('Données projet'!$B$12,Paramètres!$A$1:$I$88,5,0)</f>
        <v>155.39679999999998</v>
      </c>
      <c r="CA88" s="14">
        <f t="shared" si="93"/>
        <v>39.802493411625051</v>
      </c>
      <c r="CB88" s="22">
        <f t="shared" si="64"/>
        <v>339.97210269191356</v>
      </c>
      <c r="CC88" s="62">
        <f t="shared" si="65"/>
        <v>633.30543602524688</v>
      </c>
      <c r="CD88" s="62">
        <f ca="1">AVERAGE(OFFSET($CC$3,0,0,'Données projet'!$E$12+1,1))-AVERAGE(OFFSET($H$3,0,0,'Données projet'!$E$12+1,1))</f>
        <v>303.93739496872121</v>
      </c>
      <c r="CE88" s="62">
        <f t="shared" si="94"/>
        <v>210.36431469568754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0</v>
      </c>
      <c r="CL88" s="23">
        <f>EXP(-LN(2)/25)*CL87+(1-EXP(-LN(2)/25))/(LN(2)/25)*Calculateur!CG88*Calculateur!CI88*VLOOKUP('Données projet'!$B$12,Paramètres!$A$1:$I$88,3,0)*0.475*44/12</f>
        <v>0</v>
      </c>
      <c r="CM88" s="23">
        <f>EXP(-LN(2)/2)*CM87+(1-EXP(-LN(2)/2))/(LN(2)/2)*CG88*CJ88*VLOOKUP('Données projet'!$B$12,Paramètres!$A$1:$I$88,3,0)*0.475*44/12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projet'!$B$13,Paramètres!$A$1:$I$88,3,0)*VLOOKUP('Données projet'!$B$13,Paramètres!$A$1:$I$88,5,0)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57.812812891099895</v>
      </c>
      <c r="CZ88" s="62">
        <f t="shared" si="96"/>
        <v>244.79885157604684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projet'!$B$13,Paramètres!$A$1:$I$88,3,0)*0.475*44/12</f>
        <v>12.945562237186817</v>
      </c>
      <c r="DG88" s="23">
        <f>EXP(-LN(2)/25)*DG87+(1-EXP(-LN(2)/25))/(LN(2)/25)*Calculateur!DB88*Calculateur!DD88*VLOOKUP('Données projet'!$B$13,Paramètres!$A$1:$I$88,3,0)*0.475*44/12</f>
        <v>0</v>
      </c>
      <c r="DH88" s="23">
        <f>EXP(-LN(2)/2)*DH87+(1-EXP(-LN(2)/2))/(LN(2)/2)*DB88*DE88*VLOOKUP('Données projet'!$B$13,Paramètres!$A$1:$I$88,3,0)*0.475*44/12</f>
        <v>2.1133446021572989E-9</v>
      </c>
      <c r="DI88" s="24">
        <f t="shared" si="69"/>
        <v>12.945562239300161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4.666666666666667</v>
      </c>
      <c r="N89" s="14">
        <f>IF('Données projet'!$A$36&gt;35,N88+M89-V88,IF(A89&lt;'Données projet'!$A$36,$K$205^A89,IF(A89='Données projet'!$A$36,'Données projet'!$B$36,N88+M89-V88)))</f>
        <v>165.33333333333329</v>
      </c>
      <c r="O89" s="14">
        <f>N89*VLOOKUP('Données projet'!$B$9,Paramètres!$A$1:$I$88,3,0)*VLOOKUP('Données projet'!$B$9,Paramètres!$A$1:$I$88,5,0)</f>
        <v>149.59359999999995</v>
      </c>
      <c r="P89" s="14">
        <f t="shared" si="87"/>
        <v>38.486215184871355</v>
      </c>
      <c r="Q89" s="22">
        <f t="shared" si="54"/>
        <v>327.57234478031751</v>
      </c>
      <c r="R89" s="62">
        <f t="shared" si="55"/>
        <v>620.90567811365077</v>
      </c>
      <c r="S89" s="62">
        <f ca="1">AVERAGE(OFFSET($R$3,0,0,'Données projet'!$E$9+1,1))-AVERAGE(OFFSET($H$3,0,0,'Données projet'!$E$9+1,1))</f>
        <v>286.81278534843665</v>
      </c>
      <c r="T89" s="62">
        <f t="shared" si="88"/>
        <v>199.43308683696642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4.666666666666667</v>
      </c>
      <c r="AI89" s="14">
        <f>IF('Données projet'!$A$62&gt;35,AI88+AH89-AQ88,IF(A89&lt;'Données projet'!$A$62,$AF$205^A89,IF(A89='Données projet'!$A$62,'Données projet'!$B$62,AI88+AH89-AQ88)))</f>
        <v>165.33333333333329</v>
      </c>
      <c r="AJ89" s="14">
        <f>AI89*VLOOKUP('Données projet'!$B$10,Paramètres!$A$1:$I$88,3,0)*VLOOKUP('Données projet'!$B$10,Paramètres!$A$1:$I$88,5,0)</f>
        <v>167.64799999999997</v>
      </c>
      <c r="AK89" s="14">
        <f t="shared" si="89"/>
        <v>42.562827463710214</v>
      </c>
      <c r="AL89" s="22">
        <f t="shared" si="58"/>
        <v>366.11719116596186</v>
      </c>
      <c r="AM89" s="62">
        <f t="shared" si="59"/>
        <v>659.45052449929517</v>
      </c>
      <c r="AN89" s="62">
        <f ca="1">AVERAGE(OFFSET($AM$3,0,0,'Données projet'!$E$10+1,1))-AVERAGE(OFFSET($H$3,0,0,'Données projet'!$E$10+1,1))</f>
        <v>316.76504852082684</v>
      </c>
      <c r="AO89" s="62">
        <f t="shared" si="90"/>
        <v>218.5520645293999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0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4.666666666666667</v>
      </c>
      <c r="BD89" s="13">
        <f>IF('Données projet'!$A$88&gt;35,BD88+BC89-BL88,IF(A89&lt;'Données projet'!$A$88,$BA$205^A89,IF(A89='Données projet'!$A$88,'Données projet'!$B$88,BD88+BC89-BL88)))</f>
        <v>165.33333333333329</v>
      </c>
      <c r="BE89" s="14">
        <f>BD89*VLOOKUP('Données projet'!$B$11,Paramètres!$A$1:$I$88,3,0)*VLOOKUP('Données projet'!$B$11,Paramètres!$A$1:$I$88,5,0)</f>
        <v>144.43519999999998</v>
      </c>
      <c r="BF89" s="14">
        <f t="shared" si="91"/>
        <v>37.311195902233358</v>
      </c>
      <c r="BG89" s="22">
        <f t="shared" si="61"/>
        <v>316.541639529723</v>
      </c>
      <c r="BH89" s="62">
        <f t="shared" si="62"/>
        <v>609.87497286305631</v>
      </c>
      <c r="BI89" s="62">
        <f ca="1">AVERAGE(OFFSET($BH$3,0,0,'Données projet'!$E$11+1,1))-AVERAGE(OFFSET($H$3,0,0,'Données projet'!$E$11+1,1))</f>
        <v>278.24093386944304</v>
      </c>
      <c r="BJ89" s="62">
        <f t="shared" si="92"/>
        <v>193.96102673885611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0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4.666666666666667</v>
      </c>
      <c r="BY89" s="13">
        <f>IF('Données projet'!$A$114&gt;35,BY88+BX89-CG88,IF(A89&lt;'Données projet'!$A$114,$BV$205^A89,IF(A89='Données projet'!$A$114,'Données projet'!$B$114,BY88+BX89-CG88)))</f>
        <v>165.33333333333329</v>
      </c>
      <c r="BZ89" s="14">
        <f>BY89*VLOOKUP('Données projet'!$B$12,Paramètres!$A$1:$I$88,3,0)*VLOOKUP('Données projet'!$B$12,Paramètres!$A$1:$I$88,5,0)</f>
        <v>159.91039999999995</v>
      </c>
      <c r="CA89" s="14">
        <f t="shared" si="93"/>
        <v>40.822305217786031</v>
      </c>
      <c r="CB89" s="22">
        <f t="shared" si="64"/>
        <v>349.60946158764392</v>
      </c>
      <c r="CC89" s="62">
        <f t="shared" si="65"/>
        <v>642.94279492097724</v>
      </c>
      <c r="CD89" s="62">
        <f ca="1">AVERAGE(OFFSET($CC$3,0,0,'Données projet'!$E$12+1,1))-AVERAGE(OFFSET($H$3,0,0,'Données projet'!$E$12+1,1))</f>
        <v>303.93739496872121</v>
      </c>
      <c r="CE89" s="62">
        <f t="shared" si="94"/>
        <v>210.36431469568754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0</v>
      </c>
      <c r="CL89" s="23">
        <f>EXP(-LN(2)/25)*CL88+(1-EXP(-LN(2)/25))/(LN(2)/25)*Calculateur!CG89*Calculateur!CI89*VLOOKUP('Données projet'!$B$12,Paramètres!$A$1:$I$88,3,0)*0.475*44/12</f>
        <v>0</v>
      </c>
      <c r="CM89" s="23">
        <f>EXP(-LN(2)/2)*CM88+(1-EXP(-LN(2)/2))/(LN(2)/2)*CG89*CJ89*VLOOKUP('Données projet'!$B$12,Paramètres!$A$1:$I$88,3,0)*0.475*44/12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projet'!$B$13,Paramètres!$A$1:$I$88,3,0)*VLOOKUP('Données projet'!$B$13,Paramètres!$A$1:$I$88,5,0)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57.812812891099895</v>
      </c>
      <c r="CZ89" s="62">
        <f t="shared" si="96"/>
        <v>244.79885157604684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projet'!$B$13,Paramètres!$A$1:$I$88,3,0)*0.475*44/12</f>
        <v>12.691707657728882</v>
      </c>
      <c r="DG89" s="23">
        <f>EXP(-LN(2)/25)*DG88+(1-EXP(-LN(2)/25))/(LN(2)/25)*Calculateur!DB89*Calculateur!DD89*VLOOKUP('Données projet'!$B$13,Paramètres!$A$1:$I$88,3,0)*0.475*44/12</f>
        <v>0</v>
      </c>
      <c r="DH89" s="23">
        <f>EXP(-LN(2)/2)*DH88+(1-EXP(-LN(2)/2))/(LN(2)/2)*DB89*DE89*VLOOKUP('Données projet'!$B$13,Paramètres!$A$1:$I$88,3,0)*0.475*44/12</f>
        <v>1.4943602991694125E-9</v>
      </c>
      <c r="DI89" s="24">
        <f t="shared" si="69"/>
        <v>12.691707659223242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4.666666666666667</v>
      </c>
      <c r="N90" s="14">
        <f>IF('Données projet'!$A$36&gt;35,N89+M90-V89,IF(A90&lt;'Données projet'!$A$36,$K$205^A90,IF(A90='Données projet'!$A$36,'Données projet'!$B$36,N89+M90-V89)))</f>
        <v>169.99999999999994</v>
      </c>
      <c r="O90" s="14">
        <f>N90*VLOOKUP('Données projet'!$B$9,Paramètres!$A$1:$I$88,3,0)*VLOOKUP('Données projet'!$B$9,Paramètres!$A$1:$I$88,5,0)</f>
        <v>153.81599999999995</v>
      </c>
      <c r="P90" s="14">
        <f t="shared" si="87"/>
        <v>39.444513325737027</v>
      </c>
      <c r="Q90" s="22">
        <f t="shared" si="54"/>
        <v>336.59539404232521</v>
      </c>
      <c r="R90" s="62">
        <f t="shared" si="55"/>
        <v>629.92872737565858</v>
      </c>
      <c r="S90" s="62">
        <f ca="1">AVERAGE(OFFSET($R$3,0,0,'Données projet'!$E$9+1,1))-AVERAGE(OFFSET($H$3,0,0,'Données projet'!$E$9+1,1))</f>
        <v>286.81278534843665</v>
      </c>
      <c r="T90" s="62">
        <f t="shared" si="88"/>
        <v>199.43308683696642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4.666666666666667</v>
      </c>
      <c r="AI90" s="14">
        <f>IF('Données projet'!$A$62&gt;35,AI89+AH90-AQ89,IF(A90&lt;'Données projet'!$A$62,$AF$205^A90,IF(A90='Données projet'!$A$62,'Données projet'!$B$62,AI89+AH90-AQ89)))</f>
        <v>169.99999999999994</v>
      </c>
      <c r="AJ90" s="14">
        <f>AI90*VLOOKUP('Données projet'!$B$10,Paramètres!$A$1:$I$88,3,0)*VLOOKUP('Données projet'!$B$10,Paramètres!$A$1:$I$88,5,0)</f>
        <v>172.37999999999997</v>
      </c>
      <c r="AK90" s="14">
        <f t="shared" si="89"/>
        <v>43.622632337547088</v>
      </c>
      <c r="AL90" s="22">
        <f t="shared" si="58"/>
        <v>376.20458465456113</v>
      </c>
      <c r="AM90" s="62">
        <f t="shared" si="59"/>
        <v>669.53791798789439</v>
      </c>
      <c r="AN90" s="62">
        <f ca="1">AVERAGE(OFFSET($AM$3,0,0,'Données projet'!$E$10+1,1))-AVERAGE(OFFSET($H$3,0,0,'Données projet'!$E$10+1,1))</f>
        <v>316.76504852082684</v>
      </c>
      <c r="AO90" s="62">
        <f t="shared" si="90"/>
        <v>218.5520645293999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0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4.666666666666667</v>
      </c>
      <c r="BD90" s="13">
        <f>IF('Données projet'!$A$88&gt;35,BD89+BC90-BL89,IF(A90&lt;'Données projet'!$A$88,$BA$205^A90,IF(A90='Données projet'!$A$88,'Données projet'!$B$88,BD89+BC90-BL89)))</f>
        <v>169.99999999999994</v>
      </c>
      <c r="BE90" s="14">
        <f>BD90*VLOOKUP('Données projet'!$B$11,Paramètres!$A$1:$I$88,3,0)*VLOOKUP('Données projet'!$B$11,Paramètres!$A$1:$I$88,5,0)</f>
        <v>148.51199999999997</v>
      </c>
      <c r="BF90" s="14">
        <f t="shared" si="91"/>
        <v>38.240236326053513</v>
      </c>
      <c r="BG90" s="22">
        <f t="shared" si="61"/>
        <v>325.26014493454312</v>
      </c>
      <c r="BH90" s="62">
        <f t="shared" si="62"/>
        <v>618.59347826787643</v>
      </c>
      <c r="BI90" s="62">
        <f ca="1">AVERAGE(OFFSET($BH$3,0,0,'Données projet'!$E$11+1,1))-AVERAGE(OFFSET($H$3,0,0,'Données projet'!$E$11+1,1))</f>
        <v>278.24093386944304</v>
      </c>
      <c r="BJ90" s="62">
        <f t="shared" si="92"/>
        <v>193.96102673885611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0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4.666666666666667</v>
      </c>
      <c r="BY90" s="13">
        <f>IF('Données projet'!$A$114&gt;35,BY89+BX90-CG89,IF(A90&lt;'Données projet'!$A$114,$BV$205^A90,IF(A90='Données projet'!$A$114,'Données projet'!$B$114,BY89+BX90-CG89)))</f>
        <v>169.99999999999994</v>
      </c>
      <c r="BZ90" s="14">
        <f>BY90*VLOOKUP('Données projet'!$B$12,Paramètres!$A$1:$I$88,3,0)*VLOOKUP('Données projet'!$B$12,Paramètres!$A$1:$I$88,5,0)</f>
        <v>164.42399999999995</v>
      </c>
      <c r="CA90" s="14">
        <f t="shared" si="93"/>
        <v>41.838771477410191</v>
      </c>
      <c r="CB90" s="22">
        <f t="shared" si="64"/>
        <v>359.24099365648931</v>
      </c>
      <c r="CC90" s="62">
        <f t="shared" si="65"/>
        <v>652.57432698982257</v>
      </c>
      <c r="CD90" s="62">
        <f ca="1">AVERAGE(OFFSET($CC$3,0,0,'Données projet'!$E$12+1,1))-AVERAGE(OFFSET($H$3,0,0,'Données projet'!$E$12+1,1))</f>
        <v>303.93739496872121</v>
      </c>
      <c r="CE90" s="62">
        <f t="shared" si="94"/>
        <v>210.36431469568754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0</v>
      </c>
      <c r="CL90" s="23">
        <f>EXP(-LN(2)/25)*CL89+(1-EXP(-LN(2)/25))/(LN(2)/25)*Calculateur!CG90*Calculateur!CI90*VLOOKUP('Données projet'!$B$12,Paramètres!$A$1:$I$88,3,0)*0.475*44/12</f>
        <v>0</v>
      </c>
      <c r="CM90" s="23">
        <f>EXP(-LN(2)/2)*CM89+(1-EXP(-LN(2)/2))/(LN(2)/2)*CG90*CJ90*VLOOKUP('Données projet'!$B$12,Paramètres!$A$1:$I$88,3,0)*0.475*44/12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projet'!$B$13,Paramètres!$A$1:$I$88,3,0)*VLOOKUP('Données projet'!$B$13,Paramètres!$A$1:$I$88,5,0)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57.812812891099895</v>
      </c>
      <c r="CZ90" s="62">
        <f t="shared" si="96"/>
        <v>244.79885157604684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projet'!$B$13,Paramètres!$A$1:$I$88,3,0)*0.475*44/12</f>
        <v>12.442831011738113</v>
      </c>
      <c r="DG90" s="23">
        <f>EXP(-LN(2)/25)*DG89+(1-EXP(-LN(2)/25))/(LN(2)/25)*Calculateur!DB90*Calculateur!DD90*VLOOKUP('Données projet'!$B$13,Paramètres!$A$1:$I$88,3,0)*0.475*44/12</f>
        <v>0</v>
      </c>
      <c r="DH90" s="23">
        <f>EXP(-LN(2)/2)*DH89+(1-EXP(-LN(2)/2))/(LN(2)/2)*DB90*DE90*VLOOKUP('Données projet'!$B$13,Paramètres!$A$1:$I$88,3,0)*0.475*44/12</f>
        <v>1.0566723010786495E-9</v>
      </c>
      <c r="DI90" s="24">
        <f t="shared" si="69"/>
        <v>12.442831012794786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4.666666666666667</v>
      </c>
      <c r="N91" s="14">
        <f>IF('Données projet'!$A$36&gt;35,N90+M91-V90,IF(A91&lt;'Données projet'!$A$36,$K$205^A91,IF(A91='Données projet'!$A$36,'Données projet'!$B$36,N90+M91-V90)))</f>
        <v>174.6666666666666</v>
      </c>
      <c r="O91" s="14">
        <f>N91*VLOOKUP('Données projet'!$B$9,Paramètres!$A$1:$I$88,3,0)*VLOOKUP('Données projet'!$B$9,Paramètres!$A$1:$I$88,5,0)</f>
        <v>158.03839999999994</v>
      </c>
      <c r="P91" s="14">
        <f t="shared" si="87"/>
        <v>40.39975390326795</v>
      </c>
      <c r="Q91" s="22">
        <f t="shared" si="54"/>
        <v>345.61311804819155</v>
      </c>
      <c r="R91" s="62">
        <f t="shared" si="55"/>
        <v>638.94645138152487</v>
      </c>
      <c r="S91" s="62">
        <f ca="1">AVERAGE(OFFSET($R$3,0,0,'Données projet'!$E$9+1,1))-AVERAGE(OFFSET($H$3,0,0,'Données projet'!$E$9+1,1))</f>
        <v>286.81278534843665</v>
      </c>
      <c r="T91" s="62">
        <f t="shared" si="88"/>
        <v>199.43308683696642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4.666666666666667</v>
      </c>
      <c r="AI91" s="14">
        <f>IF('Données projet'!$A$62&gt;35,AI90+AH91-AQ90,IF(A91&lt;'Données projet'!$A$62,$AF$205^A91,IF(A91='Données projet'!$A$62,'Données projet'!$B$62,AI90+AH91-AQ90)))</f>
        <v>174.6666666666666</v>
      </c>
      <c r="AJ91" s="14">
        <f>AI91*VLOOKUP('Données projet'!$B$10,Paramètres!$A$1:$I$88,3,0)*VLOOKUP('Données projet'!$B$10,Paramètres!$A$1:$I$88,5,0)</f>
        <v>177.11199999999994</v>
      </c>
      <c r="AK91" s="14">
        <f t="shared" si="89"/>
        <v>44.67905577883586</v>
      </c>
      <c r="AL91" s="22">
        <f t="shared" si="58"/>
        <v>386.28608881480568</v>
      </c>
      <c r="AM91" s="62">
        <f t="shared" si="59"/>
        <v>679.61942214813894</v>
      </c>
      <c r="AN91" s="62">
        <f ca="1">AVERAGE(OFFSET($AM$3,0,0,'Données projet'!$E$10+1,1))-AVERAGE(OFFSET($H$3,0,0,'Données projet'!$E$10+1,1))</f>
        <v>316.76504852082684</v>
      </c>
      <c r="AO91" s="62">
        <f t="shared" si="90"/>
        <v>218.5520645293999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0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4.666666666666667</v>
      </c>
      <c r="BD91" s="13">
        <f>IF('Données projet'!$A$88&gt;35,BD90+BC91-BL90,IF(A91&lt;'Données projet'!$A$88,$BA$205^A91,IF(A91='Données projet'!$A$88,'Données projet'!$B$88,BD90+BC91-BL90)))</f>
        <v>174.6666666666666</v>
      </c>
      <c r="BE91" s="14">
        <f>BD91*VLOOKUP('Données projet'!$B$11,Paramètres!$A$1:$I$88,3,0)*VLOOKUP('Données projet'!$B$11,Paramètres!$A$1:$I$88,5,0)</f>
        <v>152.58879999999996</v>
      </c>
      <c r="BF91" s="14">
        <f t="shared" si="91"/>
        <v>39.166312536738651</v>
      </c>
      <c r="BG91" s="22">
        <f t="shared" si="61"/>
        <v>333.97348766815304</v>
      </c>
      <c r="BH91" s="62">
        <f t="shared" si="62"/>
        <v>627.30682100148636</v>
      </c>
      <c r="BI91" s="62">
        <f ca="1">AVERAGE(OFFSET($BH$3,0,0,'Données projet'!$E$11+1,1))-AVERAGE(OFFSET($H$3,0,0,'Données projet'!$E$11+1,1))</f>
        <v>278.24093386944304</v>
      </c>
      <c r="BJ91" s="62">
        <f t="shared" si="92"/>
        <v>193.96102673885611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0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4.666666666666667</v>
      </c>
      <c r="BY91" s="13">
        <f>IF('Données projet'!$A$114&gt;35,BY90+BX91-CG90,IF(A91&lt;'Données projet'!$A$114,$BV$205^A91,IF(A91='Données projet'!$A$114,'Données projet'!$B$114,BY90+BX91-CG90)))</f>
        <v>174.6666666666666</v>
      </c>
      <c r="BZ91" s="14">
        <f>BY91*VLOOKUP('Données projet'!$B$12,Paramètres!$A$1:$I$88,3,0)*VLOOKUP('Données projet'!$B$12,Paramètres!$A$1:$I$88,5,0)</f>
        <v>168.93759999999995</v>
      </c>
      <c r="CA91" s="14">
        <f t="shared" si="93"/>
        <v>42.851994581450576</v>
      </c>
      <c r="CB91" s="22">
        <f t="shared" si="64"/>
        <v>368.86687722935966</v>
      </c>
      <c r="CC91" s="62">
        <f t="shared" si="65"/>
        <v>662.20021056269297</v>
      </c>
      <c r="CD91" s="62">
        <f ca="1">AVERAGE(OFFSET($CC$3,0,0,'Données projet'!$E$12+1,1))-AVERAGE(OFFSET($H$3,0,0,'Données projet'!$E$12+1,1))</f>
        <v>303.93739496872121</v>
      </c>
      <c r="CE91" s="62">
        <f t="shared" si="94"/>
        <v>210.36431469568754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0</v>
      </c>
      <c r="CL91" s="23">
        <f>EXP(-LN(2)/25)*CL90+(1-EXP(-LN(2)/25))/(LN(2)/25)*Calculateur!CG91*Calculateur!CI91*VLOOKUP('Données projet'!$B$12,Paramètres!$A$1:$I$88,3,0)*0.475*44/12</f>
        <v>0</v>
      </c>
      <c r="CM91" s="23">
        <f>EXP(-LN(2)/2)*CM90+(1-EXP(-LN(2)/2))/(LN(2)/2)*CG91*CJ91*VLOOKUP('Données projet'!$B$12,Paramètres!$A$1:$I$88,3,0)*0.475*44/12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projet'!$B$13,Paramètres!$A$1:$I$88,3,0)*VLOOKUP('Données projet'!$B$13,Paramètres!$A$1:$I$88,5,0)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57.812812891099895</v>
      </c>
      <c r="CZ91" s="62">
        <f t="shared" si="96"/>
        <v>244.79885157604684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projet'!$B$13,Paramètres!$A$1:$I$88,3,0)*0.475*44/12</f>
        <v>12.198834684975457</v>
      </c>
      <c r="DG91" s="23">
        <f>EXP(-LN(2)/25)*DG90+(1-EXP(-LN(2)/25))/(LN(2)/25)*Calculateur!DB91*Calculateur!DD91*VLOOKUP('Données projet'!$B$13,Paramètres!$A$1:$I$88,3,0)*0.475*44/12</f>
        <v>0</v>
      </c>
      <c r="DH91" s="23">
        <f>EXP(-LN(2)/2)*DH90+(1-EXP(-LN(2)/2))/(LN(2)/2)*DB91*DE91*VLOOKUP('Données projet'!$B$13,Paramètres!$A$1:$I$88,3,0)*0.475*44/12</f>
        <v>7.4718014958470627E-10</v>
      </c>
      <c r="DI91" s="24">
        <f t="shared" si="69"/>
        <v>12.198834685722638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4.666666666666667</v>
      </c>
      <c r="N92" s="14">
        <f>IF('Données projet'!$A$36&gt;35,N91+M92-V91,IF(A92&lt;'Données projet'!$A$36,$K$205^A92,IF(A92='Données projet'!$A$36,'Données projet'!$B$36,N91+M92-V91)))</f>
        <v>179.33333333333326</v>
      </c>
      <c r="O92" s="14">
        <f>N92*VLOOKUP('Données projet'!$B$9,Paramètres!$A$1:$I$88,3,0)*VLOOKUP('Données projet'!$B$9,Paramètres!$A$1:$I$88,5,0)</f>
        <v>162.26079999999993</v>
      </c>
      <c r="P92" s="14">
        <f t="shared" si="87"/>
        <v>41.352027997150536</v>
      </c>
      <c r="Q92" s="22">
        <f t="shared" si="54"/>
        <v>354.62567542837041</v>
      </c>
      <c r="R92" s="62">
        <f t="shared" si="55"/>
        <v>647.95900876170367</v>
      </c>
      <c r="S92" s="62">
        <f ca="1">AVERAGE(OFFSET($R$3,0,0,'Données projet'!$E$9+1,1))-AVERAGE(OFFSET($H$3,0,0,'Données projet'!$E$9+1,1))</f>
        <v>286.81278534843665</v>
      </c>
      <c r="T92" s="62">
        <f t="shared" si="88"/>
        <v>199.43308683696642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4.666666666666667</v>
      </c>
      <c r="AI92" s="14">
        <f>IF('Données projet'!$A$62&gt;35,AI91+AH92-AQ91,IF(A92&lt;'Données projet'!$A$62,$AF$205^A92,IF(A92='Données projet'!$A$62,'Données projet'!$B$62,AI91+AH92-AQ91)))</f>
        <v>179.33333333333326</v>
      </c>
      <c r="AJ92" s="14">
        <f>AI92*VLOOKUP('Données projet'!$B$10,Paramètres!$A$1:$I$88,3,0)*VLOOKUP('Données projet'!$B$10,Paramètres!$A$1:$I$88,5,0)</f>
        <v>181.84399999999994</v>
      </c>
      <c r="AK92" s="14">
        <f t="shared" si="89"/>
        <v>45.732198514784031</v>
      </c>
      <c r="AL92" s="22">
        <f t="shared" si="58"/>
        <v>396.36187907991547</v>
      </c>
      <c r="AM92" s="62">
        <f t="shared" si="59"/>
        <v>689.69521241324878</v>
      </c>
      <c r="AN92" s="62">
        <f ca="1">AVERAGE(OFFSET($AM$3,0,0,'Données projet'!$E$10+1,1))-AVERAGE(OFFSET($H$3,0,0,'Données projet'!$E$10+1,1))</f>
        <v>316.76504852082684</v>
      </c>
      <c r="AO92" s="62">
        <f t="shared" si="90"/>
        <v>218.5520645293999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0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4.666666666666667</v>
      </c>
      <c r="BD92" s="13">
        <f>IF('Données projet'!$A$88&gt;35,BD91+BC92-BL91,IF(A92&lt;'Données projet'!$A$88,$BA$205^A92,IF(A92='Données projet'!$A$88,'Données projet'!$B$88,BD91+BC92-BL91)))</f>
        <v>179.33333333333326</v>
      </c>
      <c r="BE92" s="14">
        <f>BD92*VLOOKUP('Données projet'!$B$11,Paramètres!$A$1:$I$88,3,0)*VLOOKUP('Données projet'!$B$11,Paramètres!$A$1:$I$88,5,0)</f>
        <v>156.66559999999996</v>
      </c>
      <c r="BF92" s="14">
        <f t="shared" si="91"/>
        <v>40.0895128332292</v>
      </c>
      <c r="BG92" s="22">
        <f t="shared" si="61"/>
        <v>342.68182151787414</v>
      </c>
      <c r="BH92" s="62">
        <f t="shared" si="62"/>
        <v>636.0151548512074</v>
      </c>
      <c r="BI92" s="62">
        <f ca="1">AVERAGE(OFFSET($BH$3,0,0,'Données projet'!$E$11+1,1))-AVERAGE(OFFSET($H$3,0,0,'Données projet'!$E$11+1,1))</f>
        <v>278.24093386944304</v>
      </c>
      <c r="BJ92" s="62">
        <f t="shared" si="92"/>
        <v>193.96102673885611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0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4.666666666666667</v>
      </c>
      <c r="BY92" s="13">
        <f>IF('Données projet'!$A$114&gt;35,BY91+BX92-CG91,IF(A92&lt;'Données projet'!$A$114,$BV$205^A92,IF(A92='Données projet'!$A$114,'Données projet'!$B$114,BY91+BX92-CG91)))</f>
        <v>179.33333333333326</v>
      </c>
      <c r="BZ92" s="14">
        <f>BY92*VLOOKUP('Données projet'!$B$12,Paramètres!$A$1:$I$88,3,0)*VLOOKUP('Données projet'!$B$12,Paramètres!$A$1:$I$88,5,0)</f>
        <v>173.45119999999994</v>
      </c>
      <c r="CA92" s="14">
        <f t="shared" si="93"/>
        <v>43.862071138075585</v>
      </c>
      <c r="CB92" s="22">
        <f t="shared" si="64"/>
        <v>378.48728056548151</v>
      </c>
      <c r="CC92" s="62">
        <f t="shared" si="65"/>
        <v>671.82061389881483</v>
      </c>
      <c r="CD92" s="62">
        <f ca="1">AVERAGE(OFFSET($CC$3,0,0,'Données projet'!$E$12+1,1))-AVERAGE(OFFSET($H$3,0,0,'Données projet'!$E$12+1,1))</f>
        <v>303.93739496872121</v>
      </c>
      <c r="CE92" s="62">
        <f t="shared" si="94"/>
        <v>210.36431469568754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0</v>
      </c>
      <c r="CL92" s="23">
        <f>EXP(-LN(2)/25)*CL91+(1-EXP(-LN(2)/25))/(LN(2)/25)*Calculateur!CG92*Calculateur!CI92*VLOOKUP('Données projet'!$B$12,Paramètres!$A$1:$I$88,3,0)*0.475*44/12</f>
        <v>0</v>
      </c>
      <c r="CM92" s="23">
        <f>EXP(-LN(2)/2)*CM91+(1-EXP(-LN(2)/2))/(LN(2)/2)*CG92*CJ92*VLOOKUP('Données projet'!$B$12,Paramètres!$A$1:$I$88,3,0)*0.475*44/12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projet'!$B$13,Paramètres!$A$1:$I$88,3,0)*VLOOKUP('Données projet'!$B$13,Paramètres!$A$1:$I$88,5,0)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57.812812891099895</v>
      </c>
      <c r="CZ92" s="62">
        <f t="shared" si="96"/>
        <v>244.79885157604684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projet'!$B$13,Paramètres!$A$1:$I$88,3,0)*0.475*44/12</f>
        <v>11.959622977357553</v>
      </c>
      <c r="DG92" s="23">
        <f>EXP(-LN(2)/25)*DG91+(1-EXP(-LN(2)/25))/(LN(2)/25)*Calculateur!DB92*Calculateur!DD92*VLOOKUP('Données projet'!$B$13,Paramètres!$A$1:$I$88,3,0)*0.475*44/12</f>
        <v>0</v>
      </c>
      <c r="DH92" s="23">
        <f>EXP(-LN(2)/2)*DH91+(1-EXP(-LN(2)/2))/(LN(2)/2)*DB92*DE92*VLOOKUP('Données projet'!$B$13,Paramètres!$A$1:$I$88,3,0)*0.475*44/12</f>
        <v>5.2833615053932473E-10</v>
      </c>
      <c r="DI92" s="24">
        <f t="shared" si="69"/>
        <v>11.959622977885889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184</v>
      </c>
      <c r="L93" s="13">
        <f>VLOOKUP(A93,'Données projet'!$A$35:$I$55,9,0)</f>
        <v>4.666666666666667</v>
      </c>
      <c r="M93" s="13">
        <f t="array" ref="M93">INDEX(L:L,MIN(IF(ISNUMBER(L93:L289),ROW(L93:L289),"")))</f>
        <v>4.666666666666667</v>
      </c>
      <c r="N93" s="14">
        <f>IF('Données projet'!$A$36&gt;35,N92+M93-V92,IF(A93&lt;'Données projet'!$A$36,$K$205^A93,IF(A93='Données projet'!$A$36,'Données projet'!$B$36,N92+M93-V92)))</f>
        <v>183.99999999999991</v>
      </c>
      <c r="O93" s="14">
        <f>N93*VLOOKUP('Données projet'!$B$9,Paramètres!$A$1:$I$88,3,0)*VLOOKUP('Données projet'!$B$9,Paramètres!$A$1:$I$88,5,0)</f>
        <v>166.48319999999993</v>
      </c>
      <c r="P93" s="14">
        <f t="shared" si="87"/>
        <v>42.301421676867136</v>
      </c>
      <c r="Q93" s="22">
        <f t="shared" si="54"/>
        <v>363.63321608721009</v>
      </c>
      <c r="R93" s="62">
        <f t="shared" si="55"/>
        <v>656.9665494205434</v>
      </c>
      <c r="S93" s="62">
        <f ca="1">AVERAGE(OFFSET($R$3,0,0,'Données projet'!$E$9+1,1))-AVERAGE(OFFSET($H$3,0,0,'Données projet'!$E$9+1,1))</f>
        <v>286.81278534843665</v>
      </c>
      <c r="T93" s="62">
        <f t="shared" si="88"/>
        <v>199.43308683696642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30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184</v>
      </c>
      <c r="AG93" s="13">
        <f>VLOOKUP(A93,'Données projet'!$A$61:$I$81,9,0)</f>
        <v>4.666666666666667</v>
      </c>
      <c r="AH93" s="13">
        <f t="array" ref="AH93">INDEX(AG:AG,MIN(IF(ISNUMBER(AG93:AG289),ROW(AG93:AG289),"")))</f>
        <v>4.666666666666667</v>
      </c>
      <c r="AI93" s="14">
        <f>IF('Données projet'!$A$62&gt;35,AI92+AH93-AQ92,IF(A93&lt;'Données projet'!$A$62,$AF$205^A93,IF(A93='Données projet'!$A$62,'Données projet'!$B$62,AI92+AH93-AQ92)))</f>
        <v>183.99999999999991</v>
      </c>
      <c r="AJ93" s="14">
        <f>AI93*VLOOKUP('Données projet'!$B$10,Paramètres!$A$1:$I$88,3,0)*VLOOKUP('Données projet'!$B$10,Paramètres!$A$1:$I$88,5,0)</f>
        <v>186.57599999999994</v>
      </c>
      <c r="AK93" s="14">
        <f t="shared" si="89"/>
        <v>46.782155731694274</v>
      </c>
      <c r="AL93" s="22">
        <f t="shared" si="58"/>
        <v>406.43212123270069</v>
      </c>
      <c r="AM93" s="62">
        <f t="shared" si="59"/>
        <v>699.76545456603401</v>
      </c>
      <c r="AN93" s="62">
        <f ca="1">AVERAGE(OFFSET($AM$3,0,0,'Données projet'!$E$10+1,1))-AVERAGE(OFFSET($H$3,0,0,'Données projet'!$E$10+1,1))</f>
        <v>316.76504852082684</v>
      </c>
      <c r="AO93" s="62">
        <f t="shared" si="90"/>
        <v>218.5520645293999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30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0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184</v>
      </c>
      <c r="BB93" s="13">
        <f>VLOOKUP(A93,'Données projet'!$A$87:$I$107,9,0)</f>
        <v>4.666666666666667</v>
      </c>
      <c r="BC93" s="13">
        <f t="array" ref="BC93">INDEX(BB:BB,MIN(IF(ISNUMBER(BB93:BB289),ROW(BB93:BB289),"")))</f>
        <v>4.666666666666667</v>
      </c>
      <c r="BD93" s="13">
        <f>IF('Données projet'!$A$88&gt;35,BD92+BC93-BL92,IF(A93&lt;'Données projet'!$A$88,$BA$205^A93,IF(A93='Données projet'!$A$88,'Données projet'!$B$88,BD92+BC93-BL92)))</f>
        <v>183.99999999999991</v>
      </c>
      <c r="BE93" s="14">
        <f>BD93*VLOOKUP('Données projet'!$B$11,Paramètres!$A$1:$I$88,3,0)*VLOOKUP('Données projet'!$B$11,Paramètres!$A$1:$I$88,5,0)</f>
        <v>160.74239999999995</v>
      </c>
      <c r="BF93" s="14">
        <f t="shared" si="91"/>
        <v>41.009920657227809</v>
      </c>
      <c r="BG93" s="22">
        <f t="shared" si="61"/>
        <v>351.38529181133828</v>
      </c>
      <c r="BH93" s="62">
        <f t="shared" si="62"/>
        <v>644.71862514467159</v>
      </c>
      <c r="BI93" s="62">
        <f ca="1">AVERAGE(OFFSET($BH$3,0,0,'Données projet'!$E$11+1,1))-AVERAGE(OFFSET($H$3,0,0,'Données projet'!$E$11+1,1))</f>
        <v>278.24093386944304</v>
      </c>
      <c r="BJ93" s="62">
        <f t="shared" si="92"/>
        <v>193.96102673885611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30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0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184</v>
      </c>
      <c r="BW93" s="13">
        <f>VLOOKUP(A93,'Données projet'!$A$113:$I$133,9,0)</f>
        <v>4.666666666666667</v>
      </c>
      <c r="BX93" s="13">
        <f t="array" ref="BX93">INDEX(BW:BW,MIN(IF(ISNUMBER(BW93:BW289),ROW(BW93:BW289),"")))</f>
        <v>4.666666666666667</v>
      </c>
      <c r="BY93" s="13">
        <f>IF('Données projet'!$A$114&gt;35,BY92+BX93-CG92,IF(A93&lt;'Données projet'!$A$114,$BV$205^A93,IF(A93='Données projet'!$A$114,'Données projet'!$B$114,BY92+BX93-CG92)))</f>
        <v>183.99999999999991</v>
      </c>
      <c r="BZ93" s="14">
        <f>BY93*VLOOKUP('Données projet'!$B$12,Paramètres!$A$1:$I$88,3,0)*VLOOKUP('Données projet'!$B$12,Paramètres!$A$1:$I$88,5,0)</f>
        <v>177.96479999999991</v>
      </c>
      <c r="CA93" s="14">
        <f t="shared" si="93"/>
        <v>44.869092441133283</v>
      </c>
      <c r="CB93" s="22">
        <f t="shared" si="64"/>
        <v>388.10236266830702</v>
      </c>
      <c r="CC93" s="62">
        <f t="shared" si="65"/>
        <v>681.43569600164028</v>
      </c>
      <c r="CD93" s="62">
        <f ca="1">AVERAGE(OFFSET($CC$3,0,0,'Données projet'!$E$12+1,1))-AVERAGE(OFFSET($H$3,0,0,'Données projet'!$E$12+1,1))</f>
        <v>303.93739496872121</v>
      </c>
      <c r="CE93" s="62">
        <f t="shared" si="94"/>
        <v>210.36431469568754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30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0</v>
      </c>
      <c r="CL93" s="23">
        <f>EXP(-LN(2)/25)*CL92+(1-EXP(-LN(2)/25))/(LN(2)/25)*Calculateur!CG93*Calculateur!CI93*VLOOKUP('Données projet'!$B$12,Paramètres!$A$1:$I$88,3,0)*0.475*44/12</f>
        <v>0</v>
      </c>
      <c r="CM93" s="23">
        <f>EXP(-LN(2)/2)*CM92+(1-EXP(-LN(2)/2))/(LN(2)/2)*CG93*CJ93*VLOOKUP('Données projet'!$B$12,Paramètres!$A$1:$I$88,3,0)*0.475*44/12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projet'!$B$13,Paramètres!$A$1:$I$88,3,0)*VLOOKUP('Données projet'!$B$13,Paramètres!$A$1:$I$88,5,0)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57.812812891099895</v>
      </c>
      <c r="CZ93" s="62">
        <f t="shared" si="96"/>
        <v>244.79885157604684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projet'!$B$13,Paramètres!$A$1:$I$88,3,0)*0.475*44/12</f>
        <v>11.7251020654213</v>
      </c>
      <c r="DG93" s="23">
        <f>EXP(-LN(2)/25)*DG92+(1-EXP(-LN(2)/25))/(LN(2)/25)*Calculateur!DB93*Calculateur!DD93*VLOOKUP('Données projet'!$B$13,Paramètres!$A$1:$I$88,3,0)*0.475*44/12</f>
        <v>0</v>
      </c>
      <c r="DH93" s="23">
        <f>EXP(-LN(2)/2)*DH92+(1-EXP(-LN(2)/2))/(LN(2)/2)*DB93*DE93*VLOOKUP('Données projet'!$B$13,Paramètres!$A$1:$I$88,3,0)*0.475*44/12</f>
        <v>3.7359007479235313E-10</v>
      </c>
      <c r="DI93" s="24">
        <f t="shared" si="69"/>
        <v>11.725102065794891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4.75</v>
      </c>
      <c r="N94" s="14">
        <f>IF('Données projet'!$A$36&gt;35,N93+M94-V93,IF(A94&lt;'Données projet'!$A$36,$K$205^A94,IF(A94='Données projet'!$A$36,'Données projet'!$B$36,N93+M94-V93)))</f>
        <v>158.74999999999991</v>
      </c>
      <c r="O94" s="14">
        <f>N94*VLOOKUP('Données projet'!$B$9,Paramètres!$A$1:$I$88,3,0)*VLOOKUP('Données projet'!$B$9,Paramètres!$A$1:$I$88,5,0)</f>
        <v>143.63699999999992</v>
      </c>
      <c r="P94" s="14">
        <f t="shared" si="87"/>
        <v>37.128943398953339</v>
      </c>
      <c r="Q94" s="22">
        <f t="shared" si="54"/>
        <v>314.83401808651024</v>
      </c>
      <c r="R94" s="62">
        <f t="shared" si="55"/>
        <v>608.1673514198435</v>
      </c>
      <c r="S94" s="62">
        <f ca="1">AVERAGE(OFFSET($R$3,0,0,'Données projet'!$E$9+1,1))-AVERAGE(OFFSET($H$3,0,0,'Données projet'!$E$9+1,1))</f>
        <v>286.81278534843665</v>
      </c>
      <c r="T94" s="62">
        <f t="shared" si="88"/>
        <v>199.43308683696642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4.75</v>
      </c>
      <c r="AI94" s="14">
        <f>IF('Données projet'!$A$62&gt;35,AI93+AH94-AQ93,IF(A94&lt;'Données projet'!$A$62,$AF$205^A94,IF(A94='Données projet'!$A$62,'Données projet'!$B$62,AI93+AH94-AQ93)))</f>
        <v>158.74999999999991</v>
      </c>
      <c r="AJ94" s="14">
        <f>AI94*VLOOKUP('Données projet'!$B$10,Paramètres!$A$1:$I$88,3,0)*VLOOKUP('Données projet'!$B$10,Paramètres!$A$1:$I$88,5,0)</f>
        <v>160.97249999999991</v>
      </c>
      <c r="AK94" s="14">
        <f t="shared" si="89"/>
        <v>41.061788076805293</v>
      </c>
      <c r="AL94" s="22">
        <f t="shared" si="58"/>
        <v>351.87638506710238</v>
      </c>
      <c r="AM94" s="62">
        <f t="shared" si="59"/>
        <v>645.20971840043569</v>
      </c>
      <c r="AN94" s="62">
        <f ca="1">AVERAGE(OFFSET($AM$3,0,0,'Données projet'!$E$10+1,1))-AVERAGE(OFFSET($H$3,0,0,'Données projet'!$E$10+1,1))</f>
        <v>316.76504852082684</v>
      </c>
      <c r="AO94" s="62">
        <f t="shared" si="90"/>
        <v>218.5520645293999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0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4.75</v>
      </c>
      <c r="BD94" s="13">
        <f>IF('Données projet'!$A$88&gt;35,BD93+BC94-BL93,IF(A94&lt;'Données projet'!$A$88,$BA$205^A94,IF(A94='Données projet'!$A$88,'Données projet'!$B$88,BD93+BC94-BL93)))</f>
        <v>158.74999999999991</v>
      </c>
      <c r="BE94" s="14">
        <f>BD94*VLOOKUP('Données projet'!$B$11,Paramètres!$A$1:$I$88,3,0)*VLOOKUP('Données projet'!$B$11,Paramètres!$A$1:$I$88,5,0)</f>
        <v>138.68399999999994</v>
      </c>
      <c r="BF94" s="14">
        <f t="shared" si="91"/>
        <v>35.995362862956796</v>
      </c>
      <c r="BG94" s="22">
        <f t="shared" si="61"/>
        <v>304.23322365298299</v>
      </c>
      <c r="BH94" s="62">
        <f t="shared" si="62"/>
        <v>597.5665569863163</v>
      </c>
      <c r="BI94" s="62">
        <f ca="1">AVERAGE(OFFSET($BH$3,0,0,'Données projet'!$E$11+1,1))-AVERAGE(OFFSET($H$3,0,0,'Données projet'!$E$11+1,1))</f>
        <v>278.24093386944304</v>
      </c>
      <c r="BJ94" s="62">
        <f t="shared" si="92"/>
        <v>193.96102673885611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0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4.75</v>
      </c>
      <c r="BY94" s="13">
        <f>IF('Données projet'!$A$114&gt;35,BY93+BX94-CG93,IF(A94&lt;'Données projet'!$A$114,$BV$205^A94,IF(A94='Données projet'!$A$114,'Données projet'!$B$114,BY93+BX94-CG93)))</f>
        <v>158.74999999999991</v>
      </c>
      <c r="BZ94" s="14">
        <f>BY94*VLOOKUP('Données projet'!$B$12,Paramètres!$A$1:$I$88,3,0)*VLOOKUP('Données projet'!$B$12,Paramètres!$A$1:$I$88,5,0)</f>
        <v>153.54299999999992</v>
      </c>
      <c r="CA94" s="14">
        <f t="shared" si="93"/>
        <v>39.382647853660117</v>
      </c>
      <c r="CB94" s="22">
        <f t="shared" si="64"/>
        <v>336.01217001179123</v>
      </c>
      <c r="CC94" s="62">
        <f t="shared" si="65"/>
        <v>629.3455033451246</v>
      </c>
      <c r="CD94" s="62">
        <f ca="1">AVERAGE(OFFSET($CC$3,0,0,'Données projet'!$E$12+1,1))-AVERAGE(OFFSET($H$3,0,0,'Données projet'!$E$12+1,1))</f>
        <v>303.93739496872121</v>
      </c>
      <c r="CE94" s="62">
        <f t="shared" si="94"/>
        <v>210.36431469568754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0</v>
      </c>
      <c r="CL94" s="23">
        <f>EXP(-LN(2)/25)*CL93+(1-EXP(-LN(2)/25))/(LN(2)/25)*Calculateur!CG94*Calculateur!CI94*VLOOKUP('Données projet'!$B$12,Paramètres!$A$1:$I$88,3,0)*0.475*44/12</f>
        <v>0</v>
      </c>
      <c r="CM94" s="23">
        <f>EXP(-LN(2)/2)*CM93+(1-EXP(-LN(2)/2))/(LN(2)/2)*CG94*CJ94*VLOOKUP('Données projet'!$B$12,Paramètres!$A$1:$I$88,3,0)*0.475*44/12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projet'!$B$13,Paramètres!$A$1:$I$88,3,0)*VLOOKUP('Données projet'!$B$13,Paramètres!$A$1:$I$88,5,0)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57.812812891099895</v>
      </c>
      <c r="CZ94" s="62">
        <f t="shared" si="96"/>
        <v>244.79885157604684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projet'!$B$13,Paramètres!$A$1:$I$88,3,0)*0.475*44/12</f>
        <v>11.495179965524486</v>
      </c>
      <c r="DG94" s="23">
        <f>EXP(-LN(2)/25)*DG93+(1-EXP(-LN(2)/25))/(LN(2)/25)*Calculateur!DB94*Calculateur!DD94*VLOOKUP('Données projet'!$B$13,Paramètres!$A$1:$I$88,3,0)*0.475*44/12</f>
        <v>0</v>
      </c>
      <c r="DH94" s="23">
        <f>EXP(-LN(2)/2)*DH93+(1-EXP(-LN(2)/2))/(LN(2)/2)*DB94*DE94*VLOOKUP('Données projet'!$B$13,Paramètres!$A$1:$I$88,3,0)*0.475*44/12</f>
        <v>2.6416807526966236E-10</v>
      </c>
      <c r="DI94" s="24">
        <f t="shared" si="69"/>
        <v>11.495179965788653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4.75</v>
      </c>
      <c r="N95" s="14">
        <f>IF('Données projet'!$A$36&gt;35,N94+M95-V94,IF(A95&lt;'Données projet'!$A$36,$K$205^A95,IF(A95='Données projet'!$A$36,'Données projet'!$B$36,N94+M95-V94)))</f>
        <v>163.49999999999991</v>
      </c>
      <c r="O95" s="14">
        <f>N95*VLOOKUP('Données projet'!$B$9,Paramètres!$A$1:$I$88,3,0)*VLOOKUP('Données projet'!$B$9,Paramètres!$A$1:$I$88,5,0)</f>
        <v>147.93479999999991</v>
      </c>
      <c r="P95" s="14">
        <f t="shared" si="87"/>
        <v>38.1088835009256</v>
      </c>
      <c r="Q95" s="22">
        <f t="shared" si="54"/>
        <v>324.02608209744523</v>
      </c>
      <c r="R95" s="62">
        <f t="shared" si="55"/>
        <v>617.35941543077854</v>
      </c>
      <c r="S95" s="62">
        <f ca="1">AVERAGE(OFFSET($R$3,0,0,'Données projet'!$E$9+1,1))-AVERAGE(OFFSET($H$3,0,0,'Données projet'!$E$9+1,1))</f>
        <v>286.81278534843665</v>
      </c>
      <c r="T95" s="62">
        <f t="shared" si="88"/>
        <v>199.43308683696642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4.75</v>
      </c>
      <c r="AI95" s="14">
        <f>IF('Données projet'!$A$62&gt;35,AI94+AH95-AQ94,IF(A95&lt;'Données projet'!$A$62,$AF$205^A95,IF(A95='Données projet'!$A$62,'Données projet'!$B$62,AI94+AH95-AQ94)))</f>
        <v>163.49999999999991</v>
      </c>
      <c r="AJ95" s="14">
        <f>AI95*VLOOKUP('Données projet'!$B$10,Paramètres!$A$1:$I$88,3,0)*VLOOKUP('Données projet'!$B$10,Paramètres!$A$1:$I$88,5,0)</f>
        <v>165.78899999999993</v>
      </c>
      <c r="AK95" s="14">
        <f t="shared" si="89"/>
        <v>42.14552731394938</v>
      </c>
      <c r="AL95" s="22">
        <f t="shared" si="58"/>
        <v>362.15263507179503</v>
      </c>
      <c r="AM95" s="62">
        <f t="shared" si="59"/>
        <v>655.48596840512835</v>
      </c>
      <c r="AN95" s="62">
        <f ca="1">AVERAGE(OFFSET($AM$3,0,0,'Données projet'!$E$10+1,1))-AVERAGE(OFFSET($H$3,0,0,'Données projet'!$E$10+1,1))</f>
        <v>316.76504852082684</v>
      </c>
      <c r="AO95" s="62">
        <f t="shared" si="90"/>
        <v>218.5520645293999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0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4.75</v>
      </c>
      <c r="BD95" s="13">
        <f>IF('Données projet'!$A$88&gt;35,BD94+BC95-BL94,IF(A95&lt;'Données projet'!$A$88,$BA$205^A95,IF(A95='Données projet'!$A$88,'Données projet'!$B$88,BD94+BC95-BL94)))</f>
        <v>163.49999999999991</v>
      </c>
      <c r="BE95" s="14">
        <f>BD95*VLOOKUP('Données projet'!$B$11,Paramètres!$A$1:$I$88,3,0)*VLOOKUP('Données projet'!$B$11,Paramètres!$A$1:$I$88,5,0)</f>
        <v>142.83359999999993</v>
      </c>
      <c r="BF95" s="14">
        <f t="shared" si="91"/>
        <v>36.945384499054541</v>
      </c>
      <c r="BG95" s="22">
        <f t="shared" si="61"/>
        <v>313.11506466918655</v>
      </c>
      <c r="BH95" s="62">
        <f t="shared" si="62"/>
        <v>606.44839800251987</v>
      </c>
      <c r="BI95" s="62">
        <f ca="1">AVERAGE(OFFSET($BH$3,0,0,'Données projet'!$E$11+1,1))-AVERAGE(OFFSET($H$3,0,0,'Données projet'!$E$11+1,1))</f>
        <v>278.24093386944304</v>
      </c>
      <c r="BJ95" s="62">
        <f t="shared" si="92"/>
        <v>193.96102673885611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0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4.75</v>
      </c>
      <c r="BY95" s="13">
        <f>IF('Données projet'!$A$114&gt;35,BY94+BX95-CG94,IF(A95&lt;'Données projet'!$A$114,$BV$205^A95,IF(A95='Données projet'!$A$114,'Données projet'!$B$114,BY94+BX95-CG94)))</f>
        <v>163.49999999999991</v>
      </c>
      <c r="BZ95" s="14">
        <f>BY95*VLOOKUP('Données projet'!$B$12,Paramètres!$A$1:$I$88,3,0)*VLOOKUP('Données projet'!$B$12,Paramètres!$A$1:$I$88,5,0)</f>
        <v>158.13719999999992</v>
      </c>
      <c r="CA95" s="14">
        <f t="shared" si="93"/>
        <v>40.422069728367696</v>
      </c>
      <c r="CB95" s="22">
        <f t="shared" si="64"/>
        <v>345.82406144357356</v>
      </c>
      <c r="CC95" s="62">
        <f t="shared" si="65"/>
        <v>639.15739477690681</v>
      </c>
      <c r="CD95" s="62">
        <f ca="1">AVERAGE(OFFSET($CC$3,0,0,'Données projet'!$E$12+1,1))-AVERAGE(OFFSET($H$3,0,0,'Données projet'!$E$12+1,1))</f>
        <v>303.93739496872121</v>
      </c>
      <c r="CE95" s="62">
        <f t="shared" si="94"/>
        <v>210.36431469568754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0</v>
      </c>
      <c r="CL95" s="23">
        <f>EXP(-LN(2)/25)*CL94+(1-EXP(-LN(2)/25))/(LN(2)/25)*Calculateur!CG95*Calculateur!CI95*VLOOKUP('Données projet'!$B$12,Paramètres!$A$1:$I$88,3,0)*0.475*44/12</f>
        <v>0</v>
      </c>
      <c r="CM95" s="23">
        <f>EXP(-LN(2)/2)*CM94+(1-EXP(-LN(2)/2))/(LN(2)/2)*CG95*CJ95*VLOOKUP('Données projet'!$B$12,Paramètres!$A$1:$I$88,3,0)*0.475*44/12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projet'!$B$13,Paramètres!$A$1:$I$88,3,0)*VLOOKUP('Données projet'!$B$13,Paramètres!$A$1:$I$88,5,0)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57.812812891099895</v>
      </c>
      <c r="CZ95" s="62">
        <f t="shared" si="96"/>
        <v>244.79885157604684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projet'!$B$13,Paramètres!$A$1:$I$88,3,0)*0.475*44/12</f>
        <v>11.269766497768014</v>
      </c>
      <c r="DG95" s="23">
        <f>EXP(-LN(2)/25)*DG94+(1-EXP(-LN(2)/25))/(LN(2)/25)*Calculateur!DB95*Calculateur!DD95*VLOOKUP('Données projet'!$B$13,Paramètres!$A$1:$I$88,3,0)*0.475*44/12</f>
        <v>0</v>
      </c>
      <c r="DH95" s="23">
        <f>EXP(-LN(2)/2)*DH94+(1-EXP(-LN(2)/2))/(LN(2)/2)*DB95*DE95*VLOOKUP('Données projet'!$B$13,Paramètres!$A$1:$I$88,3,0)*0.475*44/12</f>
        <v>1.8679503739617657E-10</v>
      </c>
      <c r="DI95" s="24">
        <f t="shared" si="69"/>
        <v>11.269766497954809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4.75</v>
      </c>
      <c r="N96" s="14">
        <f>IF('Données projet'!$A$36&gt;35,N95+M96-V95,IF(A96&lt;'Données projet'!$A$36,$K$205^A96,IF(A96='Données projet'!$A$36,'Données projet'!$B$36,N95+M96-V95)))</f>
        <v>168.24999999999991</v>
      </c>
      <c r="O96" s="14">
        <f>N96*VLOOKUP('Données projet'!$B$9,Paramètres!$A$1:$I$88,3,0)*VLOOKUP('Données projet'!$B$9,Paramètres!$A$1:$I$88,5,0)</f>
        <v>152.23259999999991</v>
      </c>
      <c r="P96" s="14">
        <f t="shared" si="87"/>
        <v>39.085514892085854</v>
      </c>
      <c r="Q96" s="22">
        <f t="shared" si="54"/>
        <v>333.21238343704937</v>
      </c>
      <c r="R96" s="62">
        <f t="shared" si="55"/>
        <v>626.54571677038268</v>
      </c>
      <c r="S96" s="62">
        <f ca="1">AVERAGE(OFFSET($R$3,0,0,'Données projet'!$E$9+1,1))-AVERAGE(OFFSET($H$3,0,0,'Données projet'!$E$9+1,1))</f>
        <v>286.81278534843665</v>
      </c>
      <c r="T96" s="62">
        <f t="shared" si="88"/>
        <v>199.43308683696642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4.75</v>
      </c>
      <c r="AI96" s="14">
        <f>IF('Données projet'!$A$62&gt;35,AI95+AH96-AQ95,IF(A96&lt;'Données projet'!$A$62,$AF$205^A96,IF(A96='Données projet'!$A$62,'Données projet'!$B$62,AI95+AH96-AQ95)))</f>
        <v>168.24999999999991</v>
      </c>
      <c r="AJ96" s="14">
        <f>AI96*VLOOKUP('Données projet'!$B$10,Paramètres!$A$1:$I$88,3,0)*VLOOKUP('Données projet'!$B$10,Paramètres!$A$1:$I$88,5,0)</f>
        <v>170.60549999999992</v>
      </c>
      <c r="AK96" s="14">
        <f t="shared" si="89"/>
        <v>43.225607368533112</v>
      </c>
      <c r="AL96" s="22">
        <f t="shared" si="58"/>
        <v>372.42251200019501</v>
      </c>
      <c r="AM96" s="62">
        <f t="shared" si="59"/>
        <v>665.75584533352833</v>
      </c>
      <c r="AN96" s="62">
        <f ca="1">AVERAGE(OFFSET($AM$3,0,0,'Données projet'!$E$10+1,1))-AVERAGE(OFFSET($H$3,0,0,'Données projet'!$E$10+1,1))</f>
        <v>316.76504852082684</v>
      </c>
      <c r="AO96" s="62">
        <f t="shared" si="90"/>
        <v>218.5520645293999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0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4.75</v>
      </c>
      <c r="BD96" s="13">
        <f>IF('Données projet'!$A$88&gt;35,BD95+BC96-BL95,IF(A96&lt;'Données projet'!$A$88,$BA$205^A96,IF(A96='Données projet'!$A$88,'Données projet'!$B$88,BD95+BC96-BL95)))</f>
        <v>168.24999999999991</v>
      </c>
      <c r="BE96" s="14">
        <f>BD96*VLOOKUP('Données projet'!$B$11,Paramètres!$A$1:$I$88,3,0)*VLOOKUP('Données projet'!$B$11,Paramètres!$A$1:$I$88,5,0)</f>
        <v>146.98319999999993</v>
      </c>
      <c r="BF96" s="14">
        <f t="shared" si="91"/>
        <v>37.892198442301805</v>
      </c>
      <c r="BG96" s="22">
        <f t="shared" si="61"/>
        <v>321.99131895367549</v>
      </c>
      <c r="BH96" s="62">
        <f t="shared" si="62"/>
        <v>615.3246522870088</v>
      </c>
      <c r="BI96" s="62">
        <f ca="1">AVERAGE(OFFSET($BH$3,0,0,'Données projet'!$E$11+1,1))-AVERAGE(OFFSET($H$3,0,0,'Données projet'!$E$11+1,1))</f>
        <v>278.24093386944304</v>
      </c>
      <c r="BJ96" s="62">
        <f t="shared" si="92"/>
        <v>193.96102673885611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0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4.75</v>
      </c>
      <c r="BY96" s="13">
        <f>IF('Données projet'!$A$114&gt;35,BY95+BX96-CG95,IF(A96&lt;'Données projet'!$A$114,$BV$205^A96,IF(A96='Données projet'!$A$114,'Données projet'!$B$114,BY95+BX96-CG95)))</f>
        <v>168.24999999999991</v>
      </c>
      <c r="BZ96" s="14">
        <f>BY96*VLOOKUP('Données projet'!$B$12,Paramètres!$A$1:$I$88,3,0)*VLOOKUP('Données projet'!$B$12,Paramètres!$A$1:$I$88,5,0)</f>
        <v>162.73139999999992</v>
      </c>
      <c r="CA96" s="14">
        <f t="shared" si="93"/>
        <v>41.457982055514073</v>
      </c>
      <c r="CB96" s="22">
        <f t="shared" si="64"/>
        <v>355.62984041335352</v>
      </c>
      <c r="CC96" s="62">
        <f t="shared" si="65"/>
        <v>648.96317374668683</v>
      </c>
      <c r="CD96" s="62">
        <f ca="1">AVERAGE(OFFSET($CC$3,0,0,'Données projet'!$E$12+1,1))-AVERAGE(OFFSET($H$3,0,0,'Données projet'!$E$12+1,1))</f>
        <v>303.93739496872121</v>
      </c>
      <c r="CE96" s="62">
        <f t="shared" si="94"/>
        <v>210.36431469568754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0</v>
      </c>
      <c r="CL96" s="23">
        <f>EXP(-LN(2)/25)*CL95+(1-EXP(-LN(2)/25))/(LN(2)/25)*Calculateur!CG96*Calculateur!CI96*VLOOKUP('Données projet'!$B$12,Paramètres!$A$1:$I$88,3,0)*0.475*44/12</f>
        <v>0</v>
      </c>
      <c r="CM96" s="23">
        <f>EXP(-LN(2)/2)*CM95+(1-EXP(-LN(2)/2))/(LN(2)/2)*CG96*CJ96*VLOOKUP('Données projet'!$B$12,Paramètres!$A$1:$I$88,3,0)*0.475*44/12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projet'!$B$13,Paramètres!$A$1:$I$88,3,0)*VLOOKUP('Données projet'!$B$13,Paramètres!$A$1:$I$88,5,0)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57.812812891099895</v>
      </c>
      <c r="CZ96" s="62">
        <f t="shared" si="96"/>
        <v>244.79885157604684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projet'!$B$13,Paramètres!$A$1:$I$88,3,0)*0.475*44/12</f>
        <v>11.048773250625608</v>
      </c>
      <c r="DG96" s="23">
        <f>EXP(-LN(2)/25)*DG95+(1-EXP(-LN(2)/25))/(LN(2)/25)*Calculateur!DB96*Calculateur!DD96*VLOOKUP('Données projet'!$B$13,Paramètres!$A$1:$I$88,3,0)*0.475*44/12</f>
        <v>0</v>
      </c>
      <c r="DH96" s="23">
        <f>EXP(-LN(2)/2)*DH95+(1-EXP(-LN(2)/2))/(LN(2)/2)*DB96*DE96*VLOOKUP('Données projet'!$B$13,Paramètres!$A$1:$I$88,3,0)*0.475*44/12</f>
        <v>1.3208403763483118E-10</v>
      </c>
      <c r="DI96" s="24">
        <f t="shared" si="69"/>
        <v>11.048773250757693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4.75</v>
      </c>
      <c r="N97" s="14">
        <f>IF('Données projet'!$A$36&gt;35,N96+M97-V96,IF(A97&lt;'Données projet'!$A$36,$K$205^A97,IF(A97='Données projet'!$A$36,'Données projet'!$B$36,N96+M97-V96)))</f>
        <v>172.99999999999991</v>
      </c>
      <c r="O97" s="14">
        <f>N97*VLOOKUP('Données projet'!$B$9,Paramètres!$A$1:$I$88,3,0)*VLOOKUP('Données projet'!$B$9,Paramètres!$A$1:$I$88,5,0)</f>
        <v>156.53039999999993</v>
      </c>
      <c r="P97" s="14">
        <f t="shared" si="87"/>
        <v>40.058941713182001</v>
      </c>
      <c r="Q97" s="22">
        <f t="shared" si="54"/>
        <v>342.39310348379189</v>
      </c>
      <c r="R97" s="62">
        <f t="shared" si="55"/>
        <v>635.7264368171252</v>
      </c>
      <c r="S97" s="62">
        <f ca="1">AVERAGE(OFFSET($R$3,0,0,'Données projet'!$E$9+1,1))-AVERAGE(OFFSET($H$3,0,0,'Données projet'!$E$9+1,1))</f>
        <v>286.81278534843665</v>
      </c>
      <c r="T97" s="62">
        <f t="shared" si="88"/>
        <v>199.43308683696642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4.75</v>
      </c>
      <c r="AI97" s="14">
        <f>IF('Données projet'!$A$62&gt;35,AI96+AH97-AQ96,IF(A97&lt;'Données projet'!$A$62,$AF$205^A97,IF(A97='Données projet'!$A$62,'Données projet'!$B$62,AI96+AH97-AQ96)))</f>
        <v>172.99999999999991</v>
      </c>
      <c r="AJ97" s="14">
        <f>AI97*VLOOKUP('Données projet'!$B$10,Paramètres!$A$1:$I$88,3,0)*VLOOKUP('Données projet'!$B$10,Paramètres!$A$1:$I$88,5,0)</f>
        <v>175.42199999999991</v>
      </c>
      <c r="AK97" s="14">
        <f t="shared" si="89"/>
        <v>44.302143412304694</v>
      </c>
      <c r="AL97" s="22">
        <f t="shared" si="58"/>
        <v>382.68621644309718</v>
      </c>
      <c r="AM97" s="62">
        <f t="shared" si="59"/>
        <v>676.01954977643049</v>
      </c>
      <c r="AN97" s="62">
        <f ca="1">AVERAGE(OFFSET($AM$3,0,0,'Données projet'!$E$10+1,1))-AVERAGE(OFFSET($H$3,0,0,'Données projet'!$E$10+1,1))</f>
        <v>316.76504852082684</v>
      </c>
      <c r="AO97" s="62">
        <f t="shared" si="90"/>
        <v>218.5520645293999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0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4.75</v>
      </c>
      <c r="BD97" s="13">
        <f>IF('Données projet'!$A$88&gt;35,BD96+BC97-BL96,IF(A97&lt;'Données projet'!$A$88,$BA$205^A97,IF(A97='Données projet'!$A$88,'Données projet'!$B$88,BD96+BC97-BL96)))</f>
        <v>172.99999999999991</v>
      </c>
      <c r="BE97" s="14">
        <f>BD97*VLOOKUP('Données projet'!$B$11,Paramètres!$A$1:$I$88,3,0)*VLOOKUP('Données projet'!$B$11,Paramètres!$A$1:$I$88,5,0)</f>
        <v>151.13279999999995</v>
      </c>
      <c r="BF97" s="14">
        <f t="shared" si="91"/>
        <v>38.835905653934425</v>
      </c>
      <c r="BG97" s="22">
        <f t="shared" si="61"/>
        <v>330.86216234726902</v>
      </c>
      <c r="BH97" s="62">
        <f t="shared" si="62"/>
        <v>624.19549568060233</v>
      </c>
      <c r="BI97" s="62">
        <f ca="1">AVERAGE(OFFSET($BH$3,0,0,'Données projet'!$E$11+1,1))-AVERAGE(OFFSET($H$3,0,0,'Données projet'!$E$11+1,1))</f>
        <v>278.24093386944304</v>
      </c>
      <c r="BJ97" s="62">
        <f t="shared" si="92"/>
        <v>193.96102673885611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0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4.75</v>
      </c>
      <c r="BY97" s="13">
        <f>IF('Données projet'!$A$114&gt;35,BY96+BX97-CG96,IF(A97&lt;'Données projet'!$A$114,$BV$205^A97,IF(A97='Données projet'!$A$114,'Données projet'!$B$114,BY96+BX97-CG96)))</f>
        <v>172.99999999999991</v>
      </c>
      <c r="BZ97" s="14">
        <f>BY97*VLOOKUP('Données projet'!$B$12,Paramètres!$A$1:$I$88,3,0)*VLOOKUP('Données projet'!$B$12,Paramètres!$A$1:$I$88,5,0)</f>
        <v>167.32559999999992</v>
      </c>
      <c r="CA97" s="14">
        <f t="shared" si="93"/>
        <v>42.490495297127609</v>
      </c>
      <c r="CB97" s="22">
        <f t="shared" si="64"/>
        <v>365.42969930916371</v>
      </c>
      <c r="CC97" s="62">
        <f t="shared" si="65"/>
        <v>658.76303264249702</v>
      </c>
      <c r="CD97" s="62">
        <f ca="1">AVERAGE(OFFSET($CC$3,0,0,'Données projet'!$E$12+1,1))-AVERAGE(OFFSET($H$3,0,0,'Données projet'!$E$12+1,1))</f>
        <v>303.93739496872121</v>
      </c>
      <c r="CE97" s="62">
        <f t="shared" si="94"/>
        <v>210.36431469568754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0</v>
      </c>
      <c r="CL97" s="23">
        <f>EXP(-LN(2)/25)*CL96+(1-EXP(-LN(2)/25))/(LN(2)/25)*Calculateur!CG97*Calculateur!CI97*VLOOKUP('Données projet'!$B$12,Paramètres!$A$1:$I$88,3,0)*0.475*44/12</f>
        <v>0</v>
      </c>
      <c r="CM97" s="23">
        <f>EXP(-LN(2)/2)*CM96+(1-EXP(-LN(2)/2))/(LN(2)/2)*CG97*CJ97*VLOOKUP('Données projet'!$B$12,Paramètres!$A$1:$I$88,3,0)*0.475*44/12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projet'!$B$13,Paramètres!$A$1:$I$88,3,0)*VLOOKUP('Données projet'!$B$13,Paramètres!$A$1:$I$88,5,0)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57.812812891099895</v>
      </c>
      <c r="CZ97" s="62">
        <f t="shared" si="96"/>
        <v>244.79885157604684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projet'!$B$13,Paramètres!$A$1:$I$88,3,0)*0.475*44/12</f>
        <v>10.832113546267093</v>
      </c>
      <c r="DG97" s="23">
        <f>EXP(-LN(2)/25)*DG96+(1-EXP(-LN(2)/25))/(LN(2)/25)*Calculateur!DB97*Calculateur!DD97*VLOOKUP('Données projet'!$B$13,Paramètres!$A$1:$I$88,3,0)*0.475*44/12</f>
        <v>0</v>
      </c>
      <c r="DH97" s="23">
        <f>EXP(-LN(2)/2)*DH96+(1-EXP(-LN(2)/2))/(LN(2)/2)*DB97*DE97*VLOOKUP('Données projet'!$B$13,Paramètres!$A$1:$I$88,3,0)*0.475*44/12</f>
        <v>9.3397518698088283E-11</v>
      </c>
      <c r="DI97" s="24">
        <f t="shared" si="69"/>
        <v>10.832113546360491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4.75</v>
      </c>
      <c r="N98" s="14">
        <f>IF('Données projet'!$A$36&gt;35,N97+M98-V97,IF(A98&lt;'Données projet'!$A$36,$K$205^A98,IF(A98='Données projet'!$A$36,'Données projet'!$B$36,N97+M98-V97)))</f>
        <v>177.74999999999991</v>
      </c>
      <c r="O98" s="14">
        <f>N98*VLOOKUP('Données projet'!$B$9,Paramètres!$A$1:$I$88,3,0)*VLOOKUP('Données projet'!$B$9,Paramètres!$A$1:$I$88,5,0)</f>
        <v>160.82819999999992</v>
      </c>
      <c r="P98" s="14">
        <f t="shared" si="87"/>
        <v>41.02926206078601</v>
      </c>
      <c r="Q98" s="22">
        <f t="shared" si="54"/>
        <v>351.56841308920212</v>
      </c>
      <c r="R98" s="62">
        <f t="shared" si="55"/>
        <v>644.90174642253544</v>
      </c>
      <c r="S98" s="62">
        <f ca="1">AVERAGE(OFFSET($R$3,0,0,'Données projet'!$E$9+1,1))-AVERAGE(OFFSET($H$3,0,0,'Données projet'!$E$9+1,1))</f>
        <v>286.81278534843665</v>
      </c>
      <c r="T98" s="62">
        <f t="shared" si="88"/>
        <v>199.43308683696642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4.75</v>
      </c>
      <c r="AI98" s="14">
        <f>IF('Données projet'!$A$62&gt;35,AI97+AH98-AQ97,IF(A98&lt;'Données projet'!$A$62,$AF$205^A98,IF(A98='Données projet'!$A$62,'Données projet'!$B$62,AI97+AH98-AQ97)))</f>
        <v>177.74999999999991</v>
      </c>
      <c r="AJ98" s="14">
        <f>AI98*VLOOKUP('Données projet'!$B$10,Paramètres!$A$1:$I$88,3,0)*VLOOKUP('Données projet'!$B$10,Paramètres!$A$1:$I$88,5,0)</f>
        <v>180.23849999999993</v>
      </c>
      <c r="AK98" s="14">
        <f t="shared" si="89"/>
        <v>45.375243932613408</v>
      </c>
      <c r="AL98" s="22">
        <f t="shared" si="58"/>
        <v>392.94393734930151</v>
      </c>
      <c r="AM98" s="62">
        <f t="shared" si="59"/>
        <v>686.27727068263482</v>
      </c>
      <c r="AN98" s="62">
        <f ca="1">AVERAGE(OFFSET($AM$3,0,0,'Données projet'!$E$10+1,1))-AVERAGE(OFFSET($H$3,0,0,'Données projet'!$E$10+1,1))</f>
        <v>316.76504852082684</v>
      </c>
      <c r="AO98" s="62">
        <f t="shared" si="90"/>
        <v>218.5520645293999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0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4.75</v>
      </c>
      <c r="BD98" s="13">
        <f>IF('Données projet'!$A$88&gt;35,BD97+BC98-BL97,IF(A98&lt;'Données projet'!$A$88,$BA$205^A98,IF(A98='Données projet'!$A$88,'Données projet'!$B$88,BD97+BC98-BL97)))</f>
        <v>177.74999999999991</v>
      </c>
      <c r="BE98" s="14">
        <f>BD98*VLOOKUP('Données projet'!$B$11,Paramètres!$A$1:$I$88,3,0)*VLOOKUP('Données projet'!$B$11,Paramètres!$A$1:$I$88,5,0)</f>
        <v>155.28239999999994</v>
      </c>
      <c r="BF98" s="14">
        <f t="shared" si="91"/>
        <v>39.776601235546408</v>
      </c>
      <c r="BG98" s="22">
        <f t="shared" si="61"/>
        <v>339.72776048524321</v>
      </c>
      <c r="BH98" s="62">
        <f t="shared" si="62"/>
        <v>633.06109381857652</v>
      </c>
      <c r="BI98" s="62">
        <f ca="1">AVERAGE(OFFSET($BH$3,0,0,'Données projet'!$E$11+1,1))-AVERAGE(OFFSET($H$3,0,0,'Données projet'!$E$11+1,1))</f>
        <v>278.24093386944304</v>
      </c>
      <c r="BJ98" s="62">
        <f t="shared" si="92"/>
        <v>193.96102673885611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0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4.75</v>
      </c>
      <c r="BY98" s="13">
        <f>IF('Données projet'!$A$114&gt;35,BY97+BX98-CG97,IF(A98&lt;'Données projet'!$A$114,$BV$205^A98,IF(A98='Données projet'!$A$114,'Données projet'!$B$114,BY97+BX98-CG97)))</f>
        <v>177.74999999999991</v>
      </c>
      <c r="BZ98" s="14">
        <f>BY98*VLOOKUP('Données projet'!$B$12,Paramètres!$A$1:$I$88,3,0)*VLOOKUP('Données projet'!$B$12,Paramètres!$A$1:$I$88,5,0)</f>
        <v>171.91979999999992</v>
      </c>
      <c r="CA98" s="14">
        <f t="shared" si="93"/>
        <v>43.519713504182945</v>
      </c>
      <c r="CB98" s="22">
        <f t="shared" si="64"/>
        <v>375.22381935311847</v>
      </c>
      <c r="CC98" s="62">
        <f t="shared" si="65"/>
        <v>668.55715268645179</v>
      </c>
      <c r="CD98" s="62">
        <f ca="1">AVERAGE(OFFSET($CC$3,0,0,'Données projet'!$E$12+1,1))-AVERAGE(OFFSET($H$3,0,0,'Données projet'!$E$12+1,1))</f>
        <v>303.93739496872121</v>
      </c>
      <c r="CE98" s="62">
        <f t="shared" si="94"/>
        <v>210.36431469568754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0</v>
      </c>
      <c r="CL98" s="23">
        <f>EXP(-LN(2)/25)*CL97+(1-EXP(-LN(2)/25))/(LN(2)/25)*Calculateur!CG98*Calculateur!CI98*VLOOKUP('Données projet'!$B$12,Paramètres!$A$1:$I$88,3,0)*0.475*44/12</f>
        <v>0</v>
      </c>
      <c r="CM98" s="23">
        <f>EXP(-LN(2)/2)*CM97+(1-EXP(-LN(2)/2))/(LN(2)/2)*CG98*CJ98*VLOOKUP('Données projet'!$B$12,Paramètres!$A$1:$I$88,3,0)*0.475*44/12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projet'!$B$13,Paramètres!$A$1:$I$88,3,0)*VLOOKUP('Données projet'!$B$13,Paramètres!$A$1:$I$88,5,0)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57.812812891099895</v>
      </c>
      <c r="CZ98" s="62">
        <f t="shared" si="96"/>
        <v>244.79885157604684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projet'!$B$13,Paramètres!$A$1:$I$88,3,0)*0.475*44/12</f>
        <v>10.619702406561679</v>
      </c>
      <c r="DG98" s="23">
        <f>EXP(-LN(2)/25)*DG97+(1-EXP(-LN(2)/25))/(LN(2)/25)*Calculateur!DB98*Calculateur!DD98*VLOOKUP('Données projet'!$B$13,Paramètres!$A$1:$I$88,3,0)*0.475*44/12</f>
        <v>0</v>
      </c>
      <c r="DH98" s="23">
        <f>EXP(-LN(2)/2)*DH97+(1-EXP(-LN(2)/2))/(LN(2)/2)*DB98*DE98*VLOOKUP('Données projet'!$B$13,Paramètres!$A$1:$I$88,3,0)*0.475*44/12</f>
        <v>6.6042018817415591E-11</v>
      </c>
      <c r="DI98" s="24">
        <f t="shared" si="69"/>
        <v>10.61970240662772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4.75</v>
      </c>
      <c r="N99" s="14">
        <f>IF('Données projet'!$A$36&gt;35,N98+M99-V98,IF(A99&lt;'Données projet'!$A$36,$K$205^A99,IF(A99='Données projet'!$A$36,'Données projet'!$B$36,N98+M99-V98)))</f>
        <v>182.49999999999991</v>
      </c>
      <c r="O99" s="14">
        <f>N99*VLOOKUP('Données projet'!$B$9,Paramètres!$A$1:$I$88,3,0)*VLOOKUP('Données projet'!$B$9,Paramètres!$A$1:$I$88,5,0)</f>
        <v>165.12599999999992</v>
      </c>
      <c r="P99" s="14">
        <f t="shared" si="87"/>
        <v>41.996568490108949</v>
      </c>
      <c r="Q99" s="22">
        <f t="shared" ref="Q99:Q130" si="107">(O99+P99)*0.475*44/12</f>
        <v>360.73847345360628</v>
      </c>
      <c r="R99" s="62">
        <f t="shared" si="55"/>
        <v>654.07180678693953</v>
      </c>
      <c r="S99" s="62">
        <f ca="1">AVERAGE(OFFSET($R$3,0,0,'Données projet'!$E$9+1,1))-AVERAGE(OFFSET($H$3,0,0,'Données projet'!$E$9+1,1))</f>
        <v>286.81278534843665</v>
      </c>
      <c r="T99" s="62">
        <f t="shared" si="88"/>
        <v>199.43308683696642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4.75</v>
      </c>
      <c r="AI99" s="14">
        <f>IF('Données projet'!$A$62&gt;35,AI98+AH99-AQ98,IF(A99&lt;'Données projet'!$A$62,$AF$205^A99,IF(A99='Données projet'!$A$62,'Données projet'!$B$62,AI98+AH99-AQ98)))</f>
        <v>182.49999999999991</v>
      </c>
      <c r="AJ99" s="14">
        <f>AI99*VLOOKUP('Données projet'!$B$10,Paramètres!$A$1:$I$88,3,0)*VLOOKUP('Données projet'!$B$10,Paramètres!$A$1:$I$88,5,0)</f>
        <v>185.05499999999992</v>
      </c>
      <c r="AK99" s="14">
        <f t="shared" si="89"/>
        <v>46.445011288484558</v>
      </c>
      <c r="AL99" s="22">
        <f t="shared" si="58"/>
        <v>403.19585299411045</v>
      </c>
      <c r="AM99" s="62">
        <f t="shared" si="59"/>
        <v>696.52918632744377</v>
      </c>
      <c r="AN99" s="62">
        <f ca="1">AVERAGE(OFFSET($AM$3,0,0,'Données projet'!$E$10+1,1))-AVERAGE(OFFSET($H$3,0,0,'Données projet'!$E$10+1,1))</f>
        <v>316.76504852082684</v>
      </c>
      <c r="AO99" s="62">
        <f t="shared" si="90"/>
        <v>218.5520645293999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0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4.75</v>
      </c>
      <c r="BD99" s="13">
        <f>IF('Données projet'!$A$88&gt;35,BD98+BC99-BL98,IF(A99&lt;'Données projet'!$A$88,$BA$205^A99,IF(A99='Données projet'!$A$88,'Données projet'!$B$88,BD98+BC99-BL98)))</f>
        <v>182.49999999999991</v>
      </c>
      <c r="BE99" s="14">
        <f>BD99*VLOOKUP('Données projet'!$B$11,Paramètres!$A$1:$I$88,3,0)*VLOOKUP('Données projet'!$B$11,Paramètres!$A$1:$I$88,5,0)</f>
        <v>159.43199999999993</v>
      </c>
      <c r="BF99" s="14">
        <f t="shared" si="91"/>
        <v>40.714374916553687</v>
      </c>
      <c r="BG99" s="22">
        <f t="shared" si="61"/>
        <v>348.58826964633084</v>
      </c>
      <c r="BH99" s="62">
        <f t="shared" si="62"/>
        <v>641.92160297966416</v>
      </c>
      <c r="BI99" s="62">
        <f ca="1">AVERAGE(OFFSET($BH$3,0,0,'Données projet'!$E$11+1,1))-AVERAGE(OFFSET($H$3,0,0,'Données projet'!$E$11+1,1))</f>
        <v>278.24093386944304</v>
      </c>
      <c r="BJ99" s="62">
        <f t="shared" si="92"/>
        <v>193.96102673885611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0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4.75</v>
      </c>
      <c r="BY99" s="13">
        <f>IF('Données projet'!$A$114&gt;35,BY98+BX99-CG98,IF(A99&lt;'Données projet'!$A$114,$BV$205^A99,IF(A99='Données projet'!$A$114,'Données projet'!$B$114,BY98+BX99-CG98)))</f>
        <v>182.49999999999991</v>
      </c>
      <c r="BZ99" s="14">
        <f>BY99*VLOOKUP('Données projet'!$B$12,Paramètres!$A$1:$I$88,3,0)*VLOOKUP('Données projet'!$B$12,Paramètres!$A$1:$I$88,5,0)</f>
        <v>176.51399999999992</v>
      </c>
      <c r="CA99" s="14">
        <f t="shared" si="93"/>
        <v>44.545734849936551</v>
      </c>
      <c r="CB99" s="22">
        <f t="shared" si="64"/>
        <v>385.01237153030598</v>
      </c>
      <c r="CC99" s="62">
        <f t="shared" si="65"/>
        <v>678.3457048636393</v>
      </c>
      <c r="CD99" s="62">
        <f ca="1">AVERAGE(OFFSET($CC$3,0,0,'Données projet'!$E$12+1,1))-AVERAGE(OFFSET($H$3,0,0,'Données projet'!$E$12+1,1))</f>
        <v>303.93739496872121</v>
      </c>
      <c r="CE99" s="62">
        <f t="shared" si="94"/>
        <v>210.36431469568754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0</v>
      </c>
      <c r="CL99" s="23">
        <f>EXP(-LN(2)/25)*CL98+(1-EXP(-LN(2)/25))/(LN(2)/25)*Calculateur!CG99*Calculateur!CI99*VLOOKUP('Données projet'!$B$12,Paramètres!$A$1:$I$88,3,0)*0.475*44/12</f>
        <v>0</v>
      </c>
      <c r="CM99" s="23">
        <f>EXP(-LN(2)/2)*CM98+(1-EXP(-LN(2)/2))/(LN(2)/2)*CG99*CJ99*VLOOKUP('Données projet'!$B$12,Paramètres!$A$1:$I$88,3,0)*0.475*44/12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projet'!$B$13,Paramètres!$A$1:$I$88,3,0)*VLOOKUP('Données projet'!$B$13,Paramètres!$A$1:$I$88,5,0)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57.812812891099895</v>
      </c>
      <c r="CZ99" s="62">
        <f t="shared" si="96"/>
        <v>244.79885157604684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projet'!$B$13,Paramètres!$A$1:$I$88,3,0)*0.475*44/12</f>
        <v>10.411456519747885</v>
      </c>
      <c r="DG99" s="23">
        <f>EXP(-LN(2)/25)*DG98+(1-EXP(-LN(2)/25))/(LN(2)/25)*Calculateur!DB99*Calculateur!DD99*VLOOKUP('Données projet'!$B$13,Paramètres!$A$1:$I$88,3,0)*0.475*44/12</f>
        <v>0</v>
      </c>
      <c r="DH99" s="23">
        <f>EXP(-LN(2)/2)*DH98+(1-EXP(-LN(2)/2))/(LN(2)/2)*DB99*DE99*VLOOKUP('Données projet'!$B$13,Paramètres!$A$1:$I$88,3,0)*0.475*44/12</f>
        <v>4.6698759349044142E-11</v>
      </c>
      <c r="DI99" s="24">
        <f t="shared" si="69"/>
        <v>10.411456519794584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4.75</v>
      </c>
      <c r="N100" s="14">
        <f>IF('Données projet'!$A$36&gt;35,N99+M100-V99,IF(A100&lt;'Données projet'!$A$36,$K$205^A100,IF(A100='Données projet'!$A$36,'Données projet'!$B$36,N99+M100-V99)))</f>
        <v>187.24999999999991</v>
      </c>
      <c r="O100" s="14">
        <f>N100*VLOOKUP('Données projet'!$B$9,Paramètres!$A$1:$I$88,3,0)*VLOOKUP('Données projet'!$B$9,Paramètres!$A$1:$I$88,5,0)</f>
        <v>169.42379999999991</v>
      </c>
      <c r="P100" s="14">
        <f t="shared" si="87"/>
        <v>42.960948463994995</v>
      </c>
      <c r="Q100" s="22">
        <f t="shared" si="107"/>
        <v>369.90343690812443</v>
      </c>
      <c r="R100" s="62">
        <f t="shared" si="55"/>
        <v>663.23677024145775</v>
      </c>
      <c r="S100" s="62">
        <f ca="1">AVERAGE(OFFSET($R$3,0,0,'Données projet'!$E$9+1,1))-AVERAGE(OFFSET($H$3,0,0,'Données projet'!$E$9+1,1))</f>
        <v>286.81278534843665</v>
      </c>
      <c r="T100" s="62">
        <f t="shared" si="88"/>
        <v>199.43308683696642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4.75</v>
      </c>
      <c r="AI100" s="14">
        <f>IF('Données projet'!$A$62&gt;35,AI99+AH100-AQ99,IF(A100&lt;'Données projet'!$A$62,$AF$205^A100,IF(A100='Données projet'!$A$62,'Données projet'!$B$62,AI99+AH100-AQ99)))</f>
        <v>187.24999999999991</v>
      </c>
      <c r="AJ100" s="14">
        <f>AI100*VLOOKUP('Données projet'!$B$10,Paramètres!$A$1:$I$88,3,0)*VLOOKUP('Données projet'!$B$10,Paramètres!$A$1:$I$88,5,0)</f>
        <v>189.87149999999994</v>
      </c>
      <c r="AK100" s="14">
        <f t="shared" si="89"/>
        <v>47.511542207173193</v>
      </c>
      <c r="AL100" s="22">
        <f t="shared" si="58"/>
        <v>413.44213184415986</v>
      </c>
      <c r="AM100" s="62">
        <f t="shared" si="59"/>
        <v>706.77546517749317</v>
      </c>
      <c r="AN100" s="62">
        <f ca="1">AVERAGE(OFFSET($AM$3,0,0,'Données projet'!$E$10+1,1))-AVERAGE(OFFSET($H$3,0,0,'Données projet'!$E$10+1,1))</f>
        <v>316.76504852082684</v>
      </c>
      <c r="AO100" s="62">
        <f t="shared" si="90"/>
        <v>218.5520645293999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0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4.75</v>
      </c>
      <c r="BD100" s="13">
        <f>IF('Données projet'!$A$88&gt;35,BD99+BC100-BL99,IF(A100&lt;'Données projet'!$A$88,$BA$205^A100,IF(A100='Données projet'!$A$88,'Données projet'!$B$88,BD99+BC100-BL99)))</f>
        <v>187.24999999999991</v>
      </c>
      <c r="BE100" s="14">
        <f>BD100*VLOOKUP('Données projet'!$B$11,Paramètres!$A$1:$I$88,3,0)*VLOOKUP('Données projet'!$B$11,Paramètres!$A$1:$I$88,5,0)</f>
        <v>163.58159999999995</v>
      </c>
      <c r="BF100" s="14">
        <f t="shared" si="91"/>
        <v>41.649311489480162</v>
      </c>
      <c r="BG100" s="22">
        <f t="shared" si="61"/>
        <v>357.44383751084456</v>
      </c>
      <c r="BH100" s="62">
        <f t="shared" si="62"/>
        <v>650.77717084417782</v>
      </c>
      <c r="BI100" s="62">
        <f ca="1">AVERAGE(OFFSET($BH$3,0,0,'Données projet'!$E$11+1,1))-AVERAGE(OFFSET($H$3,0,0,'Données projet'!$E$11+1,1))</f>
        <v>278.24093386944304</v>
      </c>
      <c r="BJ100" s="62">
        <f t="shared" si="92"/>
        <v>193.96102673885611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0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4.75</v>
      </c>
      <c r="BY100" s="13">
        <f>IF('Données projet'!$A$114&gt;35,BY99+BX100-CG99,IF(A100&lt;'Données projet'!$A$114,$BV$205^A100,IF(A100='Données projet'!$A$114,'Données projet'!$B$114,BY99+BX100-CG99)))</f>
        <v>187.24999999999991</v>
      </c>
      <c r="BZ100" s="14">
        <f>BY100*VLOOKUP('Données projet'!$B$12,Paramètres!$A$1:$I$88,3,0)*VLOOKUP('Données projet'!$B$12,Paramètres!$A$1:$I$88,5,0)</f>
        <v>181.10819999999993</v>
      </c>
      <c r="CA100" s="14">
        <f t="shared" si="93"/>
        <v>45.568652106174667</v>
      </c>
      <c r="CB100" s="22">
        <f t="shared" si="64"/>
        <v>394.79551741825406</v>
      </c>
      <c r="CC100" s="62">
        <f t="shared" si="65"/>
        <v>688.12885075158738</v>
      </c>
      <c r="CD100" s="62">
        <f ca="1">AVERAGE(OFFSET($CC$3,0,0,'Données projet'!$E$12+1,1))-AVERAGE(OFFSET($H$3,0,0,'Données projet'!$E$12+1,1))</f>
        <v>303.93739496872121</v>
      </c>
      <c r="CE100" s="62">
        <f t="shared" si="94"/>
        <v>210.36431469568754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0</v>
      </c>
      <c r="CL100" s="23">
        <f>EXP(-LN(2)/25)*CL99+(1-EXP(-LN(2)/25))/(LN(2)/25)*Calculateur!CG100*Calculateur!CI100*VLOOKUP('Données projet'!$B$12,Paramètres!$A$1:$I$88,3,0)*0.475*44/12</f>
        <v>0</v>
      </c>
      <c r="CM100" s="23">
        <f>EXP(-LN(2)/2)*CM99+(1-EXP(-LN(2)/2))/(LN(2)/2)*CG100*CJ100*VLOOKUP('Données projet'!$B$12,Paramètres!$A$1:$I$88,3,0)*0.475*44/12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projet'!$B$13,Paramètres!$A$1:$I$88,3,0)*VLOOKUP('Données projet'!$B$13,Paramètres!$A$1:$I$88,5,0)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57.812812891099895</v>
      </c>
      <c r="CZ100" s="62">
        <f t="shared" si="96"/>
        <v>244.79885157604684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projet'!$B$13,Paramètres!$A$1:$I$88,3,0)*0.475*44/12</f>
        <v>10.207294207757061</v>
      </c>
      <c r="DG100" s="23">
        <f>EXP(-LN(2)/25)*DG99+(1-EXP(-LN(2)/25))/(LN(2)/25)*Calculateur!DB100*Calculateur!DD100*VLOOKUP('Données projet'!$B$13,Paramètres!$A$1:$I$88,3,0)*0.475*44/12</f>
        <v>0</v>
      </c>
      <c r="DH100" s="23">
        <f>EXP(-LN(2)/2)*DH99+(1-EXP(-LN(2)/2))/(LN(2)/2)*DB100*DE100*VLOOKUP('Données projet'!$B$13,Paramètres!$A$1:$I$88,3,0)*0.475*44/12</f>
        <v>3.3021009408707795E-11</v>
      </c>
      <c r="DI100" s="24">
        <f t="shared" si="69"/>
        <v>10.207294207790081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4.75</v>
      </c>
      <c r="N101" s="14">
        <f>IF('Données projet'!$A$36&gt;35,N100+M101-V100,IF(A101&lt;'Données projet'!$A$36,$K$205^A101,IF(A101='Données projet'!$A$36,'Données projet'!$B$36,N100+M101-V100)))</f>
        <v>191.99999999999991</v>
      </c>
      <c r="O101" s="14">
        <f>N101*VLOOKUP('Données projet'!$B$9,Paramètres!$A$1:$I$88,3,0)*VLOOKUP('Données projet'!$B$9,Paramètres!$A$1:$I$88,5,0)</f>
        <v>173.72159999999991</v>
      </c>
      <c r="P101" s="14">
        <f t="shared" si="87"/>
        <v>43.922484755075111</v>
      </c>
      <c r="Q101" s="22">
        <f t="shared" si="107"/>
        <v>379.06344761508899</v>
      </c>
      <c r="R101" s="62">
        <f t="shared" si="55"/>
        <v>672.39678094842225</v>
      </c>
      <c r="S101" s="62">
        <f ca="1">AVERAGE(OFFSET($R$3,0,0,'Données projet'!$E$9+1,1))-AVERAGE(OFFSET($H$3,0,0,'Données projet'!$E$9+1,1))</f>
        <v>286.81278534843665</v>
      </c>
      <c r="T101" s="62">
        <f t="shared" si="88"/>
        <v>199.43308683696642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4.75</v>
      </c>
      <c r="AI101" s="14">
        <f>IF('Données projet'!$A$62&gt;35,AI100+AH101-AQ100,IF(A101&lt;'Données projet'!$A$62,$AF$205^A101,IF(A101='Données projet'!$A$62,'Données projet'!$B$62,AI100+AH101-AQ100)))</f>
        <v>191.99999999999991</v>
      </c>
      <c r="AJ101" s="14">
        <f>AI101*VLOOKUP('Données projet'!$B$10,Paramètres!$A$1:$I$88,3,0)*VLOOKUP('Données projet'!$B$10,Paramètres!$A$1:$I$88,5,0)</f>
        <v>194.68799999999993</v>
      </c>
      <c r="AK101" s="14">
        <f t="shared" si="89"/>
        <v>48.574928228914978</v>
      </c>
      <c r="AL101" s="22">
        <f t="shared" si="58"/>
        <v>423.68293333202678</v>
      </c>
      <c r="AM101" s="62">
        <f t="shared" si="59"/>
        <v>717.01626666536004</v>
      </c>
      <c r="AN101" s="62">
        <f ca="1">AVERAGE(OFFSET($AM$3,0,0,'Données projet'!$E$10+1,1))-AVERAGE(OFFSET($H$3,0,0,'Données projet'!$E$10+1,1))</f>
        <v>316.76504852082684</v>
      </c>
      <c r="AO101" s="62">
        <f t="shared" si="90"/>
        <v>218.5520645293999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0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4.75</v>
      </c>
      <c r="BD101" s="13">
        <f>IF('Données projet'!$A$88&gt;35,BD100+BC101-BL100,IF(A101&lt;'Données projet'!$A$88,$BA$205^A101,IF(A101='Données projet'!$A$88,'Données projet'!$B$88,BD100+BC101-BL100)))</f>
        <v>191.99999999999991</v>
      </c>
      <c r="BE101" s="14">
        <f>BD101*VLOOKUP('Données projet'!$B$11,Paramètres!$A$1:$I$88,3,0)*VLOOKUP('Données projet'!$B$11,Paramètres!$A$1:$I$88,5,0)</f>
        <v>167.73119999999994</v>
      </c>
      <c r="BF101" s="14">
        <f t="shared" si="91"/>
        <v>42.581491199832655</v>
      </c>
      <c r="BG101" s="22">
        <f t="shared" si="61"/>
        <v>366.29460383970849</v>
      </c>
      <c r="BH101" s="62">
        <f t="shared" si="62"/>
        <v>659.6279371730418</v>
      </c>
      <c r="BI101" s="62">
        <f ca="1">AVERAGE(OFFSET($BH$3,0,0,'Données projet'!$E$11+1,1))-AVERAGE(OFFSET($H$3,0,0,'Données projet'!$E$11+1,1))</f>
        <v>278.24093386944304</v>
      </c>
      <c r="BJ101" s="62">
        <f t="shared" si="92"/>
        <v>193.96102673885611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0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4.75</v>
      </c>
      <c r="BY101" s="13">
        <f>IF('Données projet'!$A$114&gt;35,BY100+BX101-CG100,IF(A101&lt;'Données projet'!$A$114,$BV$205^A101,IF(A101='Données projet'!$A$114,'Données projet'!$B$114,BY100+BX101-CG100)))</f>
        <v>191.99999999999991</v>
      </c>
      <c r="BZ101" s="14">
        <f>BY101*VLOOKUP('Données projet'!$B$12,Paramètres!$A$1:$I$88,3,0)*VLOOKUP('Données projet'!$B$12,Paramètres!$A$1:$I$88,5,0)</f>
        <v>185.70239999999993</v>
      </c>
      <c r="CA101" s="14">
        <f t="shared" si="93"/>
        <v>46.588553069776786</v>
      </c>
      <c r="CB101" s="22">
        <f t="shared" si="64"/>
        <v>404.5734099298611</v>
      </c>
      <c r="CC101" s="62">
        <f t="shared" si="65"/>
        <v>697.90674326319436</v>
      </c>
      <c r="CD101" s="62">
        <f ca="1">AVERAGE(OFFSET($CC$3,0,0,'Données projet'!$E$12+1,1))-AVERAGE(OFFSET($H$3,0,0,'Données projet'!$E$12+1,1))</f>
        <v>303.93739496872121</v>
      </c>
      <c r="CE101" s="62">
        <f t="shared" si="94"/>
        <v>210.36431469568754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0</v>
      </c>
      <c r="CL101" s="23">
        <f>EXP(-LN(2)/25)*CL100+(1-EXP(-LN(2)/25))/(LN(2)/25)*Calculateur!CG101*Calculateur!CI101*VLOOKUP('Données projet'!$B$12,Paramètres!$A$1:$I$88,3,0)*0.475*44/12</f>
        <v>0</v>
      </c>
      <c r="CM101" s="23">
        <f>EXP(-LN(2)/2)*CM100+(1-EXP(-LN(2)/2))/(LN(2)/2)*CG101*CJ101*VLOOKUP('Données projet'!$B$12,Paramètres!$A$1:$I$88,3,0)*0.475*44/12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projet'!$B$13,Paramètres!$A$1:$I$88,3,0)*VLOOKUP('Données projet'!$B$13,Paramètres!$A$1:$I$88,5,0)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57.812812891099895</v>
      </c>
      <c r="CZ101" s="62">
        <f t="shared" si="96"/>
        <v>244.79885157604684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projet'!$B$13,Paramètres!$A$1:$I$88,3,0)*0.475*44/12</f>
        <v>10.007135394177661</v>
      </c>
      <c r="DG101" s="23">
        <f>EXP(-LN(2)/25)*DG100+(1-EXP(-LN(2)/25))/(LN(2)/25)*Calculateur!DB101*Calculateur!DD101*VLOOKUP('Données projet'!$B$13,Paramètres!$A$1:$I$88,3,0)*0.475*44/12</f>
        <v>0</v>
      </c>
      <c r="DH101" s="23">
        <f>EXP(-LN(2)/2)*DH100+(1-EXP(-LN(2)/2))/(LN(2)/2)*DB101*DE101*VLOOKUP('Données projet'!$B$13,Paramètres!$A$1:$I$88,3,0)*0.475*44/12</f>
        <v>2.3349379674522071E-11</v>
      </c>
      <c r="DI101" s="24">
        <f t="shared" si="69"/>
        <v>10.007135394201011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4.75</v>
      </c>
      <c r="N102" s="14">
        <f>IF('Données projet'!$A$36&gt;35,N101+M102-V101,IF(A102&lt;'Données projet'!$A$36,$K$205^A102,IF(A102='Données projet'!$A$36,'Données projet'!$B$36,N101+M102-V101)))</f>
        <v>196.74999999999991</v>
      </c>
      <c r="O102" s="14">
        <f>N102*VLOOKUP('Données projet'!$B$9,Paramètres!$A$1:$I$88,3,0)*VLOOKUP('Données projet'!$B$9,Paramètres!$A$1:$I$88,5,0)</f>
        <v>178.01939999999991</v>
      </c>
      <c r="P102" s="14">
        <f t="shared" si="87"/>
        <v>44.881255807003228</v>
      </c>
      <c r="Q102" s="22">
        <f t="shared" si="107"/>
        <v>388.21864219719714</v>
      </c>
      <c r="R102" s="62">
        <f t="shared" si="55"/>
        <v>681.5519755305304</v>
      </c>
      <c r="S102" s="62">
        <f ca="1">AVERAGE(OFFSET($R$3,0,0,'Données projet'!$E$9+1,1))-AVERAGE(OFFSET($H$3,0,0,'Données projet'!$E$9+1,1))</f>
        <v>286.81278534843665</v>
      </c>
      <c r="T102" s="62">
        <f t="shared" si="88"/>
        <v>199.43308683696642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4.75</v>
      </c>
      <c r="AI102" s="14">
        <f>IF('Données projet'!$A$62&gt;35,AI101+AH102-AQ101,IF(A102&lt;'Données projet'!$A$62,$AF$205^A102,IF(A102='Données projet'!$A$62,'Données projet'!$B$62,AI101+AH102-AQ101)))</f>
        <v>196.74999999999991</v>
      </c>
      <c r="AJ102" s="14">
        <f>AI102*VLOOKUP('Données projet'!$B$10,Paramètres!$A$1:$I$88,3,0)*VLOOKUP('Données projet'!$B$10,Paramètres!$A$1:$I$88,5,0)</f>
        <v>199.50449999999992</v>
      </c>
      <c r="AK102" s="14">
        <f t="shared" si="89"/>
        <v>49.635256106426247</v>
      </c>
      <c r="AL102" s="22">
        <f t="shared" si="58"/>
        <v>433.91840855202554</v>
      </c>
      <c r="AM102" s="62">
        <f t="shared" si="59"/>
        <v>727.2517418853588</v>
      </c>
      <c r="AN102" s="62">
        <f ca="1">AVERAGE(OFFSET($AM$3,0,0,'Données projet'!$E$10+1,1))-AVERAGE(OFFSET($H$3,0,0,'Données projet'!$E$10+1,1))</f>
        <v>316.76504852082684</v>
      </c>
      <c r="AO102" s="62">
        <f t="shared" si="90"/>
        <v>218.5520645293999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0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4.75</v>
      </c>
      <c r="BD102" s="13">
        <f>IF('Données projet'!$A$88&gt;35,BD101+BC102-BL101,IF(A102&lt;'Données projet'!$A$88,$BA$205^A102,IF(A102='Données projet'!$A$88,'Données projet'!$B$88,BD101+BC102-BL101)))</f>
        <v>196.74999999999991</v>
      </c>
      <c r="BE102" s="14">
        <f>BD102*VLOOKUP('Données projet'!$B$11,Paramètres!$A$1:$I$88,3,0)*VLOOKUP('Données projet'!$B$11,Paramètres!$A$1:$I$88,5,0)</f>
        <v>171.88079999999994</v>
      </c>
      <c r="BF102" s="14">
        <f t="shared" si="91"/>
        <v>43.510990096308781</v>
      </c>
      <c r="BG102" s="22">
        <f t="shared" si="61"/>
        <v>375.14070108440433</v>
      </c>
      <c r="BH102" s="62">
        <f t="shared" si="62"/>
        <v>668.47403441773758</v>
      </c>
      <c r="BI102" s="62">
        <f ca="1">AVERAGE(OFFSET($BH$3,0,0,'Données projet'!$E$11+1,1))-AVERAGE(OFFSET($H$3,0,0,'Données projet'!$E$11+1,1))</f>
        <v>278.24093386944304</v>
      </c>
      <c r="BJ102" s="62">
        <f t="shared" si="92"/>
        <v>193.96102673885611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0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4.75</v>
      </c>
      <c r="BY102" s="13">
        <f>IF('Données projet'!$A$114&gt;35,BY101+BX102-CG101,IF(A102&lt;'Données projet'!$A$114,$BV$205^A102,IF(A102='Données projet'!$A$114,'Données projet'!$B$114,BY101+BX102-CG101)))</f>
        <v>196.74999999999991</v>
      </c>
      <c r="BZ102" s="14">
        <f>BY102*VLOOKUP('Données projet'!$B$12,Paramètres!$A$1:$I$88,3,0)*VLOOKUP('Données projet'!$B$12,Paramètres!$A$1:$I$88,5,0)</f>
        <v>190.29659999999993</v>
      </c>
      <c r="CA102" s="14">
        <f t="shared" si="93"/>
        <v>47.605520945879505</v>
      </c>
      <c r="CB102" s="22">
        <f t="shared" si="64"/>
        <v>414.34619398074</v>
      </c>
      <c r="CC102" s="62">
        <f t="shared" si="65"/>
        <v>707.67952731407331</v>
      </c>
      <c r="CD102" s="62">
        <f ca="1">AVERAGE(OFFSET($CC$3,0,0,'Données projet'!$E$12+1,1))-AVERAGE(OFFSET($H$3,0,0,'Données projet'!$E$12+1,1))</f>
        <v>303.93739496872121</v>
      </c>
      <c r="CE102" s="62">
        <f t="shared" si="94"/>
        <v>210.36431469568754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0</v>
      </c>
      <c r="CL102" s="23">
        <f>EXP(-LN(2)/25)*CL101+(1-EXP(-LN(2)/25))/(LN(2)/25)*Calculateur!CG102*Calculateur!CI102*VLOOKUP('Données projet'!$B$12,Paramètres!$A$1:$I$88,3,0)*0.475*44/12</f>
        <v>0</v>
      </c>
      <c r="CM102" s="23">
        <f>EXP(-LN(2)/2)*CM101+(1-EXP(-LN(2)/2))/(LN(2)/2)*CG102*CJ102*VLOOKUP('Données projet'!$B$12,Paramètres!$A$1:$I$88,3,0)*0.475*44/12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projet'!$B$13,Paramètres!$A$1:$I$88,3,0)*VLOOKUP('Données projet'!$B$13,Paramètres!$A$1:$I$88,5,0)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57.812812891099895</v>
      </c>
      <c r="CZ102" s="62">
        <f t="shared" si="96"/>
        <v>244.79885157604684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projet'!$B$13,Paramètres!$A$1:$I$88,3,0)*0.475*44/12</f>
        <v>9.8109015728477331</v>
      </c>
      <c r="DG102" s="23">
        <f>EXP(-LN(2)/25)*DG101+(1-EXP(-LN(2)/25))/(LN(2)/25)*Calculateur!DB102*Calculateur!DD102*VLOOKUP('Données projet'!$B$13,Paramètres!$A$1:$I$88,3,0)*0.475*44/12</f>
        <v>0</v>
      </c>
      <c r="DH102" s="23">
        <f>EXP(-LN(2)/2)*DH101+(1-EXP(-LN(2)/2))/(LN(2)/2)*DB102*DE102*VLOOKUP('Données projet'!$B$13,Paramètres!$A$1:$I$88,3,0)*0.475*44/12</f>
        <v>1.6510504704353898E-11</v>
      </c>
      <c r="DI102" s="24">
        <f t="shared" si="69"/>
        <v>9.8109015728642444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4.75</v>
      </c>
      <c r="N103" s="14">
        <f>IF('Données projet'!$A$36&gt;35,N102+M103-V102,IF(A103&lt;'Données projet'!$A$36,$K$205^A103,IF(A103='Données projet'!$A$36,'Données projet'!$B$36,N102+M103-V102)))</f>
        <v>201.49999999999991</v>
      </c>
      <c r="O103" s="14">
        <f>N103*VLOOKUP('Données projet'!$B$9,Paramètres!$A$1:$I$88,3,0)*VLOOKUP('Données projet'!$B$9,Paramètres!$A$1:$I$88,5,0)</f>
        <v>182.31719999999993</v>
      </c>
      <c r="P103" s="14">
        <f t="shared" si="87"/>
        <v>45.83733605982632</v>
      </c>
      <c r="Q103" s="22">
        <f t="shared" si="107"/>
        <v>397.36915030419732</v>
      </c>
      <c r="R103" s="62">
        <f t="shared" si="55"/>
        <v>690.70248363753058</v>
      </c>
      <c r="S103" s="62">
        <f ca="1">AVERAGE(OFFSET($R$3,0,0,'Données projet'!$E$9+1,1))-AVERAGE(OFFSET($H$3,0,0,'Données projet'!$E$9+1,1))</f>
        <v>286.81278534843665</v>
      </c>
      <c r="T103" s="62">
        <f t="shared" si="88"/>
        <v>199.43308683696642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4.75</v>
      </c>
      <c r="AI103" s="14">
        <f>IF('Données projet'!$A$62&gt;35,AI102+AH103-AQ102,IF(A103&lt;'Données projet'!$A$62,$AF$205^A103,IF(A103='Données projet'!$A$62,'Données projet'!$B$62,AI102+AH103-AQ102)))</f>
        <v>201.49999999999991</v>
      </c>
      <c r="AJ103" s="14">
        <f>AI103*VLOOKUP('Données projet'!$B$10,Paramètres!$A$1:$I$88,3,0)*VLOOKUP('Données projet'!$B$10,Paramètres!$A$1:$I$88,5,0)</f>
        <v>204.32099999999991</v>
      </c>
      <c r="AK103" s="14">
        <f t="shared" si="89"/>
        <v>50.692608164738445</v>
      </c>
      <c r="AL103" s="22">
        <f t="shared" si="58"/>
        <v>444.14870088691924</v>
      </c>
      <c r="AM103" s="62">
        <f t="shared" si="59"/>
        <v>737.48203422025256</v>
      </c>
      <c r="AN103" s="62">
        <f ca="1">AVERAGE(OFFSET($AM$3,0,0,'Données projet'!$E$10+1,1))-AVERAGE(OFFSET($H$3,0,0,'Données projet'!$E$10+1,1))</f>
        <v>316.76504852082684</v>
      </c>
      <c r="AO103" s="62">
        <f t="shared" si="90"/>
        <v>218.5520645293999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0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4.75</v>
      </c>
      <c r="BD103" s="13">
        <f>IF('Données projet'!$A$88&gt;35,BD102+BC103-BL102,IF(A103&lt;'Données projet'!$A$88,$BA$205^A103,IF(A103='Données projet'!$A$88,'Données projet'!$B$88,BD102+BC103-BL102)))</f>
        <v>201.49999999999991</v>
      </c>
      <c r="BE103" s="14">
        <f>BD103*VLOOKUP('Données projet'!$B$11,Paramètres!$A$1:$I$88,3,0)*VLOOKUP('Données projet'!$B$11,Paramètres!$A$1:$I$88,5,0)</f>
        <v>176.03039999999996</v>
      </c>
      <c r="BF103" s="14">
        <f t="shared" si="91"/>
        <v>44.437880346232944</v>
      </c>
      <c r="BG103" s="22">
        <f t="shared" si="61"/>
        <v>383.98225493635567</v>
      </c>
      <c r="BH103" s="62">
        <f t="shared" si="62"/>
        <v>677.31558826968899</v>
      </c>
      <c r="BI103" s="62">
        <f ca="1">AVERAGE(OFFSET($BH$3,0,0,'Données projet'!$E$11+1,1))-AVERAGE(OFFSET($H$3,0,0,'Données projet'!$E$11+1,1))</f>
        <v>278.24093386944304</v>
      </c>
      <c r="BJ103" s="62">
        <f t="shared" si="92"/>
        <v>193.96102673885611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0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4.75</v>
      </c>
      <c r="BY103" s="13">
        <f>IF('Données projet'!$A$114&gt;35,BY102+BX103-CG102,IF(A103&lt;'Données projet'!$A$114,$BV$205^A103,IF(A103='Données projet'!$A$114,'Données projet'!$B$114,BY102+BX103-CG102)))</f>
        <v>201.49999999999991</v>
      </c>
      <c r="BZ103" s="14">
        <f>BY103*VLOOKUP('Données projet'!$B$12,Paramètres!$A$1:$I$88,3,0)*VLOOKUP('Données projet'!$B$12,Paramètres!$A$1:$I$88,5,0)</f>
        <v>194.89079999999993</v>
      </c>
      <c r="CA103" s="14">
        <f t="shared" si="93"/>
        <v>48.619634692995454</v>
      </c>
      <c r="CB103" s="22">
        <f t="shared" si="64"/>
        <v>424.11400709030028</v>
      </c>
      <c r="CC103" s="62">
        <f t="shared" si="65"/>
        <v>717.44734042363359</v>
      </c>
      <c r="CD103" s="62">
        <f ca="1">AVERAGE(OFFSET($CC$3,0,0,'Données projet'!$E$12+1,1))-AVERAGE(OFFSET($H$3,0,0,'Données projet'!$E$12+1,1))</f>
        <v>303.93739496872121</v>
      </c>
      <c r="CE103" s="62">
        <f t="shared" si="94"/>
        <v>210.36431469568754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0</v>
      </c>
      <c r="CL103" s="23">
        <f>EXP(-LN(2)/25)*CL102+(1-EXP(-LN(2)/25))/(LN(2)/25)*Calculateur!CG103*Calculateur!CI103*VLOOKUP('Données projet'!$B$12,Paramètres!$A$1:$I$88,3,0)*0.475*44/12</f>
        <v>0</v>
      </c>
      <c r="CM103" s="23">
        <f>EXP(-LN(2)/2)*CM102+(1-EXP(-LN(2)/2))/(LN(2)/2)*CG103*CJ103*VLOOKUP('Données projet'!$B$12,Paramètres!$A$1:$I$88,3,0)*0.475*44/12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projet'!$B$13,Paramètres!$A$1:$I$88,3,0)*VLOOKUP('Données projet'!$B$13,Paramètres!$A$1:$I$88,5,0)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57.812812891099895</v>
      </c>
      <c r="CZ103" s="62">
        <f t="shared" si="96"/>
        <v>244.79885157604684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projet'!$B$13,Paramètres!$A$1:$I$88,3,0)*0.475*44/12</f>
        <v>9.618515777063271</v>
      </c>
      <c r="DG103" s="23">
        <f>EXP(-LN(2)/25)*DG102+(1-EXP(-LN(2)/25))/(LN(2)/25)*Calculateur!DB103*Calculateur!DD103*VLOOKUP('Données projet'!$B$13,Paramètres!$A$1:$I$88,3,0)*0.475*44/12</f>
        <v>0</v>
      </c>
      <c r="DH103" s="23">
        <f>EXP(-LN(2)/2)*DH102+(1-EXP(-LN(2)/2))/(LN(2)/2)*DB103*DE103*VLOOKUP('Données projet'!$B$13,Paramètres!$A$1:$I$88,3,0)*0.475*44/12</f>
        <v>1.1674689837261035E-11</v>
      </c>
      <c r="DI103" s="24">
        <f t="shared" si="69"/>
        <v>9.6185157770749452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4.75</v>
      </c>
      <c r="N104" s="14">
        <f>IF('Données projet'!$A$36&gt;35,N103+M104-V103,IF(A104&lt;'Données projet'!$A$36,$K$205^A104,IF(A104='Données projet'!$A$36,'Données projet'!$B$36,N103+M104-V103)))</f>
        <v>206.24999999999991</v>
      </c>
      <c r="O104" s="14">
        <f>N104*VLOOKUP('Données projet'!$B$9,Paramètres!$A$1:$I$88,3,0)*VLOOKUP('Données projet'!$B$9,Paramètres!$A$1:$I$88,5,0)</f>
        <v>186.61499999999992</v>
      </c>
      <c r="P104" s="14">
        <f t="shared" si="87"/>
        <v>46.790796243809559</v>
      </c>
      <c r="Q104" s="22">
        <f t="shared" si="107"/>
        <v>406.51509512463485</v>
      </c>
      <c r="R104" s="62">
        <f t="shared" si="55"/>
        <v>699.84842845796811</v>
      </c>
      <c r="S104" s="62">
        <f ca="1">AVERAGE(OFFSET($R$3,0,0,'Données projet'!$E$9+1,1))-AVERAGE(OFFSET($H$3,0,0,'Données projet'!$E$9+1,1))</f>
        <v>286.81278534843665</v>
      </c>
      <c r="T104" s="62">
        <f t="shared" si="88"/>
        <v>199.43308683696642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4.75</v>
      </c>
      <c r="AI104" s="14">
        <f>IF('Données projet'!$A$62&gt;35,AI103+AH104-AQ103,IF(A104&lt;'Données projet'!$A$62,$AF$205^A104,IF(A104='Données projet'!$A$62,'Données projet'!$B$62,AI103+AH104-AQ103)))</f>
        <v>206.24999999999991</v>
      </c>
      <c r="AJ104" s="14">
        <f>AI104*VLOOKUP('Données projet'!$B$10,Paramètres!$A$1:$I$88,3,0)*VLOOKUP('Données projet'!$B$10,Paramètres!$A$1:$I$88,5,0)</f>
        <v>209.13749999999993</v>
      </c>
      <c r="AK104" s="14">
        <f t="shared" si="89"/>
        <v>51.747062626146445</v>
      </c>
      <c r="AL104" s="22">
        <f t="shared" si="58"/>
        <v>454.37394657387154</v>
      </c>
      <c r="AM104" s="62">
        <f t="shared" si="59"/>
        <v>747.70727990720479</v>
      </c>
      <c r="AN104" s="62">
        <f ca="1">AVERAGE(OFFSET($AM$3,0,0,'Données projet'!$E$10+1,1))-AVERAGE(OFFSET($H$3,0,0,'Données projet'!$E$10+1,1))</f>
        <v>316.76504852082684</v>
      </c>
      <c r="AO104" s="62">
        <f t="shared" si="90"/>
        <v>218.5520645293999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0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4.75</v>
      </c>
      <c r="BD104" s="13">
        <f>IF('Données projet'!$A$88&gt;35,BD103+BC104-BL103,IF(A104&lt;'Données projet'!$A$88,$BA$205^A104,IF(A104='Données projet'!$A$88,'Données projet'!$B$88,BD103+BC104-BL103)))</f>
        <v>206.24999999999991</v>
      </c>
      <c r="BE104" s="14">
        <f>BD104*VLOOKUP('Données projet'!$B$11,Paramètres!$A$1:$I$88,3,0)*VLOOKUP('Données projet'!$B$11,Paramètres!$A$1:$I$88,5,0)</f>
        <v>180.17999999999995</v>
      </c>
      <c r="BF104" s="14">
        <f t="shared" si="91"/>
        <v>45.362230520410691</v>
      </c>
      <c r="BG104" s="22">
        <f t="shared" si="61"/>
        <v>392.81938482304849</v>
      </c>
      <c r="BH104" s="62">
        <f t="shared" si="62"/>
        <v>686.15271815638175</v>
      </c>
      <c r="BI104" s="62">
        <f ca="1">AVERAGE(OFFSET($BH$3,0,0,'Données projet'!$E$11+1,1))-AVERAGE(OFFSET($H$3,0,0,'Données projet'!$E$11+1,1))</f>
        <v>278.24093386944304</v>
      </c>
      <c r="BJ104" s="62">
        <f t="shared" si="92"/>
        <v>193.96102673885611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0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4.75</v>
      </c>
      <c r="BY104" s="13">
        <f>IF('Données projet'!$A$114&gt;35,BY103+BX104-CG103,IF(A104&lt;'Données projet'!$A$114,$BV$205^A104,IF(A104='Données projet'!$A$114,'Données projet'!$B$114,BY103+BX104-CG103)))</f>
        <v>206.24999999999991</v>
      </c>
      <c r="BZ104" s="14">
        <f>BY104*VLOOKUP('Données projet'!$B$12,Paramètres!$A$1:$I$88,3,0)*VLOOKUP('Données projet'!$B$12,Paramètres!$A$1:$I$88,5,0)</f>
        <v>199.48499999999993</v>
      </c>
      <c r="CA104" s="14">
        <f t="shared" si="93"/>
        <v>49.630969334674425</v>
      </c>
      <c r="CB104" s="22">
        <f t="shared" si="64"/>
        <v>433.87697992455782</v>
      </c>
      <c r="CC104" s="62">
        <f t="shared" si="65"/>
        <v>727.21031325789113</v>
      </c>
      <c r="CD104" s="62">
        <f ca="1">AVERAGE(OFFSET($CC$3,0,0,'Données projet'!$E$12+1,1))-AVERAGE(OFFSET($H$3,0,0,'Données projet'!$E$12+1,1))</f>
        <v>303.93739496872121</v>
      </c>
      <c r="CE104" s="62">
        <f t="shared" si="94"/>
        <v>210.36431469568754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0</v>
      </c>
      <c r="CL104" s="23">
        <f>EXP(-LN(2)/25)*CL103+(1-EXP(-LN(2)/25))/(LN(2)/25)*Calculateur!CG104*Calculateur!CI104*VLOOKUP('Données projet'!$B$12,Paramètres!$A$1:$I$88,3,0)*0.475*44/12</f>
        <v>0</v>
      </c>
      <c r="CM104" s="23">
        <f>EXP(-LN(2)/2)*CM103+(1-EXP(-LN(2)/2))/(LN(2)/2)*CG104*CJ104*VLOOKUP('Données projet'!$B$12,Paramètres!$A$1:$I$88,3,0)*0.475*44/12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projet'!$B$13,Paramètres!$A$1:$I$88,3,0)*VLOOKUP('Données projet'!$B$13,Paramètres!$A$1:$I$88,5,0)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57.812812891099895</v>
      </c>
      <c r="CZ104" s="62">
        <f t="shared" si="96"/>
        <v>244.79885157604684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projet'!$B$13,Paramètres!$A$1:$I$88,3,0)*0.475*44/12</f>
        <v>9.4299025493903947</v>
      </c>
      <c r="DG104" s="23">
        <f>EXP(-LN(2)/25)*DG103+(1-EXP(-LN(2)/25))/(LN(2)/25)*Calculateur!DB104*Calculateur!DD104*VLOOKUP('Données projet'!$B$13,Paramètres!$A$1:$I$88,3,0)*0.475*44/12</f>
        <v>0</v>
      </c>
      <c r="DH104" s="23">
        <f>EXP(-LN(2)/2)*DH103+(1-EXP(-LN(2)/2))/(LN(2)/2)*DB104*DE104*VLOOKUP('Données projet'!$B$13,Paramètres!$A$1:$I$88,3,0)*0.475*44/12</f>
        <v>8.2552523521769489E-12</v>
      </c>
      <c r="DI104" s="24">
        <f t="shared" si="69"/>
        <v>9.4299025493986495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>
        <f>VLOOKUP(A105,'Données projet'!$A$35:$I$55,2,0)</f>
        <v>211</v>
      </c>
      <c r="L105" s="13">
        <f>VLOOKUP(A105,'Données projet'!$A$35:$I$55,9,0)</f>
        <v>4.75</v>
      </c>
      <c r="M105" s="13">
        <f t="array" ref="M105">INDEX(L:L,MIN(IF(ISNUMBER(L105:L301),ROW(L105:L301),"")))</f>
        <v>4.75</v>
      </c>
      <c r="N105" s="14">
        <f>IF('Données projet'!$A$36&gt;35,N104+M105-V104,IF(A105&lt;'Données projet'!$A$36,$K$205^A105,IF(A105='Données projet'!$A$36,'Données projet'!$B$36,N104+M105-V104)))</f>
        <v>210.99999999999991</v>
      </c>
      <c r="O105" s="14">
        <f>N105*VLOOKUP('Données projet'!$B$9,Paramètres!$A$1:$I$88,3,0)*VLOOKUP('Données projet'!$B$9,Paramètres!$A$1:$I$88,5,0)</f>
        <v>190.91279999999992</v>
      </c>
      <c r="P105" s="14">
        <f t="shared" si="87"/>
        <v>47.741703645431606</v>
      </c>
      <c r="Q105" s="22">
        <f t="shared" si="107"/>
        <v>415.65659384912652</v>
      </c>
      <c r="R105" s="62">
        <f t="shared" si="55"/>
        <v>708.98992718245984</v>
      </c>
      <c r="S105" s="62">
        <f ca="1">AVERAGE(OFFSET($R$3,0,0,'Données projet'!$E$9+1,1))-AVERAGE(OFFSET($H$3,0,0,'Données projet'!$E$9+1,1))</f>
        <v>286.81278534843665</v>
      </c>
      <c r="T105" s="62">
        <f t="shared" si="88"/>
        <v>199.43308683696642</v>
      </c>
      <c r="U105" s="16">
        <f>IF(ISNA(VLOOKUP(A105,'Données projet'!$A$35:$I$55,3,0)),0,VLOOKUP(A105,'Données projet'!$A$35:$I$55,3,0))</f>
        <v>8</v>
      </c>
      <c r="V105" s="16">
        <f>IF(ISNA(VLOOKUP(A105,'Données projet'!$A$35:$I$55,4,0)),0,VLOOKUP(A105,'Données projet'!$A$35:$I$55,4,0))</f>
        <v>41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>
        <f>VLOOKUP(A105,'Données projet'!$A$61:$I$81,2,0)</f>
        <v>211</v>
      </c>
      <c r="AG105" s="13">
        <f>VLOOKUP(A105,'Données projet'!$A$61:$I$81,9,0)</f>
        <v>4.75</v>
      </c>
      <c r="AH105" s="13">
        <f t="array" ref="AH105">INDEX(AG:AG,MIN(IF(ISNUMBER(AG105:AG301),ROW(AG105:AG301),"")))</f>
        <v>4.75</v>
      </c>
      <c r="AI105" s="14">
        <f>IF('Données projet'!$A$62&gt;35,AI104+AH105-AQ104,IF(A105&lt;'Données projet'!$A$62,$AF$205^A105,IF(A105='Données projet'!$A$62,'Données projet'!$B$62,AI104+AH105-AQ104)))</f>
        <v>210.99999999999991</v>
      </c>
      <c r="AJ105" s="14">
        <f>AI105*VLOOKUP('Données projet'!$B$10,Paramètres!$A$1:$I$88,3,0)*VLOOKUP('Données projet'!$B$10,Paramètres!$A$1:$I$88,5,0)</f>
        <v>213.95399999999992</v>
      </c>
      <c r="AK105" s="14">
        <f t="shared" si="89"/>
        <v>52.798693904379121</v>
      </c>
      <c r="AL105" s="22">
        <f t="shared" si="58"/>
        <v>464.59427521679351</v>
      </c>
      <c r="AM105" s="62">
        <f t="shared" si="59"/>
        <v>757.92760855012682</v>
      </c>
      <c r="AN105" s="62">
        <f ca="1">AVERAGE(OFFSET($AM$3,0,0,'Données projet'!$E$10+1,1))-AVERAGE(OFFSET($H$3,0,0,'Données projet'!$E$10+1,1))</f>
        <v>316.76504852082684</v>
      </c>
      <c r="AO105" s="62">
        <f t="shared" si="90"/>
        <v>218.5520645293999</v>
      </c>
      <c r="AP105" s="16">
        <f>IF(ISNA(VLOOKUP(A105,'Données projet'!$A$61:$I$81,3,0)),0,VLOOKUP(A105,'Données projet'!$A$61:$I$81,3,0))</f>
        <v>8</v>
      </c>
      <c r="AQ105" s="16">
        <f>IF(ISNA(VLOOKUP(A105,'Données projet'!$A$61:$I$81,4,0)),0,VLOOKUP(A105,'Données projet'!$A$61:$I$81,4,0))</f>
        <v>41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0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>
        <f>VLOOKUP(A105,'Données projet'!$A$87:$I$107,2,0)</f>
        <v>211</v>
      </c>
      <c r="BB105" s="13">
        <f>VLOOKUP(A105,'Données projet'!$A$87:$I$107,9,0)</f>
        <v>4.75</v>
      </c>
      <c r="BC105" s="13">
        <f t="array" ref="BC105">INDEX(BB:BB,MIN(IF(ISNUMBER(BB105:BB301),ROW(BB105:BB301),"")))</f>
        <v>4.75</v>
      </c>
      <c r="BD105" s="13">
        <f>IF('Données projet'!$A$88&gt;35,BD104+BC105-BL104,IF(A105&lt;'Données projet'!$A$88,$BA$205^A105,IF(A105='Données projet'!$A$88,'Données projet'!$B$88,BD104+BC105-BL104)))</f>
        <v>210.99999999999991</v>
      </c>
      <c r="BE105" s="14">
        <f>BD105*VLOOKUP('Données projet'!$B$11,Paramètres!$A$1:$I$88,3,0)*VLOOKUP('Données projet'!$B$11,Paramètres!$A$1:$I$88,5,0)</f>
        <v>184.32959999999997</v>
      </c>
      <c r="BF105" s="14">
        <f t="shared" si="91"/>
        <v>46.284105851003062</v>
      </c>
      <c r="BG105" s="22">
        <f t="shared" si="61"/>
        <v>401.65220435716355</v>
      </c>
      <c r="BH105" s="62">
        <f t="shared" si="62"/>
        <v>694.98553769049681</v>
      </c>
      <c r="BI105" s="62">
        <f ca="1">AVERAGE(OFFSET($BH$3,0,0,'Données projet'!$E$11+1,1))-AVERAGE(OFFSET($H$3,0,0,'Données projet'!$E$11+1,1))</f>
        <v>278.24093386944304</v>
      </c>
      <c r="BJ105" s="62">
        <f t="shared" si="92"/>
        <v>193.96102673885611</v>
      </c>
      <c r="BK105" s="16">
        <f>IF(ISNA(VLOOKUP(A105,'Données projet'!$A$87:$I$107,3,0)),0,VLOOKUP(A105,'Données projet'!$A$87:$I$107,3,0))</f>
        <v>8</v>
      </c>
      <c r="BL105" s="16">
        <f>IF(ISNA(VLOOKUP(A105,'Données projet'!$A$87:$I$107,4,0)),0,VLOOKUP(A105,'Données projet'!$A$87:$I$107,4,0))</f>
        <v>41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0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>
        <f>VLOOKUP(A105,'Données projet'!$A$113:$I$133,2,0)</f>
        <v>211</v>
      </c>
      <c r="BW105" s="13">
        <f>VLOOKUP(A105,'Données projet'!$A$113:$I$133,9,0)</f>
        <v>4.75</v>
      </c>
      <c r="BX105" s="13">
        <f t="array" ref="BX105">INDEX(BW:BW,MIN(IF(ISNUMBER(BW105:BW301),ROW(BW105:BW301),"")))</f>
        <v>4.75</v>
      </c>
      <c r="BY105" s="13">
        <f>IF('Données projet'!$A$114&gt;35,BY104+BX105-CG104,IF(A105&lt;'Données projet'!$A$114,$BV$205^A105,IF(A105='Données projet'!$A$114,'Données projet'!$B$114,BY104+BX105-CG104)))</f>
        <v>210.99999999999991</v>
      </c>
      <c r="BZ105" s="14">
        <f>BY105*VLOOKUP('Données projet'!$B$12,Paramètres!$A$1:$I$88,3,0)*VLOOKUP('Données projet'!$B$12,Paramètres!$A$1:$I$88,5,0)</f>
        <v>204.0791999999999</v>
      </c>
      <c r="CA105" s="14">
        <f t="shared" si="93"/>
        <v>50.639596241643517</v>
      </c>
      <c r="CB105" s="22">
        <f t="shared" si="64"/>
        <v>443.63523678752887</v>
      </c>
      <c r="CC105" s="62">
        <f t="shared" si="65"/>
        <v>736.96857012086218</v>
      </c>
      <c r="CD105" s="62">
        <f ca="1">AVERAGE(OFFSET($CC$3,0,0,'Données projet'!$E$12+1,1))-AVERAGE(OFFSET($H$3,0,0,'Données projet'!$E$12+1,1))</f>
        <v>303.93739496872121</v>
      </c>
      <c r="CE105" s="62">
        <f t="shared" si="94"/>
        <v>210.36431469568754</v>
      </c>
      <c r="CF105" s="16">
        <f>IF(ISNA(VLOOKUP(A105,'Données projet'!$A$113:$I$133,3,0)),0,VLOOKUP(A105,'Données projet'!$A$113:$I$133,3,0))</f>
        <v>8</v>
      </c>
      <c r="CG105" s="16">
        <f>IF(ISNA(VLOOKUP(A105,'Données projet'!$A$113:$I$133,4,0)),0,VLOOKUP(A105,'Données projet'!$A$113:$I$133,4,0))</f>
        <v>41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0</v>
      </c>
      <c r="CL105" s="23">
        <f>EXP(-LN(2)/25)*CL104+(1-EXP(-LN(2)/25))/(LN(2)/25)*Calculateur!CG105*Calculateur!CI105*VLOOKUP('Données projet'!$B$12,Paramètres!$A$1:$I$88,3,0)*0.475*44/12</f>
        <v>0</v>
      </c>
      <c r="CM105" s="23">
        <f>EXP(-LN(2)/2)*CM104+(1-EXP(-LN(2)/2))/(LN(2)/2)*CG105*CJ105*VLOOKUP('Données projet'!$B$12,Paramètres!$A$1:$I$88,3,0)*0.475*44/12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projet'!$B$13,Paramètres!$A$1:$I$88,3,0)*VLOOKUP('Données projet'!$B$13,Paramètres!$A$1:$I$88,5,0)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57.812812891099895</v>
      </c>
      <c r="CZ105" s="62">
        <f t="shared" si="96"/>
        <v>244.79885157604684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projet'!$B$13,Paramètres!$A$1:$I$88,3,0)*0.475*44/12</f>
        <v>9.2449879120694742</v>
      </c>
      <c r="DG105" s="23">
        <f>EXP(-LN(2)/25)*DG104+(1-EXP(-LN(2)/25))/(LN(2)/25)*Calculateur!DB105*Calculateur!DD105*VLOOKUP('Données projet'!$B$13,Paramètres!$A$1:$I$88,3,0)*0.475*44/12</f>
        <v>0</v>
      </c>
      <c r="DH105" s="23">
        <f>EXP(-LN(2)/2)*DH104+(1-EXP(-LN(2)/2))/(LN(2)/2)*DB105*DE105*VLOOKUP('Données projet'!$B$13,Paramètres!$A$1:$I$88,3,0)*0.475*44/12</f>
        <v>5.8373449186305177E-12</v>
      </c>
      <c r="DI105" s="24">
        <f t="shared" si="69"/>
        <v>9.2449879120753113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4.583333333333333</v>
      </c>
      <c r="N106" s="14">
        <f>IF('Données projet'!$A$36&gt;35,N105+M106-V105,IF(A106&lt;'Données projet'!$A$36,$K$205^A106,IF(A106='Données projet'!$A$36,'Données projet'!$B$36,N105+M106-V105)))</f>
        <v>174.58333333333326</v>
      </c>
      <c r="O106" s="14">
        <f>N106*VLOOKUP('Données projet'!$B$9,Paramètres!$A$1:$I$88,3,0)*VLOOKUP('Données projet'!$B$9,Paramètres!$A$1:$I$88,5,0)</f>
        <v>157.96299999999994</v>
      </c>
      <c r="P106" s="14">
        <f t="shared" si="87"/>
        <v>40.382722312649626</v>
      </c>
      <c r="Q106" s="22">
        <f t="shared" si="107"/>
        <v>345.45213302786465</v>
      </c>
      <c r="R106" s="62">
        <f t="shared" si="55"/>
        <v>638.7854663611979</v>
      </c>
      <c r="S106" s="62">
        <f ca="1">AVERAGE(OFFSET($R$3,0,0,'Données projet'!$E$9+1,1))-AVERAGE(OFFSET($H$3,0,0,'Données projet'!$E$9+1,1))</f>
        <v>286.81278534843665</v>
      </c>
      <c r="T106" s="62">
        <f t="shared" si="88"/>
        <v>199.43308683696642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4.583333333333333</v>
      </c>
      <c r="AI106" s="14">
        <f>IF('Données projet'!$A$62&gt;35,AI105+AH106-AQ105,IF(A106&lt;'Données projet'!$A$62,$AF$205^A106,IF(A106='Données projet'!$A$62,'Données projet'!$B$62,AI105+AH106-AQ105)))</f>
        <v>174.58333333333326</v>
      </c>
      <c r="AJ106" s="14">
        <f>AI106*VLOOKUP('Données projet'!$B$10,Paramètres!$A$1:$I$88,3,0)*VLOOKUP('Données projet'!$B$10,Paramètres!$A$1:$I$88,5,0)</f>
        <v>177.02749999999992</v>
      </c>
      <c r="AK106" s="14">
        <f t="shared" si="89"/>
        <v>44.660220134711423</v>
      </c>
      <c r="AL106" s="22">
        <f t="shared" si="58"/>
        <v>386.10611256795556</v>
      </c>
      <c r="AM106" s="62">
        <f t="shared" si="59"/>
        <v>679.43944590128888</v>
      </c>
      <c r="AN106" s="62">
        <f ca="1">AVERAGE(OFFSET($AM$3,0,0,'Données projet'!$E$10+1,1))-AVERAGE(OFFSET($H$3,0,0,'Données projet'!$E$10+1,1))</f>
        <v>316.76504852082684</v>
      </c>
      <c r="AO106" s="62">
        <f t="shared" si="90"/>
        <v>218.5520645293999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0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4.583333333333333</v>
      </c>
      <c r="BD106" s="13">
        <f>IF('Données projet'!$A$88&gt;35,BD105+BC106-BL105,IF(A106&lt;'Données projet'!$A$88,$BA$205^A106,IF(A106='Données projet'!$A$88,'Données projet'!$B$88,BD105+BC106-BL105)))</f>
        <v>174.58333333333326</v>
      </c>
      <c r="BE106" s="14">
        <f>BD106*VLOOKUP('Données projet'!$B$11,Paramètres!$A$1:$I$88,3,0)*VLOOKUP('Données projet'!$B$11,Paramètres!$A$1:$I$88,5,0)</f>
        <v>152.51599999999996</v>
      </c>
      <c r="BF106" s="14">
        <f t="shared" si="91"/>
        <v>39.149800936129594</v>
      </c>
      <c r="BG106" s="22">
        <f t="shared" si="61"/>
        <v>333.81793663042561</v>
      </c>
      <c r="BH106" s="62">
        <f t="shared" si="62"/>
        <v>627.15126996375898</v>
      </c>
      <c r="BI106" s="62">
        <f ca="1">AVERAGE(OFFSET($BH$3,0,0,'Données projet'!$E$11+1,1))-AVERAGE(OFFSET($H$3,0,0,'Données projet'!$E$11+1,1))</f>
        <v>278.24093386944304</v>
      </c>
      <c r="BJ106" s="62">
        <f t="shared" si="92"/>
        <v>193.96102673885611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0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4.583333333333333</v>
      </c>
      <c r="BY106" s="13">
        <f>IF('Données projet'!$A$114&gt;35,BY105+BX106-CG105,IF(A106&lt;'Données projet'!$A$114,$BV$205^A106,IF(A106='Données projet'!$A$114,'Données projet'!$B$114,BY105+BX106-CG105)))</f>
        <v>174.58333333333326</v>
      </c>
      <c r="BZ106" s="14">
        <f>BY106*VLOOKUP('Données projet'!$B$12,Paramètres!$A$1:$I$88,3,0)*VLOOKUP('Données projet'!$B$12,Paramètres!$A$1:$I$88,5,0)</f>
        <v>168.85699999999994</v>
      </c>
      <c r="CA106" s="14">
        <f t="shared" si="93"/>
        <v>42.833929183561338</v>
      </c>
      <c r="CB106" s="22">
        <f t="shared" si="64"/>
        <v>368.69503499470255</v>
      </c>
      <c r="CC106" s="62">
        <f t="shared" si="65"/>
        <v>662.02836832803587</v>
      </c>
      <c r="CD106" s="62">
        <f ca="1">AVERAGE(OFFSET($CC$3,0,0,'Données projet'!$E$12+1,1))-AVERAGE(OFFSET($H$3,0,0,'Données projet'!$E$12+1,1))</f>
        <v>303.93739496872121</v>
      </c>
      <c r="CE106" s="62">
        <f t="shared" si="94"/>
        <v>210.36431469568754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0</v>
      </c>
      <c r="CL106" s="23">
        <f>EXP(-LN(2)/25)*CL105+(1-EXP(-LN(2)/25))/(LN(2)/25)*Calculateur!CG106*Calculateur!CI106*VLOOKUP('Données projet'!$B$12,Paramètres!$A$1:$I$88,3,0)*0.475*44/12</f>
        <v>0</v>
      </c>
      <c r="CM106" s="23">
        <f>EXP(-LN(2)/2)*CM105+(1-EXP(-LN(2)/2))/(LN(2)/2)*CG106*CJ106*VLOOKUP('Données projet'!$B$12,Paramètres!$A$1:$I$88,3,0)*0.475*44/12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projet'!$B$13,Paramètres!$A$1:$I$88,3,0)*VLOOKUP('Données projet'!$B$13,Paramètres!$A$1:$I$88,5,0)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57.812812891099895</v>
      </c>
      <c r="CZ106" s="62">
        <f t="shared" si="96"/>
        <v>244.79885157604684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projet'!$B$13,Paramètres!$A$1:$I$88,3,0)*0.475*44/12</f>
        <v>9.0636993379996245</v>
      </c>
      <c r="DG106" s="23">
        <f>EXP(-LN(2)/25)*DG105+(1-EXP(-LN(2)/25))/(LN(2)/25)*Calculateur!DB106*Calculateur!DD106*VLOOKUP('Données projet'!$B$13,Paramètres!$A$1:$I$88,3,0)*0.475*44/12</f>
        <v>0</v>
      </c>
      <c r="DH106" s="23">
        <f>EXP(-LN(2)/2)*DH105+(1-EXP(-LN(2)/2))/(LN(2)/2)*DB106*DE106*VLOOKUP('Données projet'!$B$13,Paramètres!$A$1:$I$88,3,0)*0.475*44/12</f>
        <v>4.1276261760884744E-12</v>
      </c>
      <c r="DI106" s="24">
        <f t="shared" si="69"/>
        <v>9.0636993380037527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4.583333333333333</v>
      </c>
      <c r="N107" s="14">
        <f>IF('Données projet'!$A$36&gt;35,N106+M107-V106,IF(A107&lt;'Données projet'!$A$36,$K$205^A107,IF(A107='Données projet'!$A$36,'Données projet'!$B$36,N106+M107-V106)))</f>
        <v>179.1666666666666</v>
      </c>
      <c r="O107" s="14">
        <f>N107*VLOOKUP('Données projet'!$B$9,Paramètres!$A$1:$I$88,3,0)*VLOOKUP('Données projet'!$B$9,Paramètres!$A$1:$I$88,5,0)</f>
        <v>162.10999999999993</v>
      </c>
      <c r="P107" s="14">
        <f t="shared" si="87"/>
        <v>41.318068304799873</v>
      </c>
      <c r="Q107" s="22">
        <f t="shared" si="107"/>
        <v>354.30388563085967</v>
      </c>
      <c r="R107" s="62">
        <f t="shared" si="55"/>
        <v>647.63721896419293</v>
      </c>
      <c r="S107" s="62">
        <f ca="1">AVERAGE(OFFSET($R$3,0,0,'Données projet'!$E$9+1,1))-AVERAGE(OFFSET($H$3,0,0,'Données projet'!$E$9+1,1))</f>
        <v>286.81278534843665</v>
      </c>
      <c r="T107" s="62">
        <f t="shared" si="88"/>
        <v>199.43308683696642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4.583333333333333</v>
      </c>
      <c r="AI107" s="14">
        <f>IF('Données projet'!$A$62&gt;35,AI106+AH107-AQ106,IF(A107&lt;'Données projet'!$A$62,$AF$205^A107,IF(A107='Données projet'!$A$62,'Données projet'!$B$62,AI106+AH107-AQ106)))</f>
        <v>179.1666666666666</v>
      </c>
      <c r="AJ107" s="14">
        <f>AI107*VLOOKUP('Données projet'!$B$10,Paramètres!$A$1:$I$88,3,0)*VLOOKUP('Données projet'!$B$10,Paramètres!$A$1:$I$88,5,0)</f>
        <v>181.67499999999995</v>
      </c>
      <c r="AK107" s="14">
        <f t="shared" si="89"/>
        <v>45.694641677373617</v>
      </c>
      <c r="AL107" s="22">
        <f t="shared" si="58"/>
        <v>396.00212592142566</v>
      </c>
      <c r="AM107" s="62">
        <f t="shared" si="59"/>
        <v>689.33545925475892</v>
      </c>
      <c r="AN107" s="62">
        <f ca="1">AVERAGE(OFFSET($AM$3,0,0,'Données projet'!$E$10+1,1))-AVERAGE(OFFSET($H$3,0,0,'Données projet'!$E$10+1,1))</f>
        <v>316.76504852082684</v>
      </c>
      <c r="AO107" s="62">
        <f t="shared" si="90"/>
        <v>218.5520645293999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0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4.583333333333333</v>
      </c>
      <c r="BD107" s="13">
        <f>IF('Données projet'!$A$88&gt;35,BD106+BC107-BL106,IF(A107&lt;'Données projet'!$A$88,$BA$205^A107,IF(A107='Données projet'!$A$88,'Données projet'!$B$88,BD106+BC107-BL106)))</f>
        <v>179.1666666666666</v>
      </c>
      <c r="BE107" s="14">
        <f>BD107*VLOOKUP('Données projet'!$B$11,Paramètres!$A$1:$I$88,3,0)*VLOOKUP('Données projet'!$B$11,Paramètres!$A$1:$I$88,5,0)</f>
        <v>156.51999999999995</v>
      </c>
      <c r="BF107" s="14">
        <f t="shared" si="91"/>
        <v>40.056589961286939</v>
      </c>
      <c r="BG107" s="22">
        <f t="shared" si="61"/>
        <v>342.37089418257466</v>
      </c>
      <c r="BH107" s="62">
        <f t="shared" si="62"/>
        <v>635.70422751590797</v>
      </c>
      <c r="BI107" s="62">
        <f ca="1">AVERAGE(OFFSET($BH$3,0,0,'Données projet'!$E$11+1,1))-AVERAGE(OFFSET($H$3,0,0,'Données projet'!$E$11+1,1))</f>
        <v>278.24093386944304</v>
      </c>
      <c r="BJ107" s="62">
        <f t="shared" si="92"/>
        <v>193.96102673885611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0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4.583333333333333</v>
      </c>
      <c r="BY107" s="13">
        <f>IF('Données projet'!$A$114&gt;35,BY106+BX107-CG106,IF(A107&lt;'Données projet'!$A$114,$BV$205^A107,IF(A107='Données projet'!$A$114,'Données projet'!$B$114,BY106+BX107-CG106)))</f>
        <v>179.1666666666666</v>
      </c>
      <c r="BZ107" s="14">
        <f>BY107*VLOOKUP('Données projet'!$B$12,Paramètres!$A$1:$I$88,3,0)*VLOOKUP('Données projet'!$B$12,Paramètres!$A$1:$I$88,5,0)</f>
        <v>173.28999999999994</v>
      </c>
      <c r="CA107" s="14">
        <f t="shared" si="93"/>
        <v>43.826050112896013</v>
      </c>
      <c r="CB107" s="22">
        <f t="shared" si="64"/>
        <v>378.14378727996041</v>
      </c>
      <c r="CC107" s="62">
        <f t="shared" si="65"/>
        <v>671.47712061329366</v>
      </c>
      <c r="CD107" s="62">
        <f ca="1">AVERAGE(OFFSET($CC$3,0,0,'Données projet'!$E$12+1,1))-AVERAGE(OFFSET($H$3,0,0,'Données projet'!$E$12+1,1))</f>
        <v>303.93739496872121</v>
      </c>
      <c r="CE107" s="62">
        <f t="shared" si="94"/>
        <v>210.36431469568754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0</v>
      </c>
      <c r="CL107" s="23">
        <f>EXP(-LN(2)/25)*CL106+(1-EXP(-LN(2)/25))/(LN(2)/25)*Calculateur!CG107*Calculateur!CI107*VLOOKUP('Données projet'!$B$12,Paramètres!$A$1:$I$88,3,0)*0.475*44/12</f>
        <v>0</v>
      </c>
      <c r="CM107" s="23">
        <f>EXP(-LN(2)/2)*CM106+(1-EXP(-LN(2)/2))/(LN(2)/2)*CG107*CJ107*VLOOKUP('Données projet'!$B$12,Paramètres!$A$1:$I$88,3,0)*0.475*44/12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projet'!$B$13,Paramètres!$A$1:$I$88,3,0)*VLOOKUP('Données projet'!$B$13,Paramètres!$A$1:$I$88,5,0)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57.812812891099895</v>
      </c>
      <c r="CZ107" s="62">
        <f t="shared" si="96"/>
        <v>244.79885157604684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projet'!$B$13,Paramètres!$A$1:$I$88,3,0)*0.475*44/12</f>
        <v>8.8859657222921733</v>
      </c>
      <c r="DG107" s="23">
        <f>EXP(-LN(2)/25)*DG106+(1-EXP(-LN(2)/25))/(LN(2)/25)*Calculateur!DB107*Calculateur!DD107*VLOOKUP('Données projet'!$B$13,Paramètres!$A$1:$I$88,3,0)*0.475*44/12</f>
        <v>0</v>
      </c>
      <c r="DH107" s="23">
        <f>EXP(-LN(2)/2)*DH106+(1-EXP(-LN(2)/2))/(LN(2)/2)*DB107*DE107*VLOOKUP('Données projet'!$B$13,Paramètres!$A$1:$I$88,3,0)*0.475*44/12</f>
        <v>2.9186724593152588E-12</v>
      </c>
      <c r="DI107" s="24">
        <f t="shared" si="69"/>
        <v>8.8859657222950919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4.583333333333333</v>
      </c>
      <c r="N108" s="14">
        <f>IF('Données projet'!$A$36&gt;35,N107+M108-V107,IF(A108&lt;'Données projet'!$A$36,$K$205^A108,IF(A108='Données projet'!$A$36,'Données projet'!$B$36,N107+M108-V107)))</f>
        <v>183.74999999999994</v>
      </c>
      <c r="O108" s="14">
        <f>N108*VLOOKUP('Données projet'!$B$9,Paramètres!$A$1:$I$88,3,0)*VLOOKUP('Données projet'!$B$9,Paramètres!$A$1:$I$88,5,0)</f>
        <v>166.25699999999995</v>
      </c>
      <c r="P108" s="14">
        <f t="shared" si="87"/>
        <v>42.250632963064817</v>
      </c>
      <c r="Q108" s="22">
        <f t="shared" si="107"/>
        <v>363.15079407733782</v>
      </c>
      <c r="R108" s="62">
        <f t="shared" si="55"/>
        <v>656.48412741067114</v>
      </c>
      <c r="S108" s="62">
        <f ca="1">AVERAGE(OFFSET($R$3,0,0,'Données projet'!$E$9+1,1))-AVERAGE(OFFSET($H$3,0,0,'Données projet'!$E$9+1,1))</f>
        <v>286.81278534843665</v>
      </c>
      <c r="T108" s="62">
        <f t="shared" si="88"/>
        <v>199.43308683696642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4.583333333333333</v>
      </c>
      <c r="AI108" s="14">
        <f>IF('Données projet'!$A$62&gt;35,AI107+AH108-AQ107,IF(A108&lt;'Données projet'!$A$62,$AF$205^A108,IF(A108='Données projet'!$A$62,'Données projet'!$B$62,AI107+AH108-AQ107)))</f>
        <v>183.74999999999994</v>
      </c>
      <c r="AJ108" s="14">
        <f>AI108*VLOOKUP('Données projet'!$B$10,Paramètres!$A$1:$I$88,3,0)*VLOOKUP('Données projet'!$B$10,Paramètres!$A$1:$I$88,5,0)</f>
        <v>186.32249999999996</v>
      </c>
      <c r="AK108" s="14">
        <f t="shared" si="89"/>
        <v>46.725987276254116</v>
      </c>
      <c r="AL108" s="22">
        <f t="shared" si="58"/>
        <v>405.89278200614257</v>
      </c>
      <c r="AM108" s="62">
        <f t="shared" si="59"/>
        <v>699.22611533947588</v>
      </c>
      <c r="AN108" s="62">
        <f ca="1">AVERAGE(OFFSET($AM$3,0,0,'Données projet'!$E$10+1,1))-AVERAGE(OFFSET($H$3,0,0,'Données projet'!$E$10+1,1))</f>
        <v>316.76504852082684</v>
      </c>
      <c r="AO108" s="62">
        <f t="shared" si="90"/>
        <v>218.5520645293999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0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4.583333333333333</v>
      </c>
      <c r="BD108" s="13">
        <f>IF('Données projet'!$A$88&gt;35,BD107+BC108-BL107,IF(A108&lt;'Données projet'!$A$88,$BA$205^A108,IF(A108='Données projet'!$A$88,'Données projet'!$B$88,BD107+BC108-BL107)))</f>
        <v>183.74999999999994</v>
      </c>
      <c r="BE108" s="14">
        <f>BD108*VLOOKUP('Données projet'!$B$11,Paramètres!$A$1:$I$88,3,0)*VLOOKUP('Données projet'!$B$11,Paramètres!$A$1:$I$88,5,0)</f>
        <v>160.52399999999997</v>
      </c>
      <c r="BF108" s="14">
        <f t="shared" si="91"/>
        <v>40.960682569221582</v>
      </c>
      <c r="BG108" s="22">
        <f t="shared" si="61"/>
        <v>350.91915547472746</v>
      </c>
      <c r="BH108" s="62">
        <f t="shared" si="62"/>
        <v>644.25248880806078</v>
      </c>
      <c r="BI108" s="62">
        <f ca="1">AVERAGE(OFFSET($BH$3,0,0,'Données projet'!$E$11+1,1))-AVERAGE(OFFSET($H$3,0,0,'Données projet'!$E$11+1,1))</f>
        <v>278.24093386944304</v>
      </c>
      <c r="BJ108" s="62">
        <f t="shared" si="92"/>
        <v>193.96102673885611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0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4.583333333333333</v>
      </c>
      <c r="BY108" s="13">
        <f>IF('Données projet'!$A$114&gt;35,BY107+BX108-CG107,IF(A108&lt;'Données projet'!$A$114,$BV$205^A108,IF(A108='Données projet'!$A$114,'Données projet'!$B$114,BY107+BX108-CG107)))</f>
        <v>183.74999999999994</v>
      </c>
      <c r="BZ108" s="14">
        <f>BY108*VLOOKUP('Données projet'!$B$12,Paramètres!$A$1:$I$88,3,0)*VLOOKUP('Données projet'!$B$12,Paramètres!$A$1:$I$88,5,0)</f>
        <v>177.72299999999996</v>
      </c>
      <c r="CA108" s="14">
        <f t="shared" si="93"/>
        <v>44.815220883057329</v>
      </c>
      <c r="CB108" s="22">
        <f t="shared" si="64"/>
        <v>387.58740137132469</v>
      </c>
      <c r="CC108" s="62">
        <f t="shared" si="65"/>
        <v>680.920734704658</v>
      </c>
      <c r="CD108" s="62">
        <f ca="1">AVERAGE(OFFSET($CC$3,0,0,'Données projet'!$E$12+1,1))-AVERAGE(OFFSET($H$3,0,0,'Données projet'!$E$12+1,1))</f>
        <v>303.93739496872121</v>
      </c>
      <c r="CE108" s="62">
        <f t="shared" si="94"/>
        <v>210.36431469568754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0</v>
      </c>
      <c r="CL108" s="23">
        <f>EXP(-LN(2)/25)*CL107+(1-EXP(-LN(2)/25))/(LN(2)/25)*Calculateur!CG108*Calculateur!CI108*VLOOKUP('Données projet'!$B$12,Paramètres!$A$1:$I$88,3,0)*0.475*44/12</f>
        <v>0</v>
      </c>
      <c r="CM108" s="23">
        <f>EXP(-LN(2)/2)*CM107+(1-EXP(-LN(2)/2))/(LN(2)/2)*CG108*CJ108*VLOOKUP('Données projet'!$B$12,Paramètres!$A$1:$I$88,3,0)*0.475*44/12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projet'!$B$13,Paramètres!$A$1:$I$88,3,0)*VLOOKUP('Données projet'!$B$13,Paramètres!$A$1:$I$88,5,0)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57.812812891099895</v>
      </c>
      <c r="CZ108" s="62">
        <f t="shared" si="96"/>
        <v>244.79885157604684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projet'!$B$13,Paramètres!$A$1:$I$88,3,0)*0.475*44/12</f>
        <v>8.7117173543819426</v>
      </c>
      <c r="DG108" s="23">
        <f>EXP(-LN(2)/25)*DG107+(1-EXP(-LN(2)/25))/(LN(2)/25)*Calculateur!DB108*Calculateur!DD108*VLOOKUP('Données projet'!$B$13,Paramètres!$A$1:$I$88,3,0)*0.475*44/12</f>
        <v>0</v>
      </c>
      <c r="DH108" s="23">
        <f>EXP(-LN(2)/2)*DH107+(1-EXP(-LN(2)/2))/(LN(2)/2)*DB108*DE108*VLOOKUP('Données projet'!$B$13,Paramètres!$A$1:$I$88,3,0)*0.475*44/12</f>
        <v>2.0638130880442372E-12</v>
      </c>
      <c r="DI108" s="24">
        <f t="shared" si="69"/>
        <v>8.7117173543840067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4.583333333333333</v>
      </c>
      <c r="N109" s="14">
        <f>IF('Données projet'!$A$36&gt;35,N108+M109-V108,IF(A109&lt;'Données projet'!$A$36,$K$205^A109,IF(A109='Données projet'!$A$36,'Données projet'!$B$36,N108+M109-V108)))</f>
        <v>188.33333333333329</v>
      </c>
      <c r="O109" s="14">
        <f>N109*VLOOKUP('Données projet'!$B$9,Paramètres!$A$1:$I$88,3,0)*VLOOKUP('Données projet'!$B$9,Paramètres!$A$1:$I$88,5,0)</f>
        <v>170.40399999999994</v>
      </c>
      <c r="P109" s="14">
        <f t="shared" si="87"/>
        <v>43.180493642348132</v>
      </c>
      <c r="Q109" s="22">
        <f t="shared" si="107"/>
        <v>371.99299309375618</v>
      </c>
      <c r="R109" s="62">
        <f t="shared" si="55"/>
        <v>665.3263264270895</v>
      </c>
      <c r="S109" s="62">
        <f ca="1">AVERAGE(OFFSET($R$3,0,0,'Données projet'!$E$9+1,1))-AVERAGE(OFFSET($H$3,0,0,'Données projet'!$E$9+1,1))</f>
        <v>286.81278534843665</v>
      </c>
      <c r="T109" s="62">
        <f t="shared" si="88"/>
        <v>199.43308683696642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4.583333333333333</v>
      </c>
      <c r="AI109" s="14">
        <f>IF('Données projet'!$A$62&gt;35,AI108+AH109-AQ108,IF(A109&lt;'Données projet'!$A$62,$AF$205^A109,IF(A109='Données projet'!$A$62,'Données projet'!$B$62,AI108+AH109-AQ108)))</f>
        <v>188.33333333333329</v>
      </c>
      <c r="AJ109" s="14">
        <f>AI109*VLOOKUP('Données projet'!$B$10,Paramètres!$A$1:$I$88,3,0)*VLOOKUP('Données projet'!$B$10,Paramètres!$A$1:$I$88,5,0)</f>
        <v>190.96999999999997</v>
      </c>
      <c r="AK109" s="14">
        <f t="shared" si="89"/>
        <v>47.754342479994186</v>
      </c>
      <c r="AL109" s="22">
        <f t="shared" si="58"/>
        <v>415.77822981932314</v>
      </c>
      <c r="AM109" s="62">
        <f t="shared" si="59"/>
        <v>709.11156315265646</v>
      </c>
      <c r="AN109" s="62">
        <f ca="1">AVERAGE(OFFSET($AM$3,0,0,'Données projet'!$E$10+1,1))-AVERAGE(OFFSET($H$3,0,0,'Données projet'!$E$10+1,1))</f>
        <v>316.76504852082684</v>
      </c>
      <c r="AO109" s="62">
        <f t="shared" si="90"/>
        <v>218.5520645293999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0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4.583333333333333</v>
      </c>
      <c r="BD109" s="13">
        <f>IF('Données projet'!$A$88&gt;35,BD108+BC109-BL108,IF(A109&lt;'Données projet'!$A$88,$BA$205^A109,IF(A109='Données projet'!$A$88,'Données projet'!$B$88,BD108+BC109-BL108)))</f>
        <v>188.33333333333329</v>
      </c>
      <c r="BE109" s="14">
        <f>BD109*VLOOKUP('Données projet'!$B$11,Paramètres!$A$1:$I$88,3,0)*VLOOKUP('Données projet'!$B$11,Paramètres!$A$1:$I$88,5,0)</f>
        <v>164.52799999999999</v>
      </c>
      <c r="BF109" s="14">
        <f t="shared" si="91"/>
        <v>41.86215375312122</v>
      </c>
      <c r="BG109" s="22">
        <f t="shared" si="61"/>
        <v>359.46285112001942</v>
      </c>
      <c r="BH109" s="62">
        <f t="shared" si="62"/>
        <v>652.79618445335268</v>
      </c>
      <c r="BI109" s="62">
        <f ca="1">AVERAGE(OFFSET($BH$3,0,0,'Données projet'!$E$11+1,1))-AVERAGE(OFFSET($H$3,0,0,'Données projet'!$E$11+1,1))</f>
        <v>278.24093386944304</v>
      </c>
      <c r="BJ109" s="62">
        <f t="shared" si="92"/>
        <v>193.96102673885611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0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4.583333333333333</v>
      </c>
      <c r="BY109" s="13">
        <f>IF('Données projet'!$A$114&gt;35,BY108+BX109-CG108,IF(A109&lt;'Données projet'!$A$114,$BV$205^A109,IF(A109='Données projet'!$A$114,'Données projet'!$B$114,BY108+BX109-CG108)))</f>
        <v>188.33333333333329</v>
      </c>
      <c r="BZ109" s="14">
        <f>BY109*VLOOKUP('Données projet'!$B$12,Paramètres!$A$1:$I$88,3,0)*VLOOKUP('Données projet'!$B$12,Paramètres!$A$1:$I$88,5,0)</f>
        <v>182.15599999999995</v>
      </c>
      <c r="CA109" s="14">
        <f t="shared" si="93"/>
        <v>45.801523544344732</v>
      </c>
      <c r="CB109" s="22">
        <f t="shared" si="64"/>
        <v>397.02602017306691</v>
      </c>
      <c r="CC109" s="62">
        <f t="shared" si="65"/>
        <v>690.35935350640023</v>
      </c>
      <c r="CD109" s="62">
        <f ca="1">AVERAGE(OFFSET($CC$3,0,0,'Données projet'!$E$12+1,1))-AVERAGE(OFFSET($H$3,0,0,'Données projet'!$E$12+1,1))</f>
        <v>303.93739496872121</v>
      </c>
      <c r="CE109" s="62">
        <f t="shared" si="94"/>
        <v>210.36431469568754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0</v>
      </c>
      <c r="CL109" s="23">
        <f>EXP(-LN(2)/25)*CL108+(1-EXP(-LN(2)/25))/(LN(2)/25)*Calculateur!CG109*Calculateur!CI109*VLOOKUP('Données projet'!$B$12,Paramètres!$A$1:$I$88,3,0)*0.475*44/12</f>
        <v>0</v>
      </c>
      <c r="CM109" s="23">
        <f>EXP(-LN(2)/2)*CM108+(1-EXP(-LN(2)/2))/(LN(2)/2)*CG109*CJ109*VLOOKUP('Données projet'!$B$12,Paramètres!$A$1:$I$88,3,0)*0.475*44/12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projet'!$B$13,Paramètres!$A$1:$I$88,3,0)*VLOOKUP('Données projet'!$B$13,Paramètres!$A$1:$I$88,5,0)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57.812812891099895</v>
      </c>
      <c r="CZ109" s="62">
        <f t="shared" si="96"/>
        <v>244.79885157604684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projet'!$B$13,Paramètres!$A$1:$I$88,3,0)*0.475*44/12</f>
        <v>8.5408858906854217</v>
      </c>
      <c r="DG109" s="23">
        <f>EXP(-LN(2)/25)*DG108+(1-EXP(-LN(2)/25))/(LN(2)/25)*Calculateur!DB109*Calculateur!DD109*VLOOKUP('Données projet'!$B$13,Paramètres!$A$1:$I$88,3,0)*0.475*44/12</f>
        <v>0</v>
      </c>
      <c r="DH109" s="23">
        <f>EXP(-LN(2)/2)*DH108+(1-EXP(-LN(2)/2))/(LN(2)/2)*DB109*DE109*VLOOKUP('Données projet'!$B$13,Paramètres!$A$1:$I$88,3,0)*0.475*44/12</f>
        <v>1.4593362296576294E-12</v>
      </c>
      <c r="DI109" s="24">
        <f t="shared" si="69"/>
        <v>8.5408858906868819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4.583333333333333</v>
      </c>
      <c r="N110" s="14">
        <f>IF('Données projet'!$A$36&gt;35,N109+M110-V109,IF(A110&lt;'Données projet'!$A$36,$K$205^A110,IF(A110='Données projet'!$A$36,'Données projet'!$B$36,N109+M110-V109)))</f>
        <v>192.91666666666663</v>
      </c>
      <c r="O110" s="14">
        <f>N110*VLOOKUP('Données projet'!$B$9,Paramètres!$A$1:$I$88,3,0)*VLOOKUP('Données projet'!$B$9,Paramètres!$A$1:$I$88,5,0)</f>
        <v>174.55099999999996</v>
      </c>
      <c r="P110" s="14">
        <f t="shared" si="87"/>
        <v>44.10772371781929</v>
      </c>
      <c r="Q110" s="22">
        <f t="shared" si="107"/>
        <v>380.83061047520181</v>
      </c>
      <c r="R110" s="62">
        <f t="shared" si="55"/>
        <v>674.16394380853512</v>
      </c>
      <c r="S110" s="62">
        <f ca="1">AVERAGE(OFFSET($R$3,0,0,'Données projet'!$E$9+1,1))-AVERAGE(OFFSET($H$3,0,0,'Données projet'!$E$9+1,1))</f>
        <v>286.81278534843665</v>
      </c>
      <c r="T110" s="62">
        <f t="shared" si="88"/>
        <v>199.43308683696642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4.583333333333333</v>
      </c>
      <c r="AI110" s="14">
        <f>IF('Données projet'!$A$62&gt;35,AI109+AH110-AQ109,IF(A110&lt;'Données projet'!$A$62,$AF$205^A110,IF(A110='Données projet'!$A$62,'Données projet'!$B$62,AI109+AH110-AQ109)))</f>
        <v>192.91666666666663</v>
      </c>
      <c r="AJ110" s="14">
        <f>AI110*VLOOKUP('Données projet'!$B$10,Paramètres!$A$1:$I$88,3,0)*VLOOKUP('Données projet'!$B$10,Paramètres!$A$1:$I$88,5,0)</f>
        <v>195.61749999999998</v>
      </c>
      <c r="AK110" s="14">
        <f t="shared" si="89"/>
        <v>48.779788435951872</v>
      </c>
      <c r="AL110" s="22">
        <f t="shared" si="58"/>
        <v>425.65861069261609</v>
      </c>
      <c r="AM110" s="62">
        <f t="shared" si="59"/>
        <v>718.99194402594935</v>
      </c>
      <c r="AN110" s="62">
        <f ca="1">AVERAGE(OFFSET($AM$3,0,0,'Données projet'!$E$10+1,1))-AVERAGE(OFFSET($H$3,0,0,'Données projet'!$E$10+1,1))</f>
        <v>316.76504852082684</v>
      </c>
      <c r="AO110" s="62">
        <f t="shared" si="90"/>
        <v>218.5520645293999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0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4.583333333333333</v>
      </c>
      <c r="BD110" s="13">
        <f>IF('Données projet'!$A$88&gt;35,BD109+BC110-BL109,IF(A110&lt;'Données projet'!$A$88,$BA$205^A110,IF(A110='Données projet'!$A$88,'Données projet'!$B$88,BD109+BC110-BL109)))</f>
        <v>192.91666666666663</v>
      </c>
      <c r="BE110" s="14">
        <f>BD110*VLOOKUP('Données projet'!$B$11,Paramètres!$A$1:$I$88,3,0)*VLOOKUP('Données projet'!$B$11,Paramètres!$A$1:$I$88,5,0)</f>
        <v>168.53199999999998</v>
      </c>
      <c r="BF110" s="14">
        <f t="shared" si="91"/>
        <v>42.761074647944568</v>
      </c>
      <c r="BG110" s="22">
        <f t="shared" si="61"/>
        <v>368.0021050118367</v>
      </c>
      <c r="BH110" s="62">
        <f t="shared" si="62"/>
        <v>661.33543834517002</v>
      </c>
      <c r="BI110" s="62">
        <f ca="1">AVERAGE(OFFSET($BH$3,0,0,'Données projet'!$E$11+1,1))-AVERAGE(OFFSET($H$3,0,0,'Données projet'!$E$11+1,1))</f>
        <v>278.24093386944304</v>
      </c>
      <c r="BJ110" s="62">
        <f t="shared" si="92"/>
        <v>193.96102673885611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0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4.583333333333333</v>
      </c>
      <c r="BY110" s="13">
        <f>IF('Données projet'!$A$114&gt;35,BY109+BX110-CG109,IF(A110&lt;'Données projet'!$A$114,$BV$205^A110,IF(A110='Données projet'!$A$114,'Données projet'!$B$114,BY109+BX110-CG109)))</f>
        <v>192.91666666666663</v>
      </c>
      <c r="BZ110" s="14">
        <f>BY110*VLOOKUP('Données projet'!$B$12,Paramètres!$A$1:$I$88,3,0)*VLOOKUP('Données projet'!$B$12,Paramètres!$A$1:$I$88,5,0)</f>
        <v>186.58899999999997</v>
      </c>
      <c r="CA110" s="14">
        <f t="shared" si="93"/>
        <v>46.785035925756475</v>
      </c>
      <c r="CB110" s="22">
        <f t="shared" si="64"/>
        <v>406.45977923735921</v>
      </c>
      <c r="CC110" s="62">
        <f t="shared" si="65"/>
        <v>699.79311257069253</v>
      </c>
      <c r="CD110" s="62">
        <f ca="1">AVERAGE(OFFSET($CC$3,0,0,'Données projet'!$E$12+1,1))-AVERAGE(OFFSET($H$3,0,0,'Données projet'!$E$12+1,1))</f>
        <v>303.93739496872121</v>
      </c>
      <c r="CE110" s="62">
        <f t="shared" si="94"/>
        <v>210.36431469568754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0</v>
      </c>
      <c r="CL110" s="23">
        <f>EXP(-LN(2)/25)*CL109+(1-EXP(-LN(2)/25))/(LN(2)/25)*Calculateur!CG110*Calculateur!CI110*VLOOKUP('Données projet'!$B$12,Paramètres!$A$1:$I$88,3,0)*0.475*44/12</f>
        <v>0</v>
      </c>
      <c r="CM110" s="23">
        <f>EXP(-LN(2)/2)*CM109+(1-EXP(-LN(2)/2))/(LN(2)/2)*CG110*CJ110*VLOOKUP('Données projet'!$B$12,Paramètres!$A$1:$I$88,3,0)*0.475*44/12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projet'!$B$13,Paramètres!$A$1:$I$88,3,0)*VLOOKUP('Données projet'!$B$13,Paramètres!$A$1:$I$88,5,0)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57.812812891099895</v>
      </c>
      <c r="CZ110" s="62">
        <f t="shared" si="96"/>
        <v>244.79885157604684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projet'!$B$13,Paramètres!$A$1:$I$88,3,0)*0.475*44/12</f>
        <v>8.373404327795086</v>
      </c>
      <c r="DG110" s="23">
        <f>EXP(-LN(2)/25)*DG109+(1-EXP(-LN(2)/25))/(LN(2)/25)*Calculateur!DB110*Calculateur!DD110*VLOOKUP('Données projet'!$B$13,Paramètres!$A$1:$I$88,3,0)*0.475*44/12</f>
        <v>0</v>
      </c>
      <c r="DH110" s="23">
        <f>EXP(-LN(2)/2)*DH109+(1-EXP(-LN(2)/2))/(LN(2)/2)*DB110*DE110*VLOOKUP('Données projet'!$B$13,Paramètres!$A$1:$I$88,3,0)*0.475*44/12</f>
        <v>1.0319065440221186E-12</v>
      </c>
      <c r="DI110" s="24">
        <f t="shared" si="69"/>
        <v>8.3734043277961181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4.583333333333333</v>
      </c>
      <c r="N111" s="14">
        <f>IF('Données projet'!$A$36&gt;35,N110+M111-V110,IF(A111&lt;'Données projet'!$A$36,$K$205^A111,IF(A111='Données projet'!$A$36,'Données projet'!$B$36,N110+M111-V110)))</f>
        <v>197.49999999999997</v>
      </c>
      <c r="O111" s="14">
        <f>N111*VLOOKUP('Données projet'!$B$9,Paramètres!$A$1:$I$88,3,0)*VLOOKUP('Données projet'!$B$9,Paramètres!$A$1:$I$88,5,0)</f>
        <v>178.69799999999995</v>
      </c>
      <c r="P111" s="14">
        <f t="shared" si="87"/>
        <v>45.032392879276927</v>
      </c>
      <c r="Q111" s="22">
        <f t="shared" si="107"/>
        <v>389.66376759807389</v>
      </c>
      <c r="R111" s="62">
        <f t="shared" si="55"/>
        <v>682.9971009314072</v>
      </c>
      <c r="S111" s="62">
        <f ca="1">AVERAGE(OFFSET($R$3,0,0,'Données projet'!$E$9+1,1))-AVERAGE(OFFSET($H$3,0,0,'Données projet'!$E$9+1,1))</f>
        <v>286.81278534843665</v>
      </c>
      <c r="T111" s="62">
        <f t="shared" si="88"/>
        <v>199.43308683696642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4.583333333333333</v>
      </c>
      <c r="AI111" s="14">
        <f>IF('Données projet'!$A$62&gt;35,AI110+AH111-AQ110,IF(A111&lt;'Données projet'!$A$62,$AF$205^A111,IF(A111='Données projet'!$A$62,'Données projet'!$B$62,AI110+AH111-AQ110)))</f>
        <v>197.49999999999997</v>
      </c>
      <c r="AJ111" s="14">
        <f>AI111*VLOOKUP('Données projet'!$B$10,Paramètres!$A$1:$I$88,3,0)*VLOOKUP('Données projet'!$B$10,Paramètres!$A$1:$I$88,5,0)</f>
        <v>200.26500000000001</v>
      </c>
      <c r="AK111" s="14">
        <f t="shared" si="89"/>
        <v>49.802402215745047</v>
      </c>
      <c r="AL111" s="22">
        <f t="shared" si="58"/>
        <v>435.53405885908927</v>
      </c>
      <c r="AM111" s="62">
        <f t="shared" si="59"/>
        <v>728.86739219242259</v>
      </c>
      <c r="AN111" s="62">
        <f ca="1">AVERAGE(OFFSET($AM$3,0,0,'Données projet'!$E$10+1,1))-AVERAGE(OFFSET($H$3,0,0,'Données projet'!$E$10+1,1))</f>
        <v>316.76504852082684</v>
      </c>
      <c r="AO111" s="62">
        <f t="shared" si="90"/>
        <v>218.5520645293999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0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4.583333333333333</v>
      </c>
      <c r="BD111" s="13">
        <f>IF('Données projet'!$A$88&gt;35,BD110+BC111-BL110,IF(A111&lt;'Données projet'!$A$88,$BA$205^A111,IF(A111='Données projet'!$A$88,'Données projet'!$B$88,BD110+BC111-BL110)))</f>
        <v>197.49999999999997</v>
      </c>
      <c r="BE111" s="14">
        <f>BD111*VLOOKUP('Données projet'!$B$11,Paramètres!$A$1:$I$88,3,0)*VLOOKUP('Données projet'!$B$11,Paramètres!$A$1:$I$88,5,0)</f>
        <v>172.536</v>
      </c>
      <c r="BF111" s="14">
        <f t="shared" si="91"/>
        <v>43.657512815796942</v>
      </c>
      <c r="BG111" s="22">
        <f t="shared" si="61"/>
        <v>376.53703482084626</v>
      </c>
      <c r="BH111" s="62">
        <f t="shared" si="62"/>
        <v>669.87036815417957</v>
      </c>
      <c r="BI111" s="62">
        <f ca="1">AVERAGE(OFFSET($BH$3,0,0,'Données projet'!$E$11+1,1))-AVERAGE(OFFSET($H$3,0,0,'Données projet'!$E$11+1,1))</f>
        <v>278.24093386944304</v>
      </c>
      <c r="BJ111" s="62">
        <f t="shared" si="92"/>
        <v>193.96102673885611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0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4.583333333333333</v>
      </c>
      <c r="BY111" s="13">
        <f>IF('Données projet'!$A$114&gt;35,BY110+BX111-CG110,IF(A111&lt;'Données projet'!$A$114,$BV$205^A111,IF(A111='Données projet'!$A$114,'Données projet'!$B$114,BY110+BX111-CG110)))</f>
        <v>197.49999999999997</v>
      </c>
      <c r="BZ111" s="14">
        <f>BY111*VLOOKUP('Données projet'!$B$12,Paramètres!$A$1:$I$88,3,0)*VLOOKUP('Données projet'!$B$12,Paramètres!$A$1:$I$88,5,0)</f>
        <v>191.02199999999996</v>
      </c>
      <c r="CA111" s="14">
        <f t="shared" si="93"/>
        <v>47.76583194721966</v>
      </c>
      <c r="CB111" s="22">
        <f t="shared" si="64"/>
        <v>415.88880730807415</v>
      </c>
      <c r="CC111" s="62">
        <f t="shared" si="65"/>
        <v>709.22214064140746</v>
      </c>
      <c r="CD111" s="62">
        <f ca="1">AVERAGE(OFFSET($CC$3,0,0,'Données projet'!$E$12+1,1))-AVERAGE(OFFSET($H$3,0,0,'Données projet'!$E$12+1,1))</f>
        <v>303.93739496872121</v>
      </c>
      <c r="CE111" s="62">
        <f t="shared" si="94"/>
        <v>210.36431469568754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0</v>
      </c>
      <c r="CL111" s="23">
        <f>EXP(-LN(2)/25)*CL110+(1-EXP(-LN(2)/25))/(LN(2)/25)*Calculateur!CG111*Calculateur!CI111*VLOOKUP('Données projet'!$B$12,Paramètres!$A$1:$I$88,3,0)*0.475*44/12</f>
        <v>0</v>
      </c>
      <c r="CM111" s="23">
        <f>EXP(-LN(2)/2)*CM110+(1-EXP(-LN(2)/2))/(LN(2)/2)*CG111*CJ111*VLOOKUP('Données projet'!$B$12,Paramètres!$A$1:$I$88,3,0)*0.475*44/12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projet'!$B$13,Paramètres!$A$1:$I$88,3,0)*VLOOKUP('Données projet'!$B$13,Paramètres!$A$1:$I$88,5,0)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57.812812891099895</v>
      </c>
      <c r="CZ111" s="62">
        <f t="shared" si="96"/>
        <v>244.79885157604684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projet'!$B$13,Paramètres!$A$1:$I$88,3,0)*0.475*44/12</f>
        <v>8.2092069761993631</v>
      </c>
      <c r="DG111" s="23">
        <f>EXP(-LN(2)/25)*DG110+(1-EXP(-LN(2)/25))/(LN(2)/25)*Calculateur!DB111*Calculateur!DD111*VLOOKUP('Données projet'!$B$13,Paramètres!$A$1:$I$88,3,0)*0.475*44/12</f>
        <v>0</v>
      </c>
      <c r="DH111" s="23">
        <f>EXP(-LN(2)/2)*DH110+(1-EXP(-LN(2)/2))/(LN(2)/2)*DB111*DE111*VLOOKUP('Données projet'!$B$13,Paramètres!$A$1:$I$88,3,0)*0.475*44/12</f>
        <v>7.2966811482881471E-13</v>
      </c>
      <c r="DI111" s="24">
        <f t="shared" si="69"/>
        <v>8.2092069762000932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4.583333333333333</v>
      </c>
      <c r="N112" s="14">
        <f>IF('Données projet'!$A$36&gt;35,N111+M112-V111,IF(A112&lt;'Données projet'!$A$36,$K$205^A112,IF(A112='Données projet'!$A$36,'Données projet'!$B$36,N111+M112-V111)))</f>
        <v>202.08333333333331</v>
      </c>
      <c r="O112" s="14">
        <f>N112*VLOOKUP('Données projet'!$B$9,Paramètres!$A$1:$I$88,3,0)*VLOOKUP('Données projet'!$B$9,Paramètres!$A$1:$I$88,5,0)</f>
        <v>182.84499999999997</v>
      </c>
      <c r="P112" s="14">
        <f t="shared" si="87"/>
        <v>45.954567397416497</v>
      </c>
      <c r="Q112" s="22">
        <f t="shared" si="107"/>
        <v>398.49257988383368</v>
      </c>
      <c r="R112" s="62">
        <f t="shared" si="55"/>
        <v>691.825913217167</v>
      </c>
      <c r="S112" s="62">
        <f ca="1">AVERAGE(OFFSET($R$3,0,0,'Données projet'!$E$9+1,1))-AVERAGE(OFFSET($H$3,0,0,'Données projet'!$E$9+1,1))</f>
        <v>286.81278534843665</v>
      </c>
      <c r="T112" s="62">
        <f t="shared" si="88"/>
        <v>199.43308683696642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4.583333333333333</v>
      </c>
      <c r="AI112" s="14">
        <f>IF('Données projet'!$A$62&gt;35,AI111+AH112-AQ111,IF(A112&lt;'Données projet'!$A$62,$AF$205^A112,IF(A112='Données projet'!$A$62,'Données projet'!$B$62,AI111+AH112-AQ111)))</f>
        <v>202.08333333333331</v>
      </c>
      <c r="AJ112" s="14">
        <f>AI112*VLOOKUP('Données projet'!$B$10,Paramètres!$A$1:$I$88,3,0)*VLOOKUP('Données projet'!$B$10,Paramètres!$A$1:$I$88,5,0)</f>
        <v>204.91249999999999</v>
      </c>
      <c r="AK112" s="14">
        <f t="shared" si="89"/>
        <v>50.822257109723651</v>
      </c>
      <c r="AL112" s="22">
        <f t="shared" si="58"/>
        <v>445.40470196610204</v>
      </c>
      <c r="AM112" s="62">
        <f t="shared" si="59"/>
        <v>738.7380352994353</v>
      </c>
      <c r="AN112" s="62">
        <f ca="1">AVERAGE(OFFSET($AM$3,0,0,'Données projet'!$E$10+1,1))-AVERAGE(OFFSET($H$3,0,0,'Données projet'!$E$10+1,1))</f>
        <v>316.76504852082684</v>
      </c>
      <c r="AO112" s="62">
        <f t="shared" si="90"/>
        <v>218.5520645293999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0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4.583333333333333</v>
      </c>
      <c r="BD112" s="13">
        <f>IF('Données projet'!$A$88&gt;35,BD111+BC112-BL111,IF(A112&lt;'Données projet'!$A$88,$BA$205^A112,IF(A112='Données projet'!$A$88,'Données projet'!$B$88,BD111+BC112-BL111)))</f>
        <v>202.08333333333331</v>
      </c>
      <c r="BE112" s="14">
        <f>BD112*VLOOKUP('Données projet'!$B$11,Paramètres!$A$1:$I$88,3,0)*VLOOKUP('Données projet'!$B$11,Paramètres!$A$1:$I$88,5,0)</f>
        <v>176.54000000000002</v>
      </c>
      <c r="BF112" s="14">
        <f t="shared" si="91"/>
        <v>44.551532504069115</v>
      </c>
      <c r="BG112" s="22">
        <f t="shared" si="61"/>
        <v>385.06775244458709</v>
      </c>
      <c r="BH112" s="62">
        <f t="shared" si="62"/>
        <v>678.40108577792034</v>
      </c>
      <c r="BI112" s="62">
        <f ca="1">AVERAGE(OFFSET($BH$3,0,0,'Données projet'!$E$11+1,1))-AVERAGE(OFFSET($H$3,0,0,'Données projet'!$E$11+1,1))</f>
        <v>278.24093386944304</v>
      </c>
      <c r="BJ112" s="62">
        <f t="shared" si="92"/>
        <v>193.96102673885611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0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4.583333333333333</v>
      </c>
      <c r="BY112" s="13">
        <f>IF('Données projet'!$A$114&gt;35,BY111+BX112-CG111,IF(A112&lt;'Données projet'!$A$114,$BV$205^A112,IF(A112='Données projet'!$A$114,'Données projet'!$B$114,BY111+BX112-CG111)))</f>
        <v>202.08333333333331</v>
      </c>
      <c r="BZ112" s="14">
        <f>BY112*VLOOKUP('Données projet'!$B$12,Paramètres!$A$1:$I$88,3,0)*VLOOKUP('Données projet'!$B$12,Paramètres!$A$1:$I$88,5,0)</f>
        <v>195.45499999999998</v>
      </c>
      <c r="CA112" s="14">
        <f t="shared" si="93"/>
        <v>48.743981902021005</v>
      </c>
      <c r="CB112" s="22">
        <f t="shared" si="64"/>
        <v>425.31322681268654</v>
      </c>
      <c r="CC112" s="62">
        <f t="shared" si="65"/>
        <v>718.64656014601985</v>
      </c>
      <c r="CD112" s="62">
        <f ca="1">AVERAGE(OFFSET($CC$3,0,0,'Données projet'!$E$12+1,1))-AVERAGE(OFFSET($H$3,0,0,'Données projet'!$E$12+1,1))</f>
        <v>303.93739496872121</v>
      </c>
      <c r="CE112" s="62">
        <f t="shared" si="94"/>
        <v>210.36431469568754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0</v>
      </c>
      <c r="CL112" s="23">
        <f>EXP(-LN(2)/25)*CL111+(1-EXP(-LN(2)/25))/(LN(2)/25)*Calculateur!CG112*Calculateur!CI112*VLOOKUP('Données projet'!$B$12,Paramètres!$A$1:$I$88,3,0)*0.475*44/12</f>
        <v>0</v>
      </c>
      <c r="CM112" s="23">
        <f>EXP(-LN(2)/2)*CM111+(1-EXP(-LN(2)/2))/(LN(2)/2)*CG112*CJ112*VLOOKUP('Données projet'!$B$12,Paramètres!$A$1:$I$88,3,0)*0.475*44/12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projet'!$B$13,Paramètres!$A$1:$I$88,3,0)*VLOOKUP('Données projet'!$B$13,Paramètres!$A$1:$I$88,5,0)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57.812812891099895</v>
      </c>
      <c r="CZ112" s="62">
        <f t="shared" si="96"/>
        <v>244.79885157604684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projet'!$B$13,Paramètres!$A$1:$I$88,3,0)*0.475*44/12</f>
        <v>8.0482294345179373</v>
      </c>
      <c r="DG112" s="23">
        <f>EXP(-LN(2)/25)*DG111+(1-EXP(-LN(2)/25))/(LN(2)/25)*Calculateur!DB112*Calculateur!DD112*VLOOKUP('Données projet'!$B$13,Paramètres!$A$1:$I$88,3,0)*0.475*44/12</f>
        <v>0</v>
      </c>
      <c r="DH112" s="23">
        <f>EXP(-LN(2)/2)*DH111+(1-EXP(-LN(2)/2))/(LN(2)/2)*DB112*DE112*VLOOKUP('Données projet'!$B$13,Paramètres!$A$1:$I$88,3,0)*0.475*44/12</f>
        <v>5.159532720110593E-13</v>
      </c>
      <c r="DI112" s="24">
        <f t="shared" si="69"/>
        <v>8.0482294345184524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4.583333333333333</v>
      </c>
      <c r="N113" s="14">
        <f>IF('Données projet'!$A$36&gt;35,N112+M113-V112,IF(A113&lt;'Données projet'!$A$36,$K$205^A113,IF(A113='Données projet'!$A$36,'Données projet'!$B$36,N112+M113-V112)))</f>
        <v>206.66666666666666</v>
      </c>
      <c r="O113" s="14">
        <f>N113*VLOOKUP('Données projet'!$B$9,Paramètres!$A$1:$I$88,3,0)*VLOOKUP('Données projet'!$B$9,Paramètres!$A$1:$I$88,5,0)</f>
        <v>186.99199999999996</v>
      </c>
      <c r="P113" s="14">
        <f t="shared" si="87"/>
        <v>46.87431036526138</v>
      </c>
      <c r="Q113" s="22">
        <f t="shared" si="107"/>
        <v>407.31715721949678</v>
      </c>
      <c r="R113" s="62">
        <f t="shared" si="55"/>
        <v>700.65049055283009</v>
      </c>
      <c r="S113" s="62">
        <f ca="1">AVERAGE(OFFSET($R$3,0,0,'Données projet'!$E$9+1,1))-AVERAGE(OFFSET($H$3,0,0,'Données projet'!$E$9+1,1))</f>
        <v>286.81278534843665</v>
      </c>
      <c r="T113" s="62">
        <f t="shared" si="88"/>
        <v>199.43308683696642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4.583333333333333</v>
      </c>
      <c r="AI113" s="14">
        <f>IF('Données projet'!$A$62&gt;35,AI112+AH113-AQ112,IF(A113&lt;'Données projet'!$A$62,$AF$205^A113,IF(A113='Données projet'!$A$62,'Données projet'!$B$62,AI112+AH113-AQ112)))</f>
        <v>206.66666666666666</v>
      </c>
      <c r="AJ113" s="14">
        <f>AI113*VLOOKUP('Données projet'!$B$10,Paramètres!$A$1:$I$88,3,0)*VLOOKUP('Données projet'!$B$10,Paramètres!$A$1:$I$88,5,0)</f>
        <v>209.56000000000003</v>
      </c>
      <c r="AK113" s="14">
        <f t="shared" si="89"/>
        <v>51.839422893973833</v>
      </c>
      <c r="AL113" s="22">
        <f t="shared" si="58"/>
        <v>455.2706615403377</v>
      </c>
      <c r="AM113" s="62">
        <f t="shared" si="59"/>
        <v>748.60399487367101</v>
      </c>
      <c r="AN113" s="62">
        <f ca="1">AVERAGE(OFFSET($AM$3,0,0,'Données projet'!$E$10+1,1))-AVERAGE(OFFSET($H$3,0,0,'Données projet'!$E$10+1,1))</f>
        <v>316.76504852082684</v>
      </c>
      <c r="AO113" s="62">
        <f t="shared" si="90"/>
        <v>218.5520645293999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0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4.583333333333333</v>
      </c>
      <c r="BD113" s="13">
        <f>IF('Données projet'!$A$88&gt;35,BD112+BC113-BL112,IF(A113&lt;'Données projet'!$A$88,$BA$205^A113,IF(A113='Données projet'!$A$88,'Données projet'!$B$88,BD112+BC113-BL112)))</f>
        <v>206.66666666666666</v>
      </c>
      <c r="BE113" s="14">
        <f>BD113*VLOOKUP('Données projet'!$B$11,Paramètres!$A$1:$I$88,3,0)*VLOOKUP('Données projet'!$B$11,Paramètres!$A$1:$I$88,5,0)</f>
        <v>180.54400000000001</v>
      </c>
      <c r="BF113" s="14">
        <f t="shared" si="91"/>
        <v>45.443194879496765</v>
      </c>
      <c r="BG113" s="22">
        <f t="shared" si="61"/>
        <v>393.59436441512349</v>
      </c>
      <c r="BH113" s="62">
        <f t="shared" si="62"/>
        <v>686.92769774845681</v>
      </c>
      <c r="BI113" s="62">
        <f ca="1">AVERAGE(OFFSET($BH$3,0,0,'Données projet'!$E$11+1,1))-AVERAGE(OFFSET($H$3,0,0,'Données projet'!$E$11+1,1))</f>
        <v>278.24093386944304</v>
      </c>
      <c r="BJ113" s="62">
        <f t="shared" si="92"/>
        <v>193.96102673885611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0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4.583333333333333</v>
      </c>
      <c r="BY113" s="13">
        <f>IF('Données projet'!$A$114&gt;35,BY112+BX113-CG112,IF(A113&lt;'Données projet'!$A$114,$BV$205^A113,IF(A113='Données projet'!$A$114,'Données projet'!$B$114,BY112+BX113-CG112)))</f>
        <v>206.66666666666666</v>
      </c>
      <c r="BZ113" s="14">
        <f>BY113*VLOOKUP('Données projet'!$B$12,Paramètres!$A$1:$I$88,3,0)*VLOOKUP('Données projet'!$B$12,Paramètres!$A$1:$I$88,5,0)</f>
        <v>199.88800000000001</v>
      </c>
      <c r="CA113" s="14">
        <f t="shared" si="93"/>
        <v>49.719552712892401</v>
      </c>
      <c r="CB113" s="22">
        <f t="shared" si="64"/>
        <v>434.73315430828762</v>
      </c>
      <c r="CC113" s="62">
        <f t="shared" si="65"/>
        <v>728.06648764162094</v>
      </c>
      <c r="CD113" s="62">
        <f ca="1">AVERAGE(OFFSET($CC$3,0,0,'Données projet'!$E$12+1,1))-AVERAGE(OFFSET($H$3,0,0,'Données projet'!$E$12+1,1))</f>
        <v>303.93739496872121</v>
      </c>
      <c r="CE113" s="62">
        <f t="shared" si="94"/>
        <v>210.36431469568754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0</v>
      </c>
      <c r="CL113" s="23">
        <f>EXP(-LN(2)/25)*CL112+(1-EXP(-LN(2)/25))/(LN(2)/25)*Calculateur!CG113*Calculateur!CI113*VLOOKUP('Données projet'!$B$12,Paramètres!$A$1:$I$88,3,0)*0.475*44/12</f>
        <v>0</v>
      </c>
      <c r="CM113" s="23">
        <f>EXP(-LN(2)/2)*CM112+(1-EXP(-LN(2)/2))/(LN(2)/2)*CG113*CJ113*VLOOKUP('Données projet'!$B$12,Paramètres!$A$1:$I$88,3,0)*0.475*44/12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projet'!$B$13,Paramètres!$A$1:$I$88,3,0)*VLOOKUP('Données projet'!$B$13,Paramètres!$A$1:$I$88,5,0)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57.812812891099895</v>
      </c>
      <c r="CZ113" s="62">
        <f t="shared" si="96"/>
        <v>244.79885157604684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projet'!$B$13,Paramètres!$A$1:$I$88,3,0)*0.475*44/12</f>
        <v>7.8904085642422785</v>
      </c>
      <c r="DG113" s="23">
        <f>EXP(-LN(2)/25)*DG112+(1-EXP(-LN(2)/25))/(LN(2)/25)*Calculateur!DB113*Calculateur!DD113*VLOOKUP('Données projet'!$B$13,Paramètres!$A$1:$I$88,3,0)*0.475*44/12</f>
        <v>0</v>
      </c>
      <c r="DH113" s="23">
        <f>EXP(-LN(2)/2)*DH112+(1-EXP(-LN(2)/2))/(LN(2)/2)*DB113*DE113*VLOOKUP('Données projet'!$B$13,Paramètres!$A$1:$I$88,3,0)*0.475*44/12</f>
        <v>3.6483405741440736E-13</v>
      </c>
      <c r="DI113" s="24">
        <f t="shared" si="69"/>
        <v>7.8904085642426436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4.583333333333333</v>
      </c>
      <c r="N114" s="14">
        <f>IF('Données projet'!$A$36&gt;35,N113+M114-V113,IF(A114&lt;'Données projet'!$A$36,$K$205^A114,IF(A114='Données projet'!$A$36,'Données projet'!$B$36,N113+M114-V113)))</f>
        <v>211.25</v>
      </c>
      <c r="O114" s="14">
        <f>N114*VLOOKUP('Données projet'!$B$9,Paramètres!$A$1:$I$88,3,0)*VLOOKUP('Données projet'!$B$9,Paramètres!$A$1:$I$88,5,0)</f>
        <v>191.13899999999998</v>
      </c>
      <c r="P114" s="14">
        <f t="shared" si="87"/>
        <v>47.791681917572546</v>
      </c>
      <c r="Q114" s="22">
        <f t="shared" si="107"/>
        <v>416.13760433977217</v>
      </c>
      <c r="R114" s="62">
        <f t="shared" si="55"/>
        <v>709.47093767310548</v>
      </c>
      <c r="S114" s="62">
        <f ca="1">AVERAGE(OFFSET($R$3,0,0,'Données projet'!$E$9+1,1))-AVERAGE(OFFSET($H$3,0,0,'Données projet'!$E$9+1,1))</f>
        <v>286.81278534843665</v>
      </c>
      <c r="T114" s="62">
        <f t="shared" si="88"/>
        <v>199.43308683696642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4.583333333333333</v>
      </c>
      <c r="AI114" s="14">
        <f>IF('Données projet'!$A$62&gt;35,AI113+AH114-AQ113,IF(A114&lt;'Données projet'!$A$62,$AF$205^A114,IF(A114='Données projet'!$A$62,'Données projet'!$B$62,AI113+AH114-AQ113)))</f>
        <v>211.25</v>
      </c>
      <c r="AJ114" s="14">
        <f>AI114*VLOOKUP('Données projet'!$B$10,Paramètres!$A$1:$I$88,3,0)*VLOOKUP('Données projet'!$B$10,Paramètres!$A$1:$I$88,5,0)</f>
        <v>214.20750000000001</v>
      </c>
      <c r="AK114" s="14">
        <f t="shared" si="89"/>
        <v>52.853966072968603</v>
      </c>
      <c r="AL114" s="22">
        <f t="shared" si="58"/>
        <v>465.13205341042038</v>
      </c>
      <c r="AM114" s="62">
        <f t="shared" si="59"/>
        <v>758.4653867437537</v>
      </c>
      <c r="AN114" s="62">
        <f ca="1">AVERAGE(OFFSET($AM$3,0,0,'Données projet'!$E$10+1,1))-AVERAGE(OFFSET($H$3,0,0,'Données projet'!$E$10+1,1))</f>
        <v>316.76504852082684</v>
      </c>
      <c r="AO114" s="62">
        <f t="shared" si="90"/>
        <v>218.5520645293999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0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4.583333333333333</v>
      </c>
      <c r="BD114" s="13">
        <f>IF('Données projet'!$A$88&gt;35,BD113+BC114-BL113,IF(A114&lt;'Données projet'!$A$88,$BA$205^A114,IF(A114='Données projet'!$A$88,'Données projet'!$B$88,BD113+BC114-BL113)))</f>
        <v>211.25</v>
      </c>
      <c r="BE114" s="14">
        <f>BD114*VLOOKUP('Données projet'!$B$11,Paramètres!$A$1:$I$88,3,0)*VLOOKUP('Données projet'!$B$11,Paramètres!$A$1:$I$88,5,0)</f>
        <v>184.54800000000003</v>
      </c>
      <c r="BF114" s="14">
        <f t="shared" si="91"/>
        <v>46.332558240871698</v>
      </c>
      <c r="BG114" s="22">
        <f t="shared" si="61"/>
        <v>402.11697226951827</v>
      </c>
      <c r="BH114" s="62">
        <f t="shared" si="62"/>
        <v>695.45030560285159</v>
      </c>
      <c r="BI114" s="62">
        <f ca="1">AVERAGE(OFFSET($BH$3,0,0,'Données projet'!$E$11+1,1))-AVERAGE(OFFSET($H$3,0,0,'Données projet'!$E$11+1,1))</f>
        <v>278.24093386944304</v>
      </c>
      <c r="BJ114" s="62">
        <f t="shared" si="92"/>
        <v>193.96102673885611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0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4.583333333333333</v>
      </c>
      <c r="BY114" s="13">
        <f>IF('Données projet'!$A$114&gt;35,BY113+BX114-CG113,IF(A114&lt;'Données projet'!$A$114,$BV$205^A114,IF(A114='Données projet'!$A$114,'Données projet'!$B$114,BY113+BX114-CG113)))</f>
        <v>211.25</v>
      </c>
      <c r="BZ114" s="14">
        <f>BY114*VLOOKUP('Données projet'!$B$12,Paramètres!$A$1:$I$88,3,0)*VLOOKUP('Données projet'!$B$12,Paramètres!$A$1:$I$88,5,0)</f>
        <v>204.321</v>
      </c>
      <c r="CA114" s="14">
        <f t="shared" si="93"/>
        <v>50.692608164738488</v>
      </c>
      <c r="CB114" s="22">
        <f t="shared" si="64"/>
        <v>444.14870088691947</v>
      </c>
      <c r="CC114" s="62">
        <f t="shared" si="65"/>
        <v>737.48203422025279</v>
      </c>
      <c r="CD114" s="62">
        <f ca="1">AVERAGE(OFFSET($CC$3,0,0,'Données projet'!$E$12+1,1))-AVERAGE(OFFSET($H$3,0,0,'Données projet'!$E$12+1,1))</f>
        <v>303.93739496872121</v>
      </c>
      <c r="CE114" s="62">
        <f t="shared" si="94"/>
        <v>210.36431469568754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0</v>
      </c>
      <c r="CL114" s="23">
        <f>EXP(-LN(2)/25)*CL113+(1-EXP(-LN(2)/25))/(LN(2)/25)*Calculateur!CG114*Calculateur!CI114*VLOOKUP('Données projet'!$B$12,Paramètres!$A$1:$I$88,3,0)*0.475*44/12</f>
        <v>0</v>
      </c>
      <c r="CM114" s="23">
        <f>EXP(-LN(2)/2)*CM113+(1-EXP(-LN(2)/2))/(LN(2)/2)*CG114*CJ114*VLOOKUP('Données projet'!$B$12,Paramètres!$A$1:$I$88,3,0)*0.475*44/12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projet'!$B$13,Paramètres!$A$1:$I$88,3,0)*VLOOKUP('Données projet'!$B$13,Paramètres!$A$1:$I$88,5,0)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57.812812891099895</v>
      </c>
      <c r="CZ114" s="62">
        <f t="shared" si="96"/>
        <v>244.79885157604684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projet'!$B$13,Paramètres!$A$1:$I$88,3,0)*0.475*44/12</f>
        <v>7.7356824649714993</v>
      </c>
      <c r="DG114" s="23">
        <f>EXP(-LN(2)/25)*DG113+(1-EXP(-LN(2)/25))/(LN(2)/25)*Calculateur!DB114*Calculateur!DD114*VLOOKUP('Données projet'!$B$13,Paramètres!$A$1:$I$88,3,0)*0.475*44/12</f>
        <v>0</v>
      </c>
      <c r="DH114" s="23">
        <f>EXP(-LN(2)/2)*DH113+(1-EXP(-LN(2)/2))/(LN(2)/2)*DB114*DE114*VLOOKUP('Données projet'!$B$13,Paramètres!$A$1:$I$88,3,0)*0.475*44/12</f>
        <v>2.5797663600552965E-13</v>
      </c>
      <c r="DI114" s="24">
        <f t="shared" si="69"/>
        <v>7.7356824649717568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4.583333333333333</v>
      </c>
      <c r="N115" s="14">
        <f>IF('Données projet'!$A$36&gt;35,N114+M115-V114,IF(A115&lt;'Données projet'!$A$36,$K$205^A115,IF(A115='Données projet'!$A$36,'Données projet'!$B$36,N114+M115-V114)))</f>
        <v>215.83333333333334</v>
      </c>
      <c r="O115" s="14">
        <f>N115*VLOOKUP('Données projet'!$B$9,Paramètres!$A$1:$I$88,3,0)*VLOOKUP('Données projet'!$B$9,Paramètres!$A$1:$I$88,5,0)</f>
        <v>195.286</v>
      </c>
      <c r="P115" s="14">
        <f t="shared" si="87"/>
        <v>48.70673943067964</v>
      </c>
      <c r="Q115" s="22">
        <f t="shared" si="107"/>
        <v>424.95402117510031</v>
      </c>
      <c r="R115" s="62">
        <f t="shared" si="55"/>
        <v>718.28735450843362</v>
      </c>
      <c r="S115" s="62">
        <f ca="1">AVERAGE(OFFSET($R$3,0,0,'Données projet'!$E$9+1,1))-AVERAGE(OFFSET($H$3,0,0,'Données projet'!$E$9+1,1))</f>
        <v>286.81278534843665</v>
      </c>
      <c r="T115" s="62">
        <f t="shared" si="88"/>
        <v>199.43308683696642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4.583333333333333</v>
      </c>
      <c r="AI115" s="14">
        <f>IF('Données projet'!$A$62&gt;35,AI114+AH115-AQ114,IF(A115&lt;'Données projet'!$A$62,$AF$205^A115,IF(A115='Données projet'!$A$62,'Données projet'!$B$62,AI114+AH115-AQ114)))</f>
        <v>215.83333333333334</v>
      </c>
      <c r="AJ115" s="14">
        <f>AI115*VLOOKUP('Données projet'!$B$10,Paramètres!$A$1:$I$88,3,0)*VLOOKUP('Données projet'!$B$10,Paramètres!$A$1:$I$88,5,0)</f>
        <v>218.85500000000005</v>
      </c>
      <c r="AK115" s="14">
        <f t="shared" si="89"/>
        <v>53.865950100565549</v>
      </c>
      <c r="AL115" s="22">
        <f t="shared" si="58"/>
        <v>474.98898809181838</v>
      </c>
      <c r="AM115" s="62">
        <f t="shared" si="59"/>
        <v>768.3223214251517</v>
      </c>
      <c r="AN115" s="62">
        <f ca="1">AVERAGE(OFFSET($AM$3,0,0,'Données projet'!$E$10+1,1))-AVERAGE(OFFSET($H$3,0,0,'Données projet'!$E$10+1,1))</f>
        <v>316.76504852082684</v>
      </c>
      <c r="AO115" s="62">
        <f t="shared" si="90"/>
        <v>218.5520645293999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0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4.583333333333333</v>
      </c>
      <c r="BD115" s="13">
        <f>IF('Données projet'!$A$88&gt;35,BD114+BC115-BL114,IF(A115&lt;'Données projet'!$A$88,$BA$205^A115,IF(A115='Données projet'!$A$88,'Données projet'!$B$88,BD114+BC115-BL114)))</f>
        <v>215.83333333333334</v>
      </c>
      <c r="BE115" s="14">
        <f>BD115*VLOOKUP('Données projet'!$B$11,Paramètres!$A$1:$I$88,3,0)*VLOOKUP('Données projet'!$B$11,Paramètres!$A$1:$I$88,5,0)</f>
        <v>188.55200000000005</v>
      </c>
      <c r="BF115" s="14">
        <f t="shared" si="91"/>
        <v>47.219678212771932</v>
      </c>
      <c r="BG115" s="22">
        <f t="shared" si="61"/>
        <v>410.63567288724448</v>
      </c>
      <c r="BH115" s="62">
        <f t="shared" si="62"/>
        <v>703.96900622057774</v>
      </c>
      <c r="BI115" s="62">
        <f ca="1">AVERAGE(OFFSET($BH$3,0,0,'Données projet'!$E$11+1,1))-AVERAGE(OFFSET($H$3,0,0,'Données projet'!$E$11+1,1))</f>
        <v>278.24093386944304</v>
      </c>
      <c r="BJ115" s="62">
        <f t="shared" si="92"/>
        <v>193.96102673885611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0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4.583333333333333</v>
      </c>
      <c r="BY115" s="13">
        <f>IF('Données projet'!$A$114&gt;35,BY114+BX115-CG114,IF(A115&lt;'Données projet'!$A$114,$BV$205^A115,IF(A115='Données projet'!$A$114,'Données projet'!$B$114,BY114+BX115-CG114)))</f>
        <v>215.83333333333334</v>
      </c>
      <c r="BZ115" s="14">
        <f>BY115*VLOOKUP('Données projet'!$B$12,Paramètres!$A$1:$I$88,3,0)*VLOOKUP('Données projet'!$B$12,Paramètres!$A$1:$I$88,5,0)</f>
        <v>208.75399999999999</v>
      </c>
      <c r="CA115" s="14">
        <f t="shared" si="93"/>
        <v>51.663209116597429</v>
      </c>
      <c r="CB115" s="22">
        <f t="shared" si="64"/>
        <v>453.5599725447405</v>
      </c>
      <c r="CC115" s="62">
        <f t="shared" si="65"/>
        <v>746.89330587807376</v>
      </c>
      <c r="CD115" s="62">
        <f ca="1">AVERAGE(OFFSET($CC$3,0,0,'Données projet'!$E$12+1,1))-AVERAGE(OFFSET($H$3,0,0,'Données projet'!$E$12+1,1))</f>
        <v>303.93739496872121</v>
      </c>
      <c r="CE115" s="62">
        <f t="shared" si="94"/>
        <v>210.36431469568754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0</v>
      </c>
      <c r="CL115" s="23">
        <f>EXP(-LN(2)/25)*CL114+(1-EXP(-LN(2)/25))/(LN(2)/25)*Calculateur!CG115*Calculateur!CI115*VLOOKUP('Données projet'!$B$12,Paramètres!$A$1:$I$88,3,0)*0.475*44/12</f>
        <v>0</v>
      </c>
      <c r="CM115" s="23">
        <f>EXP(-LN(2)/2)*CM114+(1-EXP(-LN(2)/2))/(LN(2)/2)*CG115*CJ115*VLOOKUP('Données projet'!$B$12,Paramètres!$A$1:$I$88,3,0)*0.475*44/12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projet'!$B$13,Paramètres!$A$1:$I$88,3,0)*VLOOKUP('Données projet'!$B$13,Paramètres!$A$1:$I$88,5,0)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57.812812891099895</v>
      </c>
      <c r="CZ115" s="62">
        <f t="shared" si="96"/>
        <v>244.79885157604684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projet'!$B$13,Paramètres!$A$1:$I$88,3,0)*0.475*44/12</f>
        <v>7.5839904501338182</v>
      </c>
      <c r="DG115" s="23">
        <f>EXP(-LN(2)/25)*DG114+(1-EXP(-LN(2)/25))/(LN(2)/25)*Calculateur!DB115*Calculateur!DD115*VLOOKUP('Données projet'!$B$13,Paramètres!$A$1:$I$88,3,0)*0.475*44/12</f>
        <v>0</v>
      </c>
      <c r="DH115" s="23">
        <f>EXP(-LN(2)/2)*DH114+(1-EXP(-LN(2)/2))/(LN(2)/2)*DB115*DE115*VLOOKUP('Données projet'!$B$13,Paramètres!$A$1:$I$88,3,0)*0.475*44/12</f>
        <v>1.8241702870720368E-13</v>
      </c>
      <c r="DI115" s="24">
        <f t="shared" si="69"/>
        <v>7.5839904501340003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4.583333333333333</v>
      </c>
      <c r="N116" s="14">
        <f>IF('Données projet'!$A$36&gt;35,N115+M116-V115,IF(A116&lt;'Données projet'!$A$36,$K$205^A116,IF(A116='Données projet'!$A$36,'Données projet'!$B$36,N115+M116-V115)))</f>
        <v>220.41666666666669</v>
      </c>
      <c r="O116" s="14">
        <f>N116*VLOOKUP('Données projet'!$B$9,Paramètres!$A$1:$I$88,3,0)*VLOOKUP('Données projet'!$B$9,Paramètres!$A$1:$I$88,5,0)</f>
        <v>199.43300000000002</v>
      </c>
      <c r="P116" s="14">
        <f t="shared" si="87"/>
        <v>49.619537704859006</v>
      </c>
      <c r="Q116" s="22">
        <f t="shared" si="107"/>
        <v>433.76650316929613</v>
      </c>
      <c r="R116" s="62">
        <f t="shared" si="55"/>
        <v>727.09983650262939</v>
      </c>
      <c r="S116" s="62">
        <f ca="1">AVERAGE(OFFSET($R$3,0,0,'Données projet'!$E$9+1,1))-AVERAGE(OFFSET($H$3,0,0,'Données projet'!$E$9+1,1))</f>
        <v>286.81278534843665</v>
      </c>
      <c r="T116" s="62">
        <f t="shared" si="88"/>
        <v>199.43308683696642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4.583333333333333</v>
      </c>
      <c r="AI116" s="14">
        <f>IF('Données projet'!$A$62&gt;35,AI115+AH116-AQ115,IF(A116&lt;'Données projet'!$A$62,$AF$205^A116,IF(A116='Données projet'!$A$62,'Données projet'!$B$62,AI115+AH116-AQ115)))</f>
        <v>220.41666666666669</v>
      </c>
      <c r="AJ116" s="14">
        <f>AI116*VLOOKUP('Données projet'!$B$10,Paramètres!$A$1:$I$88,3,0)*VLOOKUP('Données projet'!$B$10,Paramètres!$A$1:$I$88,5,0)</f>
        <v>223.50250000000003</v>
      </c>
      <c r="AK116" s="14">
        <f t="shared" si="89"/>
        <v>54.875435581703243</v>
      </c>
      <c r="AL116" s="22">
        <f t="shared" si="58"/>
        <v>484.84157113813313</v>
      </c>
      <c r="AM116" s="62">
        <f t="shared" si="59"/>
        <v>778.17490447146645</v>
      </c>
      <c r="AN116" s="62">
        <f ca="1">AVERAGE(OFFSET($AM$3,0,0,'Données projet'!$E$10+1,1))-AVERAGE(OFFSET($H$3,0,0,'Données projet'!$E$10+1,1))</f>
        <v>316.76504852082684</v>
      </c>
      <c r="AO116" s="62">
        <f t="shared" si="90"/>
        <v>218.5520645293999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0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4.583333333333333</v>
      </c>
      <c r="BD116" s="13">
        <f>IF('Données projet'!$A$88&gt;35,BD115+BC116-BL115,IF(A116&lt;'Données projet'!$A$88,$BA$205^A116,IF(A116='Données projet'!$A$88,'Données projet'!$B$88,BD115+BC116-BL115)))</f>
        <v>220.41666666666669</v>
      </c>
      <c r="BE116" s="14">
        <f>BD116*VLOOKUP('Données projet'!$B$11,Paramètres!$A$1:$I$88,3,0)*VLOOKUP('Données projet'!$B$11,Paramètres!$A$1:$I$88,5,0)</f>
        <v>192.55600000000004</v>
      </c>
      <c r="BF116" s="14">
        <f t="shared" si="91"/>
        <v>48.104607922371287</v>
      </c>
      <c r="BG116" s="22">
        <f t="shared" si="61"/>
        <v>419.15055879813002</v>
      </c>
      <c r="BH116" s="62">
        <f t="shared" si="62"/>
        <v>712.48389213146334</v>
      </c>
      <c r="BI116" s="62">
        <f ca="1">AVERAGE(OFFSET($BH$3,0,0,'Données projet'!$E$11+1,1))-AVERAGE(OFFSET($H$3,0,0,'Données projet'!$E$11+1,1))</f>
        <v>278.24093386944304</v>
      </c>
      <c r="BJ116" s="62">
        <f t="shared" si="92"/>
        <v>193.96102673885611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0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4.583333333333333</v>
      </c>
      <c r="BY116" s="13">
        <f>IF('Données projet'!$A$114&gt;35,BY115+BX116-CG115,IF(A116&lt;'Données projet'!$A$114,$BV$205^A116,IF(A116='Données projet'!$A$114,'Données projet'!$B$114,BY115+BX116-CG115)))</f>
        <v>220.41666666666669</v>
      </c>
      <c r="BZ116" s="14">
        <f>BY116*VLOOKUP('Données projet'!$B$12,Paramètres!$A$1:$I$88,3,0)*VLOOKUP('Données projet'!$B$12,Paramètres!$A$1:$I$88,5,0)</f>
        <v>213.18700000000001</v>
      </c>
      <c r="CA116" s="14">
        <f t="shared" si="93"/>
        <v>52.631413695089414</v>
      </c>
      <c r="CB116" s="22">
        <f t="shared" si="64"/>
        <v>462.96707051894737</v>
      </c>
      <c r="CC116" s="62">
        <f t="shared" si="65"/>
        <v>756.30040385228062</v>
      </c>
      <c r="CD116" s="62">
        <f ca="1">AVERAGE(OFFSET($CC$3,0,0,'Données projet'!$E$12+1,1))-AVERAGE(OFFSET($H$3,0,0,'Données projet'!$E$12+1,1))</f>
        <v>303.93739496872121</v>
      </c>
      <c r="CE116" s="62">
        <f t="shared" si="94"/>
        <v>210.36431469568754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0</v>
      </c>
      <c r="CL116" s="23">
        <f>EXP(-LN(2)/25)*CL115+(1-EXP(-LN(2)/25))/(LN(2)/25)*Calculateur!CG116*Calculateur!CI116*VLOOKUP('Données projet'!$B$12,Paramètres!$A$1:$I$88,3,0)*0.475*44/12</f>
        <v>0</v>
      </c>
      <c r="CM116" s="23">
        <f>EXP(-LN(2)/2)*CM115+(1-EXP(-LN(2)/2))/(LN(2)/2)*CG116*CJ116*VLOOKUP('Données projet'!$B$12,Paramètres!$A$1:$I$88,3,0)*0.475*44/12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projet'!$B$13,Paramètres!$A$1:$I$88,3,0)*VLOOKUP('Données projet'!$B$13,Paramètres!$A$1:$I$88,5,0)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57.812812891099895</v>
      </c>
      <c r="CZ116" s="62">
        <f t="shared" si="96"/>
        <v>244.79885157604684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projet'!$B$13,Paramètres!$A$1:$I$88,3,0)*0.475*44/12</f>
        <v>7.4352730231841111</v>
      </c>
      <c r="DG116" s="23">
        <f>EXP(-LN(2)/25)*DG115+(1-EXP(-LN(2)/25))/(LN(2)/25)*Calculateur!DB116*Calculateur!DD116*VLOOKUP('Données projet'!$B$13,Paramètres!$A$1:$I$88,3,0)*0.475*44/12</f>
        <v>0</v>
      </c>
      <c r="DH116" s="23">
        <f>EXP(-LN(2)/2)*DH115+(1-EXP(-LN(2)/2))/(LN(2)/2)*DB116*DE116*VLOOKUP('Données projet'!$B$13,Paramètres!$A$1:$I$88,3,0)*0.475*44/12</f>
        <v>1.2898831800276483E-13</v>
      </c>
      <c r="DI116" s="24">
        <f t="shared" si="69"/>
        <v>7.4352730231842399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>
        <f>VLOOKUP(A117,'Données projet'!$A$35:$I$55,2,0)</f>
        <v>225</v>
      </c>
      <c r="L117" s="13">
        <f>VLOOKUP(A117,'Données projet'!$A$35:$I$55,9,0)</f>
        <v>4.583333333333333</v>
      </c>
      <c r="M117" s="13">
        <f t="array" ref="M117">INDEX(L:L,MIN(IF(ISNUMBER(L117:L313),ROW(L117:L313),"")))</f>
        <v>4.583333333333333</v>
      </c>
      <c r="N117" s="14">
        <f>IF('Données projet'!$A$36&gt;35,N116+M117-V116,IF(A117&lt;'Données projet'!$A$36,$K$205^A117,IF(A117='Données projet'!$A$36,'Données projet'!$B$36,N116+M117-V116)))</f>
        <v>225.00000000000003</v>
      </c>
      <c r="O117" s="14">
        <f>N117*VLOOKUP('Données projet'!$B$9,Paramètres!$A$1:$I$88,3,0)*VLOOKUP('Données projet'!$B$9,Paramètres!$A$1:$I$88,5,0)</f>
        <v>203.58</v>
      </c>
      <c r="P117" s="14">
        <f t="shared" si="87"/>
        <v>50.530129131114101</v>
      </c>
      <c r="Q117" s="22">
        <f t="shared" si="107"/>
        <v>442.57514157002373</v>
      </c>
      <c r="R117" s="62">
        <f t="shared" si="55"/>
        <v>735.90847490335705</v>
      </c>
      <c r="S117" s="62">
        <f ca="1">AVERAGE(OFFSET($R$3,0,0,'Données projet'!$E$9+1,1))-AVERAGE(OFFSET($H$3,0,0,'Données projet'!$E$9+1,1))</f>
        <v>286.81278534843665</v>
      </c>
      <c r="T117" s="62">
        <f t="shared" si="88"/>
        <v>199.43308683696642</v>
      </c>
      <c r="U117" s="16">
        <f>IF(ISNA(VLOOKUP(A117,'Données projet'!$A$35:$I$55,3,0)),0,VLOOKUP(A117,'Données projet'!$A$35:$I$55,3,0))</f>
        <v>9</v>
      </c>
      <c r="V117" s="16">
        <f>IF(ISNA(VLOOKUP(A117,'Données projet'!$A$35:$I$55,4,0)),0,VLOOKUP(A117,'Données projet'!$A$35:$I$55,4,0))</f>
        <v>37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>
        <f>VLOOKUP(A117,'Données projet'!$A$61:$I$81,2,0)</f>
        <v>225</v>
      </c>
      <c r="AG117" s="13">
        <f>VLOOKUP(A117,'Données projet'!$A$61:$I$81,9,0)</f>
        <v>4.583333333333333</v>
      </c>
      <c r="AH117" s="13">
        <f t="array" ref="AH117">INDEX(AG:AG,MIN(IF(ISNUMBER(AG117:AG313),ROW(AG117:AG313),"")))</f>
        <v>4.583333333333333</v>
      </c>
      <c r="AI117" s="14">
        <f>IF('Données projet'!$A$62&gt;35,AI116+AH117-AQ116,IF(A117&lt;'Données projet'!$A$62,$AF$205^A117,IF(A117='Données projet'!$A$62,'Données projet'!$B$62,AI116+AH117-AQ116)))</f>
        <v>225.00000000000003</v>
      </c>
      <c r="AJ117" s="14">
        <f>AI117*VLOOKUP('Données projet'!$B$10,Paramètres!$A$1:$I$88,3,0)*VLOOKUP('Données projet'!$B$10,Paramètres!$A$1:$I$88,5,0)</f>
        <v>228.15000000000006</v>
      </c>
      <c r="AK117" s="14">
        <f t="shared" si="89"/>
        <v>55.882480456847702</v>
      </c>
      <c r="AL117" s="22">
        <f t="shared" si="58"/>
        <v>494.68990346234324</v>
      </c>
      <c r="AM117" s="62">
        <f t="shared" si="59"/>
        <v>788.02323679567655</v>
      </c>
      <c r="AN117" s="62">
        <f ca="1">AVERAGE(OFFSET($AM$3,0,0,'Données projet'!$E$10+1,1))-AVERAGE(OFFSET($H$3,0,0,'Données projet'!$E$10+1,1))</f>
        <v>316.76504852082684</v>
      </c>
      <c r="AO117" s="62">
        <f t="shared" si="90"/>
        <v>218.5520645293999</v>
      </c>
      <c r="AP117" s="16">
        <f>IF(ISNA(VLOOKUP(A117,'Données projet'!$A$61:$I$81,3,0)),0,VLOOKUP(A117,'Données projet'!$A$61:$I$81,3,0))</f>
        <v>9</v>
      </c>
      <c r="AQ117" s="16">
        <f>IF(ISNA(VLOOKUP(A117,'Données projet'!$A$61:$I$81,4,0)),0,VLOOKUP(A117,'Données projet'!$A$61:$I$81,4,0))</f>
        <v>37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0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>
        <f>VLOOKUP(A117,'Données projet'!$A$87:$I$107,2,0)</f>
        <v>225</v>
      </c>
      <c r="BB117" s="13">
        <f>VLOOKUP(A117,'Données projet'!$A$87:$I$107,9,0)</f>
        <v>4.583333333333333</v>
      </c>
      <c r="BC117" s="13">
        <f t="array" ref="BC117">INDEX(BB:BB,MIN(IF(ISNUMBER(BB117:BB313),ROW(BB117:BB313),"")))</f>
        <v>4.583333333333333</v>
      </c>
      <c r="BD117" s="13">
        <f>IF('Données projet'!$A$88&gt;35,BD116+BC117-BL116,IF(A117&lt;'Données projet'!$A$88,$BA$205^A117,IF(A117='Données projet'!$A$88,'Données projet'!$B$88,BD116+BC117-BL116)))</f>
        <v>225.00000000000003</v>
      </c>
      <c r="BE117" s="14">
        <f>BD117*VLOOKUP('Données projet'!$B$11,Paramètres!$A$1:$I$88,3,0)*VLOOKUP('Données projet'!$B$11,Paramètres!$A$1:$I$88,5,0)</f>
        <v>196.56000000000006</v>
      </c>
      <c r="BF117" s="14">
        <f t="shared" si="91"/>
        <v>48.987398161128134</v>
      </c>
      <c r="BG117" s="22">
        <f t="shared" si="61"/>
        <v>427.66171846396492</v>
      </c>
      <c r="BH117" s="62">
        <f t="shared" si="62"/>
        <v>720.99505179729817</v>
      </c>
      <c r="BI117" s="62">
        <f ca="1">AVERAGE(OFFSET($BH$3,0,0,'Données projet'!$E$11+1,1))-AVERAGE(OFFSET($H$3,0,0,'Données projet'!$E$11+1,1))</f>
        <v>278.24093386944304</v>
      </c>
      <c r="BJ117" s="62">
        <f t="shared" si="92"/>
        <v>193.96102673885611</v>
      </c>
      <c r="BK117" s="16">
        <f>IF(ISNA(VLOOKUP(A117,'Données projet'!$A$87:$I$107,3,0)),0,VLOOKUP(A117,'Données projet'!$A$87:$I$107,3,0))</f>
        <v>9</v>
      </c>
      <c r="BL117" s="16">
        <f>IF(ISNA(VLOOKUP(A117,'Données projet'!$A$87:$I$107,4,0)),0,VLOOKUP(A117,'Données projet'!$A$87:$I$107,4,0))</f>
        <v>37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0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>
        <f>VLOOKUP(A117,'Données projet'!$A$113:$I$133,2,0)</f>
        <v>225</v>
      </c>
      <c r="BW117" s="13">
        <f>VLOOKUP(A117,'Données projet'!$A$113:$I$133,9,0)</f>
        <v>4.583333333333333</v>
      </c>
      <c r="BX117" s="13">
        <f t="array" ref="BX117">INDEX(BW:BW,MIN(IF(ISNUMBER(BW117:BW313),ROW(BW117:BW313),"")))</f>
        <v>4.583333333333333</v>
      </c>
      <c r="BY117" s="13">
        <f>IF('Données projet'!$A$114&gt;35,BY116+BX117-CG116,IF(A117&lt;'Données projet'!$A$114,$BV$205^A117,IF(A117='Données projet'!$A$114,'Données projet'!$B$114,BY116+BX117-CG116)))</f>
        <v>225.00000000000003</v>
      </c>
      <c r="BZ117" s="14">
        <f>BY117*VLOOKUP('Données projet'!$B$12,Paramètres!$A$1:$I$88,3,0)*VLOOKUP('Données projet'!$B$12,Paramètres!$A$1:$I$88,5,0)</f>
        <v>217.62000000000006</v>
      </c>
      <c r="CA117" s="14">
        <f t="shared" si="93"/>
        <v>53.597277471320098</v>
      </c>
      <c r="CB117" s="22">
        <f t="shared" si="64"/>
        <v>472.37009159588257</v>
      </c>
      <c r="CC117" s="62">
        <f t="shared" si="65"/>
        <v>765.70342492921588</v>
      </c>
      <c r="CD117" s="62">
        <f ca="1">AVERAGE(OFFSET($CC$3,0,0,'Données projet'!$E$12+1,1))-AVERAGE(OFFSET($H$3,0,0,'Données projet'!$E$12+1,1))</f>
        <v>303.93739496872121</v>
      </c>
      <c r="CE117" s="62">
        <f t="shared" si="94"/>
        <v>210.36431469568754</v>
      </c>
      <c r="CF117" s="16">
        <f>IF(ISNA(VLOOKUP(A117,'Données projet'!$A$113:$I$133,3,0)),0,VLOOKUP(A117,'Données projet'!$A$113:$I$133,3,0))</f>
        <v>9</v>
      </c>
      <c r="CG117" s="16">
        <f>IF(ISNA(VLOOKUP(A117,'Données projet'!$A$113:$I$133,4,0)),0,VLOOKUP(A117,'Données projet'!$A$113:$I$133,4,0))</f>
        <v>37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0</v>
      </c>
      <c r="CL117" s="23">
        <f>EXP(-LN(2)/25)*CL116+(1-EXP(-LN(2)/25))/(LN(2)/25)*Calculateur!CG117*Calculateur!CI117*VLOOKUP('Données projet'!$B$12,Paramètres!$A$1:$I$88,3,0)*0.475*44/12</f>
        <v>0</v>
      </c>
      <c r="CM117" s="23">
        <f>EXP(-LN(2)/2)*CM116+(1-EXP(-LN(2)/2))/(LN(2)/2)*CG117*CJ117*VLOOKUP('Données projet'!$B$12,Paramètres!$A$1:$I$88,3,0)*0.475*44/12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projet'!$B$13,Paramètres!$A$1:$I$88,3,0)*VLOOKUP('Données projet'!$B$13,Paramètres!$A$1:$I$88,5,0)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57.812812891099895</v>
      </c>
      <c r="CZ117" s="62">
        <f t="shared" si="96"/>
        <v>244.79885157604684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projet'!$B$13,Paramètres!$A$1:$I$88,3,0)*0.475*44/12</f>
        <v>7.2894718542682142</v>
      </c>
      <c r="DG117" s="23">
        <f>EXP(-LN(2)/25)*DG116+(1-EXP(-LN(2)/25))/(LN(2)/25)*Calculateur!DB117*Calculateur!DD117*VLOOKUP('Données projet'!$B$13,Paramètres!$A$1:$I$88,3,0)*0.475*44/12</f>
        <v>0</v>
      </c>
      <c r="DH117" s="23">
        <f>EXP(-LN(2)/2)*DH116+(1-EXP(-LN(2)/2))/(LN(2)/2)*DB117*DE117*VLOOKUP('Données projet'!$B$13,Paramètres!$A$1:$I$88,3,0)*0.475*44/12</f>
        <v>9.1208514353601839E-14</v>
      </c>
      <c r="DI117" s="24">
        <f t="shared" si="69"/>
        <v>7.2894718542683057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4.666666666666667</v>
      </c>
      <c r="N118" s="14">
        <f>IF('Données projet'!$A$36&gt;35,N117+M118-V117,IF(A118&lt;'Données projet'!$A$36,$K$205^A118,IF(A118='Données projet'!$A$36,'Données projet'!$B$36,N117+M118-V117)))</f>
        <v>192.66666666666669</v>
      </c>
      <c r="O118" s="14">
        <f>N118*VLOOKUP('Données projet'!$B$9,Paramètres!$A$1:$I$88,3,0)*VLOOKUP('Données projet'!$B$9,Paramètres!$A$1:$I$88,5,0)</f>
        <v>174.32480000000001</v>
      </c>
      <c r="P118" s="14">
        <f t="shared" si="87"/>
        <v>44.057214181496924</v>
      </c>
      <c r="Q118" s="22">
        <f t="shared" si="107"/>
        <v>380.34867469944055</v>
      </c>
      <c r="R118" s="62">
        <f t="shared" si="55"/>
        <v>673.68200803277387</v>
      </c>
      <c r="S118" s="62">
        <f ca="1">AVERAGE(OFFSET($R$3,0,0,'Données projet'!$E$9+1,1))-AVERAGE(OFFSET($H$3,0,0,'Données projet'!$E$9+1,1))</f>
        <v>286.81278534843665</v>
      </c>
      <c r="T118" s="62">
        <f t="shared" si="88"/>
        <v>199.43308683696642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4.666666666666667</v>
      </c>
      <c r="AI118" s="14">
        <f>IF('Données projet'!$A$62&gt;35,AI117+AH118-AQ117,IF(A118&lt;'Données projet'!$A$62,$AF$205^A118,IF(A118='Données projet'!$A$62,'Données projet'!$B$62,AI117+AH118-AQ117)))</f>
        <v>192.66666666666669</v>
      </c>
      <c r="AJ118" s="14">
        <f>AI118*VLOOKUP('Données projet'!$B$10,Paramètres!$A$1:$I$88,3,0)*VLOOKUP('Données projet'!$B$10,Paramètres!$A$1:$I$88,5,0)</f>
        <v>195.36400000000003</v>
      </c>
      <c r="AK118" s="14">
        <f t="shared" si="89"/>
        <v>48.723928729575597</v>
      </c>
      <c r="AL118" s="22">
        <f t="shared" si="58"/>
        <v>425.11980920401083</v>
      </c>
      <c r="AM118" s="62">
        <f t="shared" si="59"/>
        <v>718.45314253734409</v>
      </c>
      <c r="AN118" s="62">
        <f ca="1">AVERAGE(OFFSET($AM$3,0,0,'Données projet'!$E$10+1,1))-AVERAGE(OFFSET($H$3,0,0,'Données projet'!$E$10+1,1))</f>
        <v>316.76504852082684</v>
      </c>
      <c r="AO118" s="62">
        <f t="shared" si="90"/>
        <v>218.5520645293999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0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4.666666666666667</v>
      </c>
      <c r="BD118" s="13">
        <f>IF('Données projet'!$A$88&gt;35,BD117+BC118-BL117,IF(A118&lt;'Données projet'!$A$88,$BA$205^A118,IF(A118='Données projet'!$A$88,'Données projet'!$B$88,BD117+BC118-BL117)))</f>
        <v>192.66666666666669</v>
      </c>
      <c r="BE118" s="14">
        <f>BD118*VLOOKUP('Données projet'!$B$11,Paramètres!$A$1:$I$88,3,0)*VLOOKUP('Données projet'!$B$11,Paramètres!$A$1:$I$88,5,0)</f>
        <v>168.31360000000004</v>
      </c>
      <c r="BF118" s="14">
        <f t="shared" si="91"/>
        <v>42.71210721387493</v>
      </c>
      <c r="BG118" s="22">
        <f t="shared" si="61"/>
        <v>367.53644006416556</v>
      </c>
      <c r="BH118" s="62">
        <f t="shared" si="62"/>
        <v>660.86977339749888</v>
      </c>
      <c r="BI118" s="62">
        <f ca="1">AVERAGE(OFFSET($BH$3,0,0,'Données projet'!$E$11+1,1))-AVERAGE(OFFSET($H$3,0,0,'Données projet'!$E$11+1,1))</f>
        <v>278.24093386944304</v>
      </c>
      <c r="BJ118" s="62">
        <f t="shared" si="92"/>
        <v>193.96102673885611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0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4.666666666666667</v>
      </c>
      <c r="BY118" s="13">
        <f>IF('Données projet'!$A$114&gt;35,BY117+BX118-CG117,IF(A118&lt;'Données projet'!$A$114,$BV$205^A118,IF(A118='Données projet'!$A$114,'Données projet'!$B$114,BY117+BX118-CG117)))</f>
        <v>192.66666666666669</v>
      </c>
      <c r="BZ118" s="14">
        <f>BY118*VLOOKUP('Données projet'!$B$12,Paramètres!$A$1:$I$88,3,0)*VLOOKUP('Données projet'!$B$12,Paramètres!$A$1:$I$88,5,0)</f>
        <v>186.34720000000002</v>
      </c>
      <c r="CA118" s="14">
        <f t="shared" si="93"/>
        <v>46.731460491064958</v>
      </c>
      <c r="CB118" s="22">
        <f t="shared" si="64"/>
        <v>405.94533368860476</v>
      </c>
      <c r="CC118" s="62">
        <f t="shared" si="65"/>
        <v>699.27866702193808</v>
      </c>
      <c r="CD118" s="62">
        <f ca="1">AVERAGE(OFFSET($CC$3,0,0,'Données projet'!$E$12+1,1))-AVERAGE(OFFSET($H$3,0,0,'Données projet'!$E$12+1,1))</f>
        <v>303.93739496872121</v>
      </c>
      <c r="CE118" s="62">
        <f t="shared" si="94"/>
        <v>210.36431469568754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0</v>
      </c>
      <c r="CL118" s="23">
        <f>EXP(-LN(2)/25)*CL117+(1-EXP(-LN(2)/25))/(LN(2)/25)*Calculateur!CG118*Calculateur!CI118*VLOOKUP('Données projet'!$B$12,Paramètres!$A$1:$I$88,3,0)*0.475*44/12</f>
        <v>0</v>
      </c>
      <c r="CM118" s="23">
        <f>EXP(-LN(2)/2)*CM117+(1-EXP(-LN(2)/2))/(LN(2)/2)*CG118*CJ118*VLOOKUP('Données projet'!$B$12,Paramètres!$A$1:$I$88,3,0)*0.475*44/12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projet'!$B$13,Paramètres!$A$1:$I$88,3,0)*VLOOKUP('Données projet'!$B$13,Paramètres!$A$1:$I$88,5,0)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57.812812891099895</v>
      </c>
      <c r="CZ118" s="62">
        <f t="shared" si="96"/>
        <v>244.79885157604684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projet'!$B$13,Paramètres!$A$1:$I$88,3,0)*0.475*44/12</f>
        <v>7.1465297573448261</v>
      </c>
      <c r="DG118" s="23">
        <f>EXP(-LN(2)/25)*DG117+(1-EXP(-LN(2)/25))/(LN(2)/25)*Calculateur!DB118*Calculateur!DD118*VLOOKUP('Données projet'!$B$13,Paramètres!$A$1:$I$88,3,0)*0.475*44/12</f>
        <v>0</v>
      </c>
      <c r="DH118" s="23">
        <f>EXP(-LN(2)/2)*DH117+(1-EXP(-LN(2)/2))/(LN(2)/2)*DB118*DE118*VLOOKUP('Données projet'!$B$13,Paramètres!$A$1:$I$88,3,0)*0.475*44/12</f>
        <v>6.4494159001382413E-14</v>
      </c>
      <c r="DI118" s="24">
        <f t="shared" si="69"/>
        <v>7.1465297573448909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4.666666666666667</v>
      </c>
      <c r="N119" s="14">
        <f>IF('Données projet'!$A$36&gt;35,N118+M119-V118,IF(A119&lt;'Données projet'!$A$36,$K$205^A119,IF(A119='Données projet'!$A$36,'Données projet'!$B$36,N118+M119-V118)))</f>
        <v>197.33333333333334</v>
      </c>
      <c r="O119" s="14">
        <f>N119*VLOOKUP('Données projet'!$B$9,Paramètres!$A$1:$I$88,3,0)*VLOOKUP('Données projet'!$B$9,Paramètres!$A$1:$I$88,5,0)</f>
        <v>178.5472</v>
      </c>
      <c r="P119" s="14">
        <f t="shared" si="87"/>
        <v>44.998812645322751</v>
      </c>
      <c r="Q119" s="22">
        <f t="shared" si="107"/>
        <v>389.34263869060379</v>
      </c>
      <c r="R119" s="62">
        <f t="shared" si="55"/>
        <v>682.67597202393711</v>
      </c>
      <c r="S119" s="62">
        <f ca="1">AVERAGE(OFFSET($R$3,0,0,'Données projet'!$E$9+1,1))-AVERAGE(OFFSET($H$3,0,0,'Données projet'!$E$9+1,1))</f>
        <v>286.81278534843665</v>
      </c>
      <c r="T119" s="62">
        <f t="shared" si="88"/>
        <v>199.43308683696642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4.666666666666667</v>
      </c>
      <c r="AI119" s="14">
        <f>IF('Données projet'!$A$62&gt;35,AI118+AH119-AQ118,IF(A119&lt;'Données projet'!$A$62,$AF$205^A119,IF(A119='Données projet'!$A$62,'Données projet'!$B$62,AI118+AH119-AQ118)))</f>
        <v>197.33333333333334</v>
      </c>
      <c r="AJ119" s="14">
        <f>AI119*VLOOKUP('Données projet'!$B$10,Paramètres!$A$1:$I$88,3,0)*VLOOKUP('Données projet'!$B$10,Paramètres!$A$1:$I$88,5,0)</f>
        <v>200.09600000000003</v>
      </c>
      <c r="AK119" s="14">
        <f t="shared" si="89"/>
        <v>49.765265030466708</v>
      </c>
      <c r="AL119" s="22">
        <f t="shared" si="58"/>
        <v>435.17503659472953</v>
      </c>
      <c r="AM119" s="62">
        <f t="shared" si="59"/>
        <v>728.50836992806285</v>
      </c>
      <c r="AN119" s="62">
        <f ca="1">AVERAGE(OFFSET($AM$3,0,0,'Données projet'!$E$10+1,1))-AVERAGE(OFFSET($H$3,0,0,'Données projet'!$E$10+1,1))</f>
        <v>316.76504852082684</v>
      </c>
      <c r="AO119" s="62">
        <f t="shared" si="90"/>
        <v>218.5520645293999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0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4.666666666666667</v>
      </c>
      <c r="BD119" s="13">
        <f>IF('Données projet'!$A$88&gt;35,BD118+BC119-BL118,IF(A119&lt;'Données projet'!$A$88,$BA$205^A119,IF(A119='Données projet'!$A$88,'Données projet'!$B$88,BD118+BC119-BL118)))</f>
        <v>197.33333333333334</v>
      </c>
      <c r="BE119" s="14">
        <f>BD119*VLOOKUP('Données projet'!$B$11,Paramètres!$A$1:$I$88,3,0)*VLOOKUP('Données projet'!$B$11,Paramètres!$A$1:$I$88,5,0)</f>
        <v>172.39040000000003</v>
      </c>
      <c r="BF119" s="14">
        <f t="shared" si="91"/>
        <v>43.624957817039885</v>
      </c>
      <c r="BG119" s="22">
        <f t="shared" si="61"/>
        <v>376.22674819801114</v>
      </c>
      <c r="BH119" s="62">
        <f t="shared" si="62"/>
        <v>669.56008153134439</v>
      </c>
      <c r="BI119" s="62">
        <f ca="1">AVERAGE(OFFSET($BH$3,0,0,'Données projet'!$E$11+1,1))-AVERAGE(OFFSET($H$3,0,0,'Données projet'!$E$11+1,1))</f>
        <v>278.24093386944304</v>
      </c>
      <c r="BJ119" s="62">
        <f t="shared" si="92"/>
        <v>193.96102673885611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0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4.666666666666667</v>
      </c>
      <c r="BY119" s="13">
        <f>IF('Données projet'!$A$114&gt;35,BY118+BX119-CG118,IF(A119&lt;'Données projet'!$A$114,$BV$205^A119,IF(A119='Données projet'!$A$114,'Données projet'!$B$114,BY118+BX119-CG118)))</f>
        <v>197.33333333333334</v>
      </c>
      <c r="BZ119" s="14">
        <f>BY119*VLOOKUP('Données projet'!$B$12,Paramètres!$A$1:$I$88,3,0)*VLOOKUP('Données projet'!$B$12,Paramètres!$A$1:$I$88,5,0)</f>
        <v>190.86080000000001</v>
      </c>
      <c r="CA119" s="14">
        <f t="shared" si="93"/>
        <v>47.730213413332166</v>
      </c>
      <c r="CB119" s="22">
        <f t="shared" si="64"/>
        <v>415.54601502822015</v>
      </c>
      <c r="CC119" s="62">
        <f t="shared" si="65"/>
        <v>708.87934836155341</v>
      </c>
      <c r="CD119" s="62">
        <f ca="1">AVERAGE(OFFSET($CC$3,0,0,'Données projet'!$E$12+1,1))-AVERAGE(OFFSET($H$3,0,0,'Données projet'!$E$12+1,1))</f>
        <v>303.93739496872121</v>
      </c>
      <c r="CE119" s="62">
        <f t="shared" si="94"/>
        <v>210.36431469568754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0</v>
      </c>
      <c r="CL119" s="23">
        <f>EXP(-LN(2)/25)*CL118+(1-EXP(-LN(2)/25))/(LN(2)/25)*Calculateur!CG119*Calculateur!CI119*VLOOKUP('Données projet'!$B$12,Paramètres!$A$1:$I$88,3,0)*0.475*44/12</f>
        <v>0</v>
      </c>
      <c r="CM119" s="23">
        <f>EXP(-LN(2)/2)*CM118+(1-EXP(-LN(2)/2))/(LN(2)/2)*CG119*CJ119*VLOOKUP('Données projet'!$B$12,Paramètres!$A$1:$I$88,3,0)*0.475*44/12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projet'!$B$13,Paramètres!$A$1:$I$88,3,0)*VLOOKUP('Données projet'!$B$13,Paramètres!$A$1:$I$88,5,0)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57.812812891099895</v>
      </c>
      <c r="CZ119" s="62">
        <f t="shared" si="96"/>
        <v>244.79885157604684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projet'!$B$13,Paramètres!$A$1:$I$88,3,0)*0.475*44/12</f>
        <v>7.006390667756035</v>
      </c>
      <c r="DG119" s="23">
        <f>EXP(-LN(2)/25)*DG118+(1-EXP(-LN(2)/25))/(LN(2)/25)*Calculateur!DB119*Calculateur!DD119*VLOOKUP('Données projet'!$B$13,Paramètres!$A$1:$I$88,3,0)*0.475*44/12</f>
        <v>0</v>
      </c>
      <c r="DH119" s="23">
        <f>EXP(-LN(2)/2)*DH118+(1-EXP(-LN(2)/2))/(LN(2)/2)*DB119*DE119*VLOOKUP('Données projet'!$B$13,Paramètres!$A$1:$I$88,3,0)*0.475*44/12</f>
        <v>4.5604257176800919E-14</v>
      </c>
      <c r="DI119" s="24">
        <f t="shared" si="69"/>
        <v>7.0063906677560803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4.666666666666667</v>
      </c>
      <c r="N120" s="14">
        <f>IF('Données projet'!$A$36&gt;35,N119+M120-V119,IF(A120&lt;'Données projet'!$A$36,$K$205^A120,IF(A120='Données projet'!$A$36,'Données projet'!$B$36,N119+M120-V119)))</f>
        <v>202</v>
      </c>
      <c r="O120" s="14">
        <f>N120*VLOOKUP('Données projet'!$B$9,Paramètres!$A$1:$I$88,3,0)*VLOOKUP('Données projet'!$B$9,Paramètres!$A$1:$I$88,5,0)</f>
        <v>182.7696</v>
      </c>
      <c r="P120" s="14">
        <f t="shared" si="87"/>
        <v>45.937822477650357</v>
      </c>
      <c r="Q120" s="22">
        <f t="shared" si="107"/>
        <v>398.33209414857441</v>
      </c>
      <c r="R120" s="62">
        <f t="shared" si="55"/>
        <v>691.66542748190773</v>
      </c>
      <c r="S120" s="62">
        <f ca="1">AVERAGE(OFFSET($R$3,0,0,'Données projet'!$E$9+1,1))-AVERAGE(OFFSET($H$3,0,0,'Données projet'!$E$9+1,1))</f>
        <v>286.81278534843665</v>
      </c>
      <c r="T120" s="62">
        <f t="shared" si="88"/>
        <v>199.43308683696642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4.666666666666667</v>
      </c>
      <c r="AI120" s="14">
        <f>IF('Données projet'!$A$62&gt;35,AI119+AH120-AQ119,IF(A120&lt;'Données projet'!$A$62,$AF$205^A120,IF(A120='Données projet'!$A$62,'Données projet'!$B$62,AI119+AH120-AQ119)))</f>
        <v>202</v>
      </c>
      <c r="AJ120" s="14">
        <f>AI120*VLOOKUP('Données projet'!$B$10,Paramètres!$A$1:$I$88,3,0)*VLOOKUP('Données projet'!$B$10,Paramètres!$A$1:$I$88,5,0)</f>
        <v>204.82800000000003</v>
      </c>
      <c r="AK120" s="14">
        <f t="shared" si="89"/>
        <v>50.80373850176295</v>
      </c>
      <c r="AL120" s="22">
        <f t="shared" si="58"/>
        <v>445.22527789057045</v>
      </c>
      <c r="AM120" s="62">
        <f t="shared" si="59"/>
        <v>738.55861122390377</v>
      </c>
      <c r="AN120" s="62">
        <f ca="1">AVERAGE(OFFSET($AM$3,0,0,'Données projet'!$E$10+1,1))-AVERAGE(OFFSET($H$3,0,0,'Données projet'!$E$10+1,1))</f>
        <v>316.76504852082684</v>
      </c>
      <c r="AO120" s="62">
        <f t="shared" si="90"/>
        <v>218.5520645293999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0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4.666666666666667</v>
      </c>
      <c r="BD120" s="13">
        <f>IF('Données projet'!$A$88&gt;35,BD119+BC120-BL119,IF(A120&lt;'Données projet'!$A$88,$BA$205^A120,IF(A120='Données projet'!$A$88,'Données projet'!$B$88,BD119+BC120-BL119)))</f>
        <v>202</v>
      </c>
      <c r="BE120" s="14">
        <f>BD120*VLOOKUP('Données projet'!$B$11,Paramètres!$A$1:$I$88,3,0)*VLOOKUP('Données projet'!$B$11,Paramètres!$A$1:$I$88,5,0)</f>
        <v>176.46720000000002</v>
      </c>
      <c r="BF120" s="14">
        <f t="shared" si="91"/>
        <v>44.535298821989393</v>
      </c>
      <c r="BG120" s="22">
        <f t="shared" si="61"/>
        <v>384.91268544829819</v>
      </c>
      <c r="BH120" s="62">
        <f t="shared" si="62"/>
        <v>678.24601878163151</v>
      </c>
      <c r="BI120" s="62">
        <f ca="1">AVERAGE(OFFSET($BH$3,0,0,'Données projet'!$E$11+1,1))-AVERAGE(OFFSET($H$3,0,0,'Données projet'!$E$11+1,1))</f>
        <v>278.24093386944304</v>
      </c>
      <c r="BJ120" s="62">
        <f t="shared" si="92"/>
        <v>193.96102673885611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0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4.666666666666667</v>
      </c>
      <c r="BY120" s="13">
        <f>IF('Données projet'!$A$114&gt;35,BY119+BX120-CG119,IF(A120&lt;'Données projet'!$A$114,$BV$205^A120,IF(A120='Données projet'!$A$114,'Données projet'!$B$114,BY119+BX120-CG119)))</f>
        <v>202</v>
      </c>
      <c r="BZ120" s="14">
        <f>BY120*VLOOKUP('Données projet'!$B$12,Paramètres!$A$1:$I$88,3,0)*VLOOKUP('Données projet'!$B$12,Paramètres!$A$1:$I$88,5,0)</f>
        <v>195.37440000000001</v>
      </c>
      <c r="CA120" s="14">
        <f t="shared" si="93"/>
        <v>48.726220575731652</v>
      </c>
      <c r="CB120" s="22">
        <f t="shared" si="64"/>
        <v>425.14191416939929</v>
      </c>
      <c r="CC120" s="62">
        <f t="shared" si="65"/>
        <v>718.4752475027326</v>
      </c>
      <c r="CD120" s="62">
        <f ca="1">AVERAGE(OFFSET($CC$3,0,0,'Données projet'!$E$12+1,1))-AVERAGE(OFFSET($H$3,0,0,'Données projet'!$E$12+1,1))</f>
        <v>303.93739496872121</v>
      </c>
      <c r="CE120" s="62">
        <f t="shared" si="94"/>
        <v>210.36431469568754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0</v>
      </c>
      <c r="CL120" s="23">
        <f>EXP(-LN(2)/25)*CL119+(1-EXP(-LN(2)/25))/(LN(2)/25)*Calculateur!CG120*Calculateur!CI120*VLOOKUP('Données projet'!$B$12,Paramètres!$A$1:$I$88,3,0)*0.475*44/12</f>
        <v>0</v>
      </c>
      <c r="CM120" s="23">
        <f>EXP(-LN(2)/2)*CM119+(1-EXP(-LN(2)/2))/(LN(2)/2)*CG120*CJ120*VLOOKUP('Données projet'!$B$12,Paramètres!$A$1:$I$88,3,0)*0.475*44/12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projet'!$B$13,Paramètres!$A$1:$I$88,3,0)*VLOOKUP('Données projet'!$B$13,Paramètres!$A$1:$I$88,5,0)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57.812812891099895</v>
      </c>
      <c r="CZ120" s="62">
        <f t="shared" si="96"/>
        <v>244.79885157604684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projet'!$B$13,Paramètres!$A$1:$I$88,3,0)*0.475*44/12</f>
        <v>6.868999620237676</v>
      </c>
      <c r="DG120" s="23">
        <f>EXP(-LN(2)/25)*DG119+(1-EXP(-LN(2)/25))/(LN(2)/25)*Calculateur!DB120*Calculateur!DD120*VLOOKUP('Données projet'!$B$13,Paramètres!$A$1:$I$88,3,0)*0.475*44/12</f>
        <v>0</v>
      </c>
      <c r="DH120" s="23">
        <f>EXP(-LN(2)/2)*DH119+(1-EXP(-LN(2)/2))/(LN(2)/2)*DB120*DE120*VLOOKUP('Données projet'!$B$13,Paramètres!$A$1:$I$88,3,0)*0.475*44/12</f>
        <v>3.2247079500691207E-14</v>
      </c>
      <c r="DI120" s="24">
        <f t="shared" si="69"/>
        <v>6.8689996202377079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4.666666666666667</v>
      </c>
      <c r="N121" s="14">
        <f>IF('Données projet'!$A$36&gt;35,N120+M121-V120,IF(A121&lt;'Données projet'!$A$36,$K$205^A121,IF(A121='Données projet'!$A$36,'Données projet'!$B$36,N120+M121-V120)))</f>
        <v>206.66666666666666</v>
      </c>
      <c r="O121" s="14">
        <f>N121*VLOOKUP('Données projet'!$B$9,Paramètres!$A$1:$I$88,3,0)*VLOOKUP('Données projet'!$B$9,Paramètres!$A$1:$I$88,5,0)</f>
        <v>186.99199999999996</v>
      </c>
      <c r="P121" s="14">
        <f t="shared" si="87"/>
        <v>46.87431036526138</v>
      </c>
      <c r="Q121" s="22">
        <f t="shared" si="107"/>
        <v>407.31715721949678</v>
      </c>
      <c r="R121" s="62">
        <f t="shared" si="55"/>
        <v>700.65049055283009</v>
      </c>
      <c r="S121" s="62">
        <f ca="1">AVERAGE(OFFSET($R$3,0,0,'Données projet'!$E$9+1,1))-AVERAGE(OFFSET($H$3,0,0,'Données projet'!$E$9+1,1))</f>
        <v>286.81278534843665</v>
      </c>
      <c r="T121" s="62">
        <f t="shared" si="88"/>
        <v>199.43308683696642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4.666666666666667</v>
      </c>
      <c r="AI121" s="14">
        <f>IF('Données projet'!$A$62&gt;35,AI120+AH121-AQ120,IF(A121&lt;'Données projet'!$A$62,$AF$205^A121,IF(A121='Données projet'!$A$62,'Données projet'!$B$62,AI120+AH121-AQ120)))</f>
        <v>206.66666666666666</v>
      </c>
      <c r="AJ121" s="14">
        <f>AI121*VLOOKUP('Données projet'!$B$10,Paramètres!$A$1:$I$88,3,0)*VLOOKUP('Données projet'!$B$10,Paramètres!$A$1:$I$88,5,0)</f>
        <v>209.56000000000003</v>
      </c>
      <c r="AK121" s="14">
        <f t="shared" si="89"/>
        <v>51.839422893973833</v>
      </c>
      <c r="AL121" s="22">
        <f t="shared" si="58"/>
        <v>455.2706615403377</v>
      </c>
      <c r="AM121" s="62">
        <f t="shared" si="59"/>
        <v>748.60399487367101</v>
      </c>
      <c r="AN121" s="62">
        <f ca="1">AVERAGE(OFFSET($AM$3,0,0,'Données projet'!$E$10+1,1))-AVERAGE(OFFSET($H$3,0,0,'Données projet'!$E$10+1,1))</f>
        <v>316.76504852082684</v>
      </c>
      <c r="AO121" s="62">
        <f t="shared" si="90"/>
        <v>218.5520645293999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0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4.666666666666667</v>
      </c>
      <c r="BD121" s="13">
        <f>IF('Données projet'!$A$88&gt;35,BD120+BC121-BL120,IF(A121&lt;'Données projet'!$A$88,$BA$205^A121,IF(A121='Données projet'!$A$88,'Données projet'!$B$88,BD120+BC121-BL120)))</f>
        <v>206.66666666666666</v>
      </c>
      <c r="BE121" s="14">
        <f>BD121*VLOOKUP('Données projet'!$B$11,Paramètres!$A$1:$I$88,3,0)*VLOOKUP('Données projet'!$B$11,Paramètres!$A$1:$I$88,5,0)</f>
        <v>180.54400000000001</v>
      </c>
      <c r="BF121" s="14">
        <f t="shared" si="91"/>
        <v>45.443194879496765</v>
      </c>
      <c r="BG121" s="22">
        <f t="shared" si="61"/>
        <v>393.59436441512349</v>
      </c>
      <c r="BH121" s="62">
        <f t="shared" si="62"/>
        <v>686.92769774845681</v>
      </c>
      <c r="BI121" s="62">
        <f ca="1">AVERAGE(OFFSET($BH$3,0,0,'Données projet'!$E$11+1,1))-AVERAGE(OFFSET($H$3,0,0,'Données projet'!$E$11+1,1))</f>
        <v>278.24093386944304</v>
      </c>
      <c r="BJ121" s="62">
        <f t="shared" si="92"/>
        <v>193.96102673885611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0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4.666666666666667</v>
      </c>
      <c r="BY121" s="13">
        <f>IF('Données projet'!$A$114&gt;35,BY120+BX121-CG120,IF(A121&lt;'Données projet'!$A$114,$BV$205^A121,IF(A121='Données projet'!$A$114,'Données projet'!$B$114,BY120+BX121-CG120)))</f>
        <v>206.66666666666666</v>
      </c>
      <c r="BZ121" s="14">
        <f>BY121*VLOOKUP('Données projet'!$B$12,Paramètres!$A$1:$I$88,3,0)*VLOOKUP('Données projet'!$B$12,Paramètres!$A$1:$I$88,5,0)</f>
        <v>199.88800000000001</v>
      </c>
      <c r="CA121" s="14">
        <f t="shared" si="93"/>
        <v>49.719552712892401</v>
      </c>
      <c r="CB121" s="22">
        <f t="shared" si="64"/>
        <v>434.73315430828762</v>
      </c>
      <c r="CC121" s="62">
        <f t="shared" si="65"/>
        <v>728.06648764162094</v>
      </c>
      <c r="CD121" s="62">
        <f ca="1">AVERAGE(OFFSET($CC$3,0,0,'Données projet'!$E$12+1,1))-AVERAGE(OFFSET($H$3,0,0,'Données projet'!$E$12+1,1))</f>
        <v>303.93739496872121</v>
      </c>
      <c r="CE121" s="62">
        <f t="shared" si="94"/>
        <v>210.36431469568754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0</v>
      </c>
      <c r="CL121" s="23">
        <f>EXP(-LN(2)/25)*CL120+(1-EXP(-LN(2)/25))/(LN(2)/25)*Calculateur!CG121*Calculateur!CI121*VLOOKUP('Données projet'!$B$12,Paramètres!$A$1:$I$88,3,0)*0.475*44/12</f>
        <v>0</v>
      </c>
      <c r="CM121" s="23">
        <f>EXP(-LN(2)/2)*CM120+(1-EXP(-LN(2)/2))/(LN(2)/2)*CG121*CJ121*VLOOKUP('Données projet'!$B$12,Paramètres!$A$1:$I$88,3,0)*0.475*44/12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projet'!$B$13,Paramètres!$A$1:$I$88,3,0)*VLOOKUP('Données projet'!$B$13,Paramètres!$A$1:$I$88,5,0)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57.812812891099895</v>
      </c>
      <c r="CZ121" s="62">
        <f t="shared" si="96"/>
        <v>244.79885157604684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projet'!$B$13,Paramètres!$A$1:$I$88,3,0)*0.475*44/12</f>
        <v>6.7343027273608875</v>
      </c>
      <c r="DG121" s="23">
        <f>EXP(-LN(2)/25)*DG120+(1-EXP(-LN(2)/25))/(LN(2)/25)*Calculateur!DB121*Calculateur!DD121*VLOOKUP('Données projet'!$B$13,Paramètres!$A$1:$I$88,3,0)*0.475*44/12</f>
        <v>0</v>
      </c>
      <c r="DH121" s="23">
        <f>EXP(-LN(2)/2)*DH120+(1-EXP(-LN(2)/2))/(LN(2)/2)*DB121*DE121*VLOOKUP('Données projet'!$B$13,Paramètres!$A$1:$I$88,3,0)*0.475*44/12</f>
        <v>2.280212858840046E-14</v>
      </c>
      <c r="DI121" s="24">
        <f t="shared" si="69"/>
        <v>6.7343027273609106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4.666666666666667</v>
      </c>
      <c r="N122" s="14">
        <f>IF('Données projet'!$A$36&gt;35,N121+M122-V121,IF(A122&lt;'Données projet'!$A$36,$K$205^A122,IF(A122='Données projet'!$A$36,'Données projet'!$B$36,N121+M122-V121)))</f>
        <v>211.33333333333331</v>
      </c>
      <c r="O122" s="14">
        <f>N122*VLOOKUP('Données projet'!$B$9,Paramètres!$A$1:$I$88,3,0)*VLOOKUP('Données projet'!$B$9,Paramètres!$A$1:$I$88,5,0)</f>
        <v>191.21439999999996</v>
      </c>
      <c r="P122" s="14">
        <f t="shared" si="87"/>
        <v>47.808339811368604</v>
      </c>
      <c r="Q122" s="22">
        <f t="shared" si="107"/>
        <v>416.29793850480019</v>
      </c>
      <c r="R122" s="62">
        <f t="shared" si="55"/>
        <v>709.63127183813344</v>
      </c>
      <c r="S122" s="62">
        <f ca="1">AVERAGE(OFFSET($R$3,0,0,'Données projet'!$E$9+1,1))-AVERAGE(OFFSET($H$3,0,0,'Données projet'!$E$9+1,1))</f>
        <v>286.81278534843665</v>
      </c>
      <c r="T122" s="62">
        <f t="shared" si="88"/>
        <v>199.43308683696642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4.666666666666667</v>
      </c>
      <c r="AI122" s="14">
        <f>IF('Données projet'!$A$62&gt;35,AI121+AH122-AQ121,IF(A122&lt;'Données projet'!$A$62,$AF$205^A122,IF(A122='Données projet'!$A$62,'Données projet'!$B$62,AI121+AH122-AQ121)))</f>
        <v>211.33333333333331</v>
      </c>
      <c r="AJ122" s="14">
        <f>AI122*VLOOKUP('Données projet'!$B$10,Paramètres!$A$1:$I$88,3,0)*VLOOKUP('Données projet'!$B$10,Paramètres!$A$1:$I$88,5,0)</f>
        <v>214.29199999999997</v>
      </c>
      <c r="AK122" s="14">
        <f t="shared" si="89"/>
        <v>52.87238843682394</v>
      </c>
      <c r="AL122" s="22">
        <f t="shared" si="58"/>
        <v>465.31130986080166</v>
      </c>
      <c r="AM122" s="62">
        <f t="shared" si="59"/>
        <v>758.64464319413491</v>
      </c>
      <c r="AN122" s="62">
        <f ca="1">AVERAGE(OFFSET($AM$3,0,0,'Données projet'!$E$10+1,1))-AVERAGE(OFFSET($H$3,0,0,'Données projet'!$E$10+1,1))</f>
        <v>316.76504852082684</v>
      </c>
      <c r="AO122" s="62">
        <f t="shared" si="90"/>
        <v>218.5520645293999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0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4.666666666666667</v>
      </c>
      <c r="BD122" s="13">
        <f>IF('Données projet'!$A$88&gt;35,BD121+BC122-BL121,IF(A122&lt;'Données projet'!$A$88,$BA$205^A122,IF(A122='Données projet'!$A$88,'Données projet'!$B$88,BD121+BC122-BL121)))</f>
        <v>211.33333333333331</v>
      </c>
      <c r="BE122" s="14">
        <f>BD122*VLOOKUP('Données projet'!$B$11,Paramètres!$A$1:$I$88,3,0)*VLOOKUP('Données projet'!$B$11,Paramètres!$A$1:$I$88,5,0)</f>
        <v>184.6208</v>
      </c>
      <c r="BF122" s="14">
        <f t="shared" si="91"/>
        <v>46.348707553963621</v>
      </c>
      <c r="BG122" s="22">
        <f t="shared" si="61"/>
        <v>402.27189232315328</v>
      </c>
      <c r="BH122" s="62">
        <f t="shared" si="62"/>
        <v>695.6052256564866</v>
      </c>
      <c r="BI122" s="62">
        <f ca="1">AVERAGE(OFFSET($BH$3,0,0,'Données projet'!$E$11+1,1))-AVERAGE(OFFSET($H$3,0,0,'Données projet'!$E$11+1,1))</f>
        <v>278.24093386944304</v>
      </c>
      <c r="BJ122" s="62">
        <f t="shared" si="92"/>
        <v>193.96102673885611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0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4.666666666666667</v>
      </c>
      <c r="BY122" s="13">
        <f>IF('Données projet'!$A$114&gt;35,BY121+BX122-CG121,IF(A122&lt;'Données projet'!$A$114,$BV$205^A122,IF(A122='Données projet'!$A$114,'Données projet'!$B$114,BY121+BX122-CG121)))</f>
        <v>211.33333333333331</v>
      </c>
      <c r="BZ122" s="14">
        <f>BY122*VLOOKUP('Données projet'!$B$12,Paramètres!$A$1:$I$88,3,0)*VLOOKUP('Données projet'!$B$12,Paramètres!$A$1:$I$88,5,0)</f>
        <v>204.40159999999997</v>
      </c>
      <c r="CA122" s="14">
        <f t="shared" si="93"/>
        <v>50.71027718263386</v>
      </c>
      <c r="CB122" s="22">
        <f t="shared" si="64"/>
        <v>444.31985275975393</v>
      </c>
      <c r="CC122" s="62">
        <f t="shared" si="65"/>
        <v>737.65318609308724</v>
      </c>
      <c r="CD122" s="62">
        <f ca="1">AVERAGE(OFFSET($CC$3,0,0,'Données projet'!$E$12+1,1))-AVERAGE(OFFSET($H$3,0,0,'Données projet'!$E$12+1,1))</f>
        <v>303.93739496872121</v>
      </c>
      <c r="CE122" s="62">
        <f t="shared" si="94"/>
        <v>210.36431469568754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0</v>
      </c>
      <c r="CL122" s="23">
        <f>EXP(-LN(2)/25)*CL121+(1-EXP(-LN(2)/25))/(LN(2)/25)*Calculateur!CG122*Calculateur!CI122*VLOOKUP('Données projet'!$B$12,Paramètres!$A$1:$I$88,3,0)*0.475*44/12</f>
        <v>0</v>
      </c>
      <c r="CM122" s="23">
        <f>EXP(-LN(2)/2)*CM121+(1-EXP(-LN(2)/2))/(LN(2)/2)*CG122*CJ122*VLOOKUP('Données projet'!$B$12,Paramètres!$A$1:$I$88,3,0)*0.475*44/12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projet'!$B$13,Paramètres!$A$1:$I$88,3,0)*VLOOKUP('Données projet'!$B$13,Paramètres!$A$1:$I$88,5,0)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57.812812891099895</v>
      </c>
      <c r="CZ122" s="62">
        <f t="shared" si="96"/>
        <v>244.79885157604684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projet'!$B$13,Paramètres!$A$1:$I$88,3,0)*0.475*44/12</f>
        <v>6.6022471583964206</v>
      </c>
      <c r="DG122" s="23">
        <f>EXP(-LN(2)/25)*DG121+(1-EXP(-LN(2)/25))/(LN(2)/25)*Calculateur!DB122*Calculateur!DD122*VLOOKUP('Données projet'!$B$13,Paramètres!$A$1:$I$88,3,0)*0.475*44/12</f>
        <v>0</v>
      </c>
      <c r="DH122" s="23">
        <f>EXP(-LN(2)/2)*DH121+(1-EXP(-LN(2)/2))/(LN(2)/2)*DB122*DE122*VLOOKUP('Données projet'!$B$13,Paramètres!$A$1:$I$88,3,0)*0.475*44/12</f>
        <v>1.6123539750345603E-14</v>
      </c>
      <c r="DI122" s="24">
        <f t="shared" si="69"/>
        <v>6.6022471583964366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4.666666666666667</v>
      </c>
      <c r="N123" s="14">
        <f>IF('Données projet'!$A$36&gt;35,N122+M123-V122,IF(A123&lt;'Données projet'!$A$36,$K$205^A123,IF(A123='Données projet'!$A$36,'Données projet'!$B$36,N122+M123-V122)))</f>
        <v>215.99999999999997</v>
      </c>
      <c r="O123" s="14">
        <f>N123*VLOOKUP('Données projet'!$B$9,Paramètres!$A$1:$I$88,3,0)*VLOOKUP('Données projet'!$B$9,Paramètres!$A$1:$I$88,5,0)</f>
        <v>195.43679999999998</v>
      </c>
      <c r="P123" s="14">
        <f t="shared" si="87"/>
        <v>48.739971354487849</v>
      </c>
      <c r="Q123" s="22">
        <f t="shared" si="107"/>
        <v>425.27454344239959</v>
      </c>
      <c r="R123" s="62">
        <f t="shared" si="55"/>
        <v>718.60787677573285</v>
      </c>
      <c r="S123" s="62">
        <f ca="1">AVERAGE(OFFSET($R$3,0,0,'Données projet'!$E$9+1,1))-AVERAGE(OFFSET($H$3,0,0,'Données projet'!$E$9+1,1))</f>
        <v>286.81278534843665</v>
      </c>
      <c r="T123" s="62">
        <f t="shared" si="88"/>
        <v>199.43308683696642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4.666666666666667</v>
      </c>
      <c r="AI123" s="14">
        <f>IF('Données projet'!$A$62&gt;35,AI122+AH123-AQ122,IF(A123&lt;'Données projet'!$A$62,$AF$205^A123,IF(A123='Données projet'!$A$62,'Données projet'!$B$62,AI122+AH123-AQ122)))</f>
        <v>215.99999999999997</v>
      </c>
      <c r="AJ123" s="14">
        <f>AI123*VLOOKUP('Données projet'!$B$10,Paramètres!$A$1:$I$88,3,0)*VLOOKUP('Données projet'!$B$10,Paramètres!$A$1:$I$88,5,0)</f>
        <v>219.02399999999997</v>
      </c>
      <c r="AK123" s="14">
        <f t="shared" si="89"/>
        <v>53.902702081308355</v>
      </c>
      <c r="AL123" s="22">
        <f t="shared" si="58"/>
        <v>475.34733945827867</v>
      </c>
      <c r="AM123" s="62">
        <f t="shared" si="59"/>
        <v>768.68067279161198</v>
      </c>
      <c r="AN123" s="62">
        <f ca="1">AVERAGE(OFFSET($AM$3,0,0,'Données projet'!$E$10+1,1))-AVERAGE(OFFSET($H$3,0,0,'Données projet'!$E$10+1,1))</f>
        <v>316.76504852082684</v>
      </c>
      <c r="AO123" s="62">
        <f t="shared" si="90"/>
        <v>218.5520645293999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0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4.666666666666667</v>
      </c>
      <c r="BD123" s="13">
        <f>IF('Données projet'!$A$88&gt;35,BD122+BC123-BL122,IF(A123&lt;'Données projet'!$A$88,$BA$205^A123,IF(A123='Données projet'!$A$88,'Données projet'!$B$88,BD122+BC123-BL122)))</f>
        <v>215.99999999999997</v>
      </c>
      <c r="BE123" s="14">
        <f>BD123*VLOOKUP('Données projet'!$B$11,Paramètres!$A$1:$I$88,3,0)*VLOOKUP('Données projet'!$B$11,Paramètres!$A$1:$I$88,5,0)</f>
        <v>188.69759999999999</v>
      </c>
      <c r="BF123" s="14">
        <f t="shared" si="91"/>
        <v>47.251895535609734</v>
      </c>
      <c r="BG123" s="22">
        <f t="shared" si="61"/>
        <v>410.94537139118694</v>
      </c>
      <c r="BH123" s="62">
        <f t="shared" si="62"/>
        <v>704.27870472452025</v>
      </c>
      <c r="BI123" s="62">
        <f ca="1">AVERAGE(OFFSET($BH$3,0,0,'Données projet'!$E$11+1,1))-AVERAGE(OFFSET($H$3,0,0,'Données projet'!$E$11+1,1))</f>
        <v>278.24093386944304</v>
      </c>
      <c r="BJ123" s="62">
        <f t="shared" si="92"/>
        <v>193.96102673885611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0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4.666666666666667</v>
      </c>
      <c r="BY123" s="13">
        <f>IF('Données projet'!$A$114&gt;35,BY122+BX123-CG122,IF(A123&lt;'Données projet'!$A$114,$BV$205^A123,IF(A123='Données projet'!$A$114,'Données projet'!$B$114,BY122+BX123-CG122)))</f>
        <v>215.99999999999997</v>
      </c>
      <c r="BZ123" s="14">
        <f>BY123*VLOOKUP('Données projet'!$B$12,Paramètres!$A$1:$I$88,3,0)*VLOOKUP('Données projet'!$B$12,Paramètres!$A$1:$I$88,5,0)</f>
        <v>208.9152</v>
      </c>
      <c r="CA123" s="14">
        <f t="shared" si="93"/>
        <v>51.698458198123326</v>
      </c>
      <c r="CB123" s="22">
        <f t="shared" si="64"/>
        <v>453.90212136173153</v>
      </c>
      <c r="CC123" s="62">
        <f t="shared" si="65"/>
        <v>747.23545469506485</v>
      </c>
      <c r="CD123" s="62">
        <f ca="1">AVERAGE(OFFSET($CC$3,0,0,'Données projet'!$E$12+1,1))-AVERAGE(OFFSET($H$3,0,0,'Données projet'!$E$12+1,1))</f>
        <v>303.93739496872121</v>
      </c>
      <c r="CE123" s="62">
        <f t="shared" si="94"/>
        <v>210.36431469568754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0</v>
      </c>
      <c r="CL123" s="23">
        <f>EXP(-LN(2)/25)*CL122+(1-EXP(-LN(2)/25))/(LN(2)/25)*Calculateur!CG123*Calculateur!CI123*VLOOKUP('Données projet'!$B$12,Paramètres!$A$1:$I$88,3,0)*0.475*44/12</f>
        <v>0</v>
      </c>
      <c r="CM123" s="23">
        <f>EXP(-LN(2)/2)*CM122+(1-EXP(-LN(2)/2))/(LN(2)/2)*CG123*CJ123*VLOOKUP('Données projet'!$B$12,Paramètres!$A$1:$I$88,3,0)*0.475*44/12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projet'!$B$13,Paramètres!$A$1:$I$88,3,0)*VLOOKUP('Données projet'!$B$13,Paramètres!$A$1:$I$88,5,0)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57.812812891099895</v>
      </c>
      <c r="CZ123" s="62">
        <f t="shared" si="96"/>
        <v>244.79885157604684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projet'!$B$13,Paramètres!$A$1:$I$88,3,0)*0.475*44/12</f>
        <v>6.472781118593403</v>
      </c>
      <c r="DG123" s="23">
        <f>EXP(-LN(2)/25)*DG122+(1-EXP(-LN(2)/25))/(LN(2)/25)*Calculateur!DB123*Calculateur!DD123*VLOOKUP('Données projet'!$B$13,Paramètres!$A$1:$I$88,3,0)*0.475*44/12</f>
        <v>0</v>
      </c>
      <c r="DH123" s="23">
        <f>EXP(-LN(2)/2)*DH122+(1-EXP(-LN(2)/2))/(LN(2)/2)*DB123*DE123*VLOOKUP('Données projet'!$B$13,Paramètres!$A$1:$I$88,3,0)*0.475*44/12</f>
        <v>1.140106429420023E-14</v>
      </c>
      <c r="DI123" s="24">
        <f t="shared" si="69"/>
        <v>6.4727811185934145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4.666666666666667</v>
      </c>
      <c r="N124" s="14">
        <f>IF('Données projet'!$A$36&gt;35,N123+M124-V123,IF(A124&lt;'Données projet'!$A$36,$K$205^A124,IF(A124='Données projet'!$A$36,'Données projet'!$B$36,N123+M124-V123)))</f>
        <v>220.66666666666663</v>
      </c>
      <c r="O124" s="14">
        <f>N124*VLOOKUP('Données projet'!$B$9,Paramètres!$A$1:$I$88,3,0)*VLOOKUP('Données projet'!$B$9,Paramètres!$A$1:$I$88,5,0)</f>
        <v>199.65919999999997</v>
      </c>
      <c r="P124" s="14">
        <f t="shared" si="87"/>
        <v>49.66926276786149</v>
      </c>
      <c r="Q124" s="22">
        <f t="shared" si="107"/>
        <v>434.24707265402532</v>
      </c>
      <c r="R124" s="62">
        <f t="shared" si="55"/>
        <v>727.58040598735863</v>
      </c>
      <c r="S124" s="62">
        <f ca="1">AVERAGE(OFFSET($R$3,0,0,'Données projet'!$E$9+1,1))-AVERAGE(OFFSET($H$3,0,0,'Données projet'!$E$9+1,1))</f>
        <v>286.81278534843665</v>
      </c>
      <c r="T124" s="62">
        <f t="shared" si="88"/>
        <v>199.43308683696642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4.666666666666667</v>
      </c>
      <c r="AI124" s="14">
        <f>IF('Données projet'!$A$62&gt;35,AI123+AH124-AQ123,IF(A124&lt;'Données projet'!$A$62,$AF$205^A124,IF(A124='Données projet'!$A$62,'Données projet'!$B$62,AI123+AH124-AQ123)))</f>
        <v>220.66666666666663</v>
      </c>
      <c r="AJ124" s="14">
        <f>AI124*VLOOKUP('Données projet'!$B$10,Paramètres!$A$1:$I$88,3,0)*VLOOKUP('Données projet'!$B$10,Paramètres!$A$1:$I$88,5,0)</f>
        <v>223.75599999999997</v>
      </c>
      <c r="AK124" s="14">
        <f t="shared" si="89"/>
        <v>54.930427720239869</v>
      </c>
      <c r="AL124" s="22">
        <f t="shared" si="58"/>
        <v>485.37886161275105</v>
      </c>
      <c r="AM124" s="62">
        <f t="shared" si="59"/>
        <v>778.71219494608431</v>
      </c>
      <c r="AN124" s="62">
        <f ca="1">AVERAGE(OFFSET($AM$3,0,0,'Données projet'!$E$10+1,1))-AVERAGE(OFFSET($H$3,0,0,'Données projet'!$E$10+1,1))</f>
        <v>316.76504852082684</v>
      </c>
      <c r="AO124" s="62">
        <f t="shared" si="90"/>
        <v>218.5520645293999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0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4.666666666666667</v>
      </c>
      <c r="BD124" s="13">
        <f>IF('Données projet'!$A$88&gt;35,BD123+BC124-BL123,IF(A124&lt;'Données projet'!$A$88,$BA$205^A124,IF(A124='Données projet'!$A$88,'Données projet'!$B$88,BD123+BC124-BL123)))</f>
        <v>220.66666666666663</v>
      </c>
      <c r="BE124" s="14">
        <f>BD124*VLOOKUP('Données projet'!$B$11,Paramètres!$A$1:$I$88,3,0)*VLOOKUP('Données projet'!$B$11,Paramètres!$A$1:$I$88,5,0)</f>
        <v>192.77439999999999</v>
      </c>
      <c r="BF124" s="14">
        <f t="shared" si="91"/>
        <v>48.15281483380766</v>
      </c>
      <c r="BG124" s="22">
        <f t="shared" si="61"/>
        <v>419.61489916888166</v>
      </c>
      <c r="BH124" s="62">
        <f t="shared" si="62"/>
        <v>712.94823250221498</v>
      </c>
      <c r="BI124" s="62">
        <f ca="1">AVERAGE(OFFSET($BH$3,0,0,'Données projet'!$E$11+1,1))-AVERAGE(OFFSET($H$3,0,0,'Données projet'!$E$11+1,1))</f>
        <v>278.24093386944304</v>
      </c>
      <c r="BJ124" s="62">
        <f t="shared" si="92"/>
        <v>193.96102673885611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0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4.666666666666667</v>
      </c>
      <c r="BY124" s="13">
        <f>IF('Données projet'!$A$114&gt;35,BY123+BX124-CG123,IF(A124&lt;'Données projet'!$A$114,$BV$205^A124,IF(A124='Données projet'!$A$114,'Données projet'!$B$114,BY123+BX124-CG123)))</f>
        <v>220.66666666666663</v>
      </c>
      <c r="BZ124" s="14">
        <f>BY124*VLOOKUP('Données projet'!$B$12,Paramètres!$A$1:$I$88,3,0)*VLOOKUP('Données projet'!$B$12,Paramètres!$A$1:$I$88,5,0)</f>
        <v>213.42879999999997</v>
      </c>
      <c r="CA124" s="14">
        <f t="shared" si="93"/>
        <v>52.684157039404049</v>
      </c>
      <c r="CB124" s="22">
        <f t="shared" si="64"/>
        <v>463.48006684362866</v>
      </c>
      <c r="CC124" s="62">
        <f t="shared" si="65"/>
        <v>756.81340017696198</v>
      </c>
      <c r="CD124" s="62">
        <f ca="1">AVERAGE(OFFSET($CC$3,0,0,'Données projet'!$E$12+1,1))-AVERAGE(OFFSET($H$3,0,0,'Données projet'!$E$12+1,1))</f>
        <v>303.93739496872121</v>
      </c>
      <c r="CE124" s="62">
        <f t="shared" si="94"/>
        <v>210.36431469568754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0</v>
      </c>
      <c r="CL124" s="23">
        <f>EXP(-LN(2)/25)*CL123+(1-EXP(-LN(2)/25))/(LN(2)/25)*Calculateur!CG124*Calculateur!CI124*VLOOKUP('Données projet'!$B$12,Paramètres!$A$1:$I$88,3,0)*0.475*44/12</f>
        <v>0</v>
      </c>
      <c r="CM124" s="23">
        <f>EXP(-LN(2)/2)*CM123+(1-EXP(-LN(2)/2))/(LN(2)/2)*CG124*CJ124*VLOOKUP('Données projet'!$B$12,Paramètres!$A$1:$I$88,3,0)*0.475*44/12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projet'!$B$13,Paramètres!$A$1:$I$88,3,0)*VLOOKUP('Données projet'!$B$13,Paramètres!$A$1:$I$88,5,0)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57.812812891099895</v>
      </c>
      <c r="CZ124" s="62">
        <f t="shared" si="96"/>
        <v>244.79885157604684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projet'!$B$13,Paramètres!$A$1:$I$88,3,0)*0.475*44/12</f>
        <v>6.3458538288644357</v>
      </c>
      <c r="DG124" s="23">
        <f>EXP(-LN(2)/25)*DG123+(1-EXP(-LN(2)/25))/(LN(2)/25)*Calculateur!DB124*Calculateur!DD124*VLOOKUP('Données projet'!$B$13,Paramètres!$A$1:$I$88,3,0)*0.475*44/12</f>
        <v>0</v>
      </c>
      <c r="DH124" s="23">
        <f>EXP(-LN(2)/2)*DH123+(1-EXP(-LN(2)/2))/(LN(2)/2)*DB124*DE124*VLOOKUP('Données projet'!$B$13,Paramètres!$A$1:$I$88,3,0)*0.475*44/12</f>
        <v>8.0617698751728016E-15</v>
      </c>
      <c r="DI124" s="24">
        <f t="shared" si="69"/>
        <v>6.3458538288644437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4.666666666666667</v>
      </c>
      <c r="N125" s="14">
        <f>IF('Données projet'!$A$36&gt;35,N124+M125-V124,IF(A125&lt;'Données projet'!$A$36,$K$205^A125,IF(A125='Données projet'!$A$36,'Données projet'!$B$36,N124+M125-V124)))</f>
        <v>225.33333333333329</v>
      </c>
      <c r="O125" s="14">
        <f>N125*VLOOKUP('Données projet'!$B$9,Paramètres!$A$1:$I$88,3,0)*VLOOKUP('Données projet'!$B$9,Paramètres!$A$1:$I$88,5,0)</f>
        <v>203.88159999999996</v>
      </c>
      <c r="P125" s="14">
        <f t="shared" si="87"/>
        <v>50.596269241536007</v>
      </c>
      <c r="Q125" s="22">
        <f t="shared" si="107"/>
        <v>443.21562226234187</v>
      </c>
      <c r="R125" s="62">
        <f t="shared" si="55"/>
        <v>736.54895559567512</v>
      </c>
      <c r="S125" s="62">
        <f ca="1">AVERAGE(OFFSET($R$3,0,0,'Données projet'!$E$9+1,1))-AVERAGE(OFFSET($H$3,0,0,'Données projet'!$E$9+1,1))</f>
        <v>286.81278534843665</v>
      </c>
      <c r="T125" s="62">
        <f t="shared" si="88"/>
        <v>199.43308683696642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4.666666666666667</v>
      </c>
      <c r="AI125" s="14">
        <f>IF('Données projet'!$A$62&gt;35,AI124+AH125-AQ124,IF(A125&lt;'Données projet'!$A$62,$AF$205^A125,IF(A125='Données projet'!$A$62,'Données projet'!$B$62,AI124+AH125-AQ124)))</f>
        <v>225.33333333333329</v>
      </c>
      <c r="AJ125" s="14">
        <f>AI125*VLOOKUP('Données projet'!$B$10,Paramètres!$A$1:$I$88,3,0)*VLOOKUP('Données projet'!$B$10,Paramètres!$A$1:$I$88,5,0)</f>
        <v>228.48799999999997</v>
      </c>
      <c r="AK125" s="14">
        <f t="shared" si="89"/>
        <v>55.955626389613336</v>
      </c>
      <c r="AL125" s="22">
        <f t="shared" si="58"/>
        <v>495.40598262857651</v>
      </c>
      <c r="AM125" s="62">
        <f t="shared" si="59"/>
        <v>788.73931596190982</v>
      </c>
      <c r="AN125" s="62">
        <f ca="1">AVERAGE(OFFSET($AM$3,0,0,'Données projet'!$E$10+1,1))-AVERAGE(OFFSET($H$3,0,0,'Données projet'!$E$10+1,1))</f>
        <v>316.76504852082684</v>
      </c>
      <c r="AO125" s="62">
        <f t="shared" si="90"/>
        <v>218.5520645293999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0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4.666666666666667</v>
      </c>
      <c r="BD125" s="13">
        <f>IF('Données projet'!$A$88&gt;35,BD124+BC125-BL124,IF(A125&lt;'Données projet'!$A$88,$BA$205^A125,IF(A125='Données projet'!$A$88,'Données projet'!$B$88,BD124+BC125-BL124)))</f>
        <v>225.33333333333329</v>
      </c>
      <c r="BE125" s="14">
        <f>BD125*VLOOKUP('Données projet'!$B$11,Paramètres!$A$1:$I$88,3,0)*VLOOKUP('Données projet'!$B$11,Paramètres!$A$1:$I$88,5,0)</f>
        <v>196.85119999999998</v>
      </c>
      <c r="BF125" s="14">
        <f t="shared" si="91"/>
        <v>49.05151895360126</v>
      </c>
      <c r="BG125" s="22">
        <f t="shared" si="61"/>
        <v>428.28056884418879</v>
      </c>
      <c r="BH125" s="62">
        <f t="shared" si="62"/>
        <v>721.61390217752205</v>
      </c>
      <c r="BI125" s="62">
        <f ca="1">AVERAGE(OFFSET($BH$3,0,0,'Données projet'!$E$11+1,1))-AVERAGE(OFFSET($H$3,0,0,'Données projet'!$E$11+1,1))</f>
        <v>278.24093386944304</v>
      </c>
      <c r="BJ125" s="62">
        <f t="shared" si="92"/>
        <v>193.96102673885611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0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4.666666666666667</v>
      </c>
      <c r="BY125" s="13">
        <f>IF('Données projet'!$A$114&gt;35,BY124+BX125-CG124,IF(A125&lt;'Données projet'!$A$114,$BV$205^A125,IF(A125='Données projet'!$A$114,'Données projet'!$B$114,BY124+BX125-CG124)))</f>
        <v>225.33333333333329</v>
      </c>
      <c r="BZ125" s="14">
        <f>BY125*VLOOKUP('Données projet'!$B$12,Paramètres!$A$1:$I$88,3,0)*VLOOKUP('Données projet'!$B$12,Paramètres!$A$1:$I$88,5,0)</f>
        <v>217.94239999999999</v>
      </c>
      <c r="CA125" s="14">
        <f t="shared" si="93"/>
        <v>53.667432246524925</v>
      </c>
      <c r="CB125" s="22">
        <f t="shared" si="64"/>
        <v>473.05379116269745</v>
      </c>
      <c r="CC125" s="62">
        <f t="shared" si="65"/>
        <v>766.38712449603076</v>
      </c>
      <c r="CD125" s="62">
        <f ca="1">AVERAGE(OFFSET($CC$3,0,0,'Données projet'!$E$12+1,1))-AVERAGE(OFFSET($H$3,0,0,'Données projet'!$E$12+1,1))</f>
        <v>303.93739496872121</v>
      </c>
      <c r="CE125" s="62">
        <f t="shared" si="94"/>
        <v>210.36431469568754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0</v>
      </c>
      <c r="CL125" s="23">
        <f>EXP(-LN(2)/25)*CL124+(1-EXP(-LN(2)/25))/(LN(2)/25)*Calculateur!CG125*Calculateur!CI125*VLOOKUP('Données projet'!$B$12,Paramètres!$A$1:$I$88,3,0)*0.475*44/12</f>
        <v>0</v>
      </c>
      <c r="CM125" s="23">
        <f>EXP(-LN(2)/2)*CM124+(1-EXP(-LN(2)/2))/(LN(2)/2)*CG125*CJ125*VLOOKUP('Données projet'!$B$12,Paramètres!$A$1:$I$88,3,0)*0.475*44/12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projet'!$B$13,Paramètres!$A$1:$I$88,3,0)*VLOOKUP('Données projet'!$B$13,Paramètres!$A$1:$I$88,5,0)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57.812812891099895</v>
      </c>
      <c r="CZ125" s="62">
        <f t="shared" si="96"/>
        <v>244.79885157604684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projet'!$B$13,Paramètres!$A$1:$I$88,3,0)*0.475*44/12</f>
        <v>6.221415505869051</v>
      </c>
      <c r="DG125" s="23">
        <f>EXP(-LN(2)/25)*DG124+(1-EXP(-LN(2)/25))/(LN(2)/25)*Calculateur!DB125*Calculateur!DD125*VLOOKUP('Données projet'!$B$13,Paramètres!$A$1:$I$88,3,0)*0.475*44/12</f>
        <v>0</v>
      </c>
      <c r="DH125" s="23">
        <f>EXP(-LN(2)/2)*DH124+(1-EXP(-LN(2)/2))/(LN(2)/2)*DB125*DE125*VLOOKUP('Données projet'!$B$13,Paramètres!$A$1:$I$88,3,0)*0.475*44/12</f>
        <v>5.7005321471001149E-15</v>
      </c>
      <c r="DI125" s="24">
        <f t="shared" si="69"/>
        <v>6.2214155058690563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4.666666666666667</v>
      </c>
      <c r="N126" s="14">
        <f>IF('Données projet'!$A$36&gt;35,N125+M126-V125,IF(A126&lt;'Données projet'!$A$36,$K$205^A126,IF(A126='Données projet'!$A$36,'Données projet'!$B$36,N125+M126-V125)))</f>
        <v>229.99999999999994</v>
      </c>
      <c r="O126" s="14">
        <f>N126*VLOOKUP('Données projet'!$B$9,Paramètres!$A$1:$I$88,3,0)*VLOOKUP('Données projet'!$B$9,Paramètres!$A$1:$I$88,5,0)</f>
        <v>208.10399999999993</v>
      </c>
      <c r="P126" s="14">
        <f t="shared" si="87"/>
        <v>51.52104354893045</v>
      </c>
      <c r="Q126" s="22">
        <f t="shared" si="107"/>
        <v>452.18028418105376</v>
      </c>
      <c r="R126" s="62">
        <f t="shared" si="55"/>
        <v>745.51361751438708</v>
      </c>
      <c r="S126" s="62">
        <f ca="1">AVERAGE(OFFSET($R$3,0,0,'Données projet'!$E$9+1,1))-AVERAGE(OFFSET($H$3,0,0,'Données projet'!$E$9+1,1))</f>
        <v>286.81278534843665</v>
      </c>
      <c r="T126" s="62">
        <f t="shared" si="88"/>
        <v>199.43308683696642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4.666666666666667</v>
      </c>
      <c r="AI126" s="14">
        <f>IF('Données projet'!$A$62&gt;35,AI125+AH126-AQ125,IF(A126&lt;'Données projet'!$A$62,$AF$205^A126,IF(A126='Données projet'!$A$62,'Données projet'!$B$62,AI125+AH126-AQ125)))</f>
        <v>229.99999999999994</v>
      </c>
      <c r="AJ126" s="14">
        <f>AI126*VLOOKUP('Données projet'!$B$10,Paramètres!$A$1:$I$88,3,0)*VLOOKUP('Données projet'!$B$10,Paramètres!$A$1:$I$88,5,0)</f>
        <v>233.21999999999997</v>
      </c>
      <c r="AK126" s="14">
        <f t="shared" si="89"/>
        <v>56.978356452817273</v>
      </c>
      <c r="AL126" s="22">
        <f t="shared" si="58"/>
        <v>505.42880415532323</v>
      </c>
      <c r="AM126" s="62">
        <f t="shared" si="59"/>
        <v>798.76213748865655</v>
      </c>
      <c r="AN126" s="62">
        <f ca="1">AVERAGE(OFFSET($AM$3,0,0,'Données projet'!$E$10+1,1))-AVERAGE(OFFSET($H$3,0,0,'Données projet'!$E$10+1,1))</f>
        <v>316.76504852082684</v>
      </c>
      <c r="AO126" s="62">
        <f t="shared" si="90"/>
        <v>218.5520645293999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0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4.666666666666667</v>
      </c>
      <c r="BD126" s="13">
        <f>IF('Données projet'!$A$88&gt;35,BD125+BC126-BL125,IF(A126&lt;'Données projet'!$A$88,$BA$205^A126,IF(A126='Données projet'!$A$88,'Données projet'!$B$88,BD125+BC126-BL125)))</f>
        <v>229.99999999999994</v>
      </c>
      <c r="BE126" s="14">
        <f>BD126*VLOOKUP('Données projet'!$B$11,Paramètres!$A$1:$I$88,3,0)*VLOOKUP('Données projet'!$B$11,Paramètres!$A$1:$I$88,5,0)</f>
        <v>200.92799999999997</v>
      </c>
      <c r="BF126" s="14">
        <f t="shared" si="91"/>
        <v>49.948059057189042</v>
      </c>
      <c r="BG126" s="22">
        <f t="shared" si="61"/>
        <v>436.94246952460418</v>
      </c>
      <c r="BH126" s="62">
        <f t="shared" si="62"/>
        <v>730.27580285793749</v>
      </c>
      <c r="BI126" s="62">
        <f ca="1">AVERAGE(OFFSET($BH$3,0,0,'Données projet'!$E$11+1,1))-AVERAGE(OFFSET($H$3,0,0,'Données projet'!$E$11+1,1))</f>
        <v>278.24093386944304</v>
      </c>
      <c r="BJ126" s="62">
        <f t="shared" si="92"/>
        <v>193.96102673885611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0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4.666666666666667</v>
      </c>
      <c r="BY126" s="13">
        <f>IF('Données projet'!$A$114&gt;35,BY125+BX126-CG125,IF(A126&lt;'Données projet'!$A$114,$BV$205^A126,IF(A126='Données projet'!$A$114,'Données projet'!$B$114,BY125+BX126-CG125)))</f>
        <v>229.99999999999994</v>
      </c>
      <c r="BZ126" s="14">
        <f>BY126*VLOOKUP('Données projet'!$B$12,Paramètres!$A$1:$I$88,3,0)*VLOOKUP('Données projet'!$B$12,Paramètres!$A$1:$I$88,5,0)</f>
        <v>222.45599999999996</v>
      </c>
      <c r="CA126" s="14">
        <f t="shared" si="93"/>
        <v>54.648339796219815</v>
      </c>
      <c r="CB126" s="22">
        <f t="shared" si="64"/>
        <v>482.6233918117494</v>
      </c>
      <c r="CC126" s="62">
        <f t="shared" si="65"/>
        <v>775.95672514508271</v>
      </c>
      <c r="CD126" s="62">
        <f ca="1">AVERAGE(OFFSET($CC$3,0,0,'Données projet'!$E$12+1,1))-AVERAGE(OFFSET($H$3,0,0,'Données projet'!$E$12+1,1))</f>
        <v>303.93739496872121</v>
      </c>
      <c r="CE126" s="62">
        <f t="shared" si="94"/>
        <v>210.36431469568754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0</v>
      </c>
      <c r="CL126" s="23">
        <f>EXP(-LN(2)/25)*CL125+(1-EXP(-LN(2)/25))/(LN(2)/25)*Calculateur!CG126*Calculateur!CI126*VLOOKUP('Données projet'!$B$12,Paramètres!$A$1:$I$88,3,0)*0.475*44/12</f>
        <v>0</v>
      </c>
      <c r="CM126" s="23">
        <f>EXP(-LN(2)/2)*CM125+(1-EXP(-LN(2)/2))/(LN(2)/2)*CG126*CJ126*VLOOKUP('Données projet'!$B$12,Paramètres!$A$1:$I$88,3,0)*0.475*44/12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projet'!$B$13,Paramètres!$A$1:$I$88,3,0)*VLOOKUP('Données projet'!$B$13,Paramètres!$A$1:$I$88,5,0)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57.812812891099895</v>
      </c>
      <c r="CZ126" s="62">
        <f t="shared" si="96"/>
        <v>244.79885157604684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projet'!$B$13,Paramètres!$A$1:$I$88,3,0)*0.475*44/12</f>
        <v>6.0994173424877234</v>
      </c>
      <c r="DG126" s="23">
        <f>EXP(-LN(2)/25)*DG125+(1-EXP(-LN(2)/25))/(LN(2)/25)*Calculateur!DB126*Calculateur!DD126*VLOOKUP('Données projet'!$B$13,Paramètres!$A$1:$I$88,3,0)*0.475*44/12</f>
        <v>0</v>
      </c>
      <c r="DH126" s="23">
        <f>EXP(-LN(2)/2)*DH125+(1-EXP(-LN(2)/2))/(LN(2)/2)*DB126*DE126*VLOOKUP('Données projet'!$B$13,Paramètres!$A$1:$I$88,3,0)*0.475*44/12</f>
        <v>4.0308849375864008E-15</v>
      </c>
      <c r="DI126" s="24">
        <f t="shared" si="69"/>
        <v>6.0994173424877278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4.666666666666667</v>
      </c>
      <c r="N127" s="14">
        <f>IF('Données projet'!$A$36&gt;35,N126+M127-V126,IF(A127&lt;'Données projet'!$A$36,$K$205^A127,IF(A127='Données projet'!$A$36,'Données projet'!$B$36,N126+M127-V126)))</f>
        <v>234.6666666666666</v>
      </c>
      <c r="O127" s="14">
        <f>N127*VLOOKUP('Données projet'!$B$9,Paramètres!$A$1:$I$88,3,0)*VLOOKUP('Données projet'!$B$9,Paramètres!$A$1:$I$88,5,0)</f>
        <v>212.32639999999995</v>
      </c>
      <c r="P127" s="14">
        <f t="shared" si="87"/>
        <v>52.443636199504745</v>
      </c>
      <c r="Q127" s="22">
        <f t="shared" si="107"/>
        <v>461.141146380804</v>
      </c>
      <c r="R127" s="62">
        <f t="shared" si="55"/>
        <v>754.47447971413726</v>
      </c>
      <c r="S127" s="62">
        <f ca="1">AVERAGE(OFFSET($R$3,0,0,'Données projet'!$E$9+1,1))-AVERAGE(OFFSET($H$3,0,0,'Données projet'!$E$9+1,1))</f>
        <v>286.81278534843665</v>
      </c>
      <c r="T127" s="62">
        <f t="shared" si="88"/>
        <v>199.43308683696642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4.666666666666667</v>
      </c>
      <c r="AI127" s="14">
        <f>IF('Données projet'!$A$62&gt;35,AI126+AH127-AQ126,IF(A127&lt;'Données projet'!$A$62,$AF$205^A127,IF(A127='Données projet'!$A$62,'Données projet'!$B$62,AI126+AH127-AQ126)))</f>
        <v>234.6666666666666</v>
      </c>
      <c r="AJ127" s="14">
        <f>AI127*VLOOKUP('Données projet'!$B$10,Paramètres!$A$1:$I$88,3,0)*VLOOKUP('Données projet'!$B$10,Paramètres!$A$1:$I$88,5,0)</f>
        <v>237.95199999999997</v>
      </c>
      <c r="AK127" s="14">
        <f t="shared" si="89"/>
        <v>57.99867376947342</v>
      </c>
      <c r="AL127" s="22">
        <f t="shared" si="58"/>
        <v>515.44742348183274</v>
      </c>
      <c r="AM127" s="62">
        <f t="shared" si="59"/>
        <v>808.78075681516611</v>
      </c>
      <c r="AN127" s="62">
        <f ca="1">AVERAGE(OFFSET($AM$3,0,0,'Données projet'!$E$10+1,1))-AVERAGE(OFFSET($H$3,0,0,'Données projet'!$E$10+1,1))</f>
        <v>316.76504852082684</v>
      </c>
      <c r="AO127" s="62">
        <f t="shared" si="90"/>
        <v>218.5520645293999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0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4.666666666666667</v>
      </c>
      <c r="BD127" s="13">
        <f>IF('Données projet'!$A$88&gt;35,BD126+BC127-BL126,IF(A127&lt;'Données projet'!$A$88,$BA$205^A127,IF(A127='Données projet'!$A$88,'Données projet'!$B$88,BD126+BC127-BL126)))</f>
        <v>234.6666666666666</v>
      </c>
      <c r="BE127" s="14">
        <f>BD127*VLOOKUP('Données projet'!$B$11,Paramètres!$A$1:$I$88,3,0)*VLOOKUP('Données projet'!$B$11,Paramètres!$A$1:$I$88,5,0)</f>
        <v>205.00479999999996</v>
      </c>
      <c r="BF127" s="14">
        <f t="shared" si="91"/>
        <v>50.842484111930972</v>
      </c>
      <c r="BG127" s="22">
        <f t="shared" si="61"/>
        <v>445.60068649494639</v>
      </c>
      <c r="BH127" s="62">
        <f t="shared" si="62"/>
        <v>738.9340198282797</v>
      </c>
      <c r="BI127" s="62">
        <f ca="1">AVERAGE(OFFSET($BH$3,0,0,'Données projet'!$E$11+1,1))-AVERAGE(OFFSET($H$3,0,0,'Données projet'!$E$11+1,1))</f>
        <v>278.24093386944304</v>
      </c>
      <c r="BJ127" s="62">
        <f t="shared" si="92"/>
        <v>193.96102673885611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0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4.666666666666667</v>
      </c>
      <c r="BY127" s="13">
        <f>IF('Données projet'!$A$114&gt;35,BY126+BX127-CG126,IF(A127&lt;'Données projet'!$A$114,$BV$205^A127,IF(A127='Données projet'!$A$114,'Données projet'!$B$114,BY126+BX127-CG126)))</f>
        <v>234.6666666666666</v>
      </c>
      <c r="BZ127" s="14">
        <f>BY127*VLOOKUP('Données projet'!$B$12,Paramètres!$A$1:$I$88,3,0)*VLOOKUP('Données projet'!$B$12,Paramètres!$A$1:$I$88,5,0)</f>
        <v>226.96959999999993</v>
      </c>
      <c r="CA127" s="14">
        <f t="shared" si="93"/>
        <v>55.626933263842304</v>
      </c>
      <c r="CB127" s="22">
        <f t="shared" si="64"/>
        <v>492.18896210119175</v>
      </c>
      <c r="CC127" s="62">
        <f t="shared" si="65"/>
        <v>785.52229543452506</v>
      </c>
      <c r="CD127" s="62">
        <f ca="1">AVERAGE(OFFSET($CC$3,0,0,'Données projet'!$E$12+1,1))-AVERAGE(OFFSET($H$3,0,0,'Données projet'!$E$12+1,1))</f>
        <v>303.93739496872121</v>
      </c>
      <c r="CE127" s="62">
        <f t="shared" si="94"/>
        <v>210.36431469568754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0</v>
      </c>
      <c r="CL127" s="23">
        <f>EXP(-LN(2)/25)*CL126+(1-EXP(-LN(2)/25))/(LN(2)/25)*Calculateur!CG127*Calculateur!CI127*VLOOKUP('Données projet'!$B$12,Paramètres!$A$1:$I$88,3,0)*0.475*44/12</f>
        <v>0</v>
      </c>
      <c r="CM127" s="23">
        <f>EXP(-LN(2)/2)*CM126+(1-EXP(-LN(2)/2))/(LN(2)/2)*CG127*CJ127*VLOOKUP('Données projet'!$B$12,Paramètres!$A$1:$I$88,3,0)*0.475*44/12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projet'!$B$13,Paramètres!$A$1:$I$88,3,0)*VLOOKUP('Données projet'!$B$13,Paramètres!$A$1:$I$88,5,0)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57.812812891099895</v>
      </c>
      <c r="CZ127" s="62">
        <f t="shared" si="96"/>
        <v>244.79885157604684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projet'!$B$13,Paramètres!$A$1:$I$88,3,0)*0.475*44/12</f>
        <v>5.979811488678771</v>
      </c>
      <c r="DG127" s="23">
        <f>EXP(-LN(2)/25)*DG126+(1-EXP(-LN(2)/25))/(LN(2)/25)*Calculateur!DB127*Calculateur!DD127*VLOOKUP('Données projet'!$B$13,Paramètres!$A$1:$I$88,3,0)*0.475*44/12</f>
        <v>0</v>
      </c>
      <c r="DH127" s="23">
        <f>EXP(-LN(2)/2)*DH126+(1-EXP(-LN(2)/2))/(LN(2)/2)*DB127*DE127*VLOOKUP('Données projet'!$B$13,Paramètres!$A$1:$I$88,3,0)*0.475*44/12</f>
        <v>2.8502660735500575E-15</v>
      </c>
      <c r="DI127" s="24">
        <f t="shared" si="69"/>
        <v>5.9798114886787737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4.666666666666667</v>
      </c>
      <c r="N128" s="14">
        <f>IF('Données projet'!$A$36&gt;35,N127+M128-V127,IF(A128&lt;'Données projet'!$A$36,$K$205^A128,IF(A128='Données projet'!$A$36,'Données projet'!$B$36,N127+M128-V127)))</f>
        <v>239.33333333333326</v>
      </c>
      <c r="O128" s="14">
        <f>N128*VLOOKUP('Données projet'!$B$9,Paramètres!$A$1:$I$88,3,0)*VLOOKUP('Données projet'!$B$9,Paramètres!$A$1:$I$88,5,0)</f>
        <v>216.54879999999991</v>
      </c>
      <c r="P128" s="14">
        <f t="shared" si="87"/>
        <v>53.364095578940429</v>
      </c>
      <c r="Q128" s="22">
        <f t="shared" si="107"/>
        <v>470.09829313332102</v>
      </c>
      <c r="R128" s="62">
        <f t="shared" si="55"/>
        <v>763.43162646665428</v>
      </c>
      <c r="S128" s="62">
        <f ca="1">AVERAGE(OFFSET($R$3,0,0,'Données projet'!$E$9+1,1))-AVERAGE(OFFSET($H$3,0,0,'Données projet'!$E$9+1,1))</f>
        <v>286.81278534843665</v>
      </c>
      <c r="T128" s="62">
        <f t="shared" si="88"/>
        <v>199.43308683696642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4.666666666666667</v>
      </c>
      <c r="AI128" s="14">
        <f>IF('Données projet'!$A$62&gt;35,AI127+AH128-AQ127,IF(A128&lt;'Données projet'!$A$62,$AF$205^A128,IF(A128='Données projet'!$A$62,'Données projet'!$B$62,AI127+AH128-AQ127)))</f>
        <v>239.33333333333326</v>
      </c>
      <c r="AJ128" s="14">
        <f>AI128*VLOOKUP('Données projet'!$B$10,Paramètres!$A$1:$I$88,3,0)*VLOOKUP('Données projet'!$B$10,Paramètres!$A$1:$I$88,5,0)</f>
        <v>242.68399999999997</v>
      </c>
      <c r="AK128" s="14">
        <f t="shared" si="89"/>
        <v>59.016631850466453</v>
      </c>
      <c r="AL128" s="22">
        <f t="shared" si="58"/>
        <v>525.46193380622901</v>
      </c>
      <c r="AM128" s="62">
        <f t="shared" si="59"/>
        <v>818.79526713956238</v>
      </c>
      <c r="AN128" s="62">
        <f ca="1">AVERAGE(OFFSET($AM$3,0,0,'Données projet'!$E$10+1,1))-AVERAGE(OFFSET($H$3,0,0,'Données projet'!$E$10+1,1))</f>
        <v>316.76504852082684</v>
      </c>
      <c r="AO128" s="62">
        <f t="shared" si="90"/>
        <v>218.5520645293999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0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4.666666666666667</v>
      </c>
      <c r="BD128" s="13">
        <f>IF('Données projet'!$A$88&gt;35,BD127+BC128-BL127,IF(A128&lt;'Données projet'!$A$88,$BA$205^A128,IF(A128='Données projet'!$A$88,'Données projet'!$B$88,BD127+BC128-BL127)))</f>
        <v>239.33333333333326</v>
      </c>
      <c r="BE128" s="14">
        <f>BD128*VLOOKUP('Données projet'!$B$11,Paramètres!$A$1:$I$88,3,0)*VLOOKUP('Données projet'!$B$11,Paramètres!$A$1:$I$88,5,0)</f>
        <v>209.08159999999998</v>
      </c>
      <c r="BF128" s="14">
        <f t="shared" si="91"/>
        <v>51.734841026249605</v>
      </c>
      <c r="BG128" s="22">
        <f t="shared" si="61"/>
        <v>454.25530145405133</v>
      </c>
      <c r="BH128" s="62">
        <f t="shared" si="62"/>
        <v>747.58863478738465</v>
      </c>
      <c r="BI128" s="62">
        <f ca="1">AVERAGE(OFFSET($BH$3,0,0,'Données projet'!$E$11+1,1))-AVERAGE(OFFSET($H$3,0,0,'Données projet'!$E$11+1,1))</f>
        <v>278.24093386944304</v>
      </c>
      <c r="BJ128" s="62">
        <f t="shared" si="92"/>
        <v>193.96102673885611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0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4.666666666666667</v>
      </c>
      <c r="BY128" s="13">
        <f>IF('Données projet'!$A$114&gt;35,BY127+BX128-CG127,IF(A128&lt;'Données projet'!$A$114,$BV$205^A128,IF(A128='Données projet'!$A$114,'Données projet'!$B$114,BY127+BX128-CG127)))</f>
        <v>239.33333333333326</v>
      </c>
      <c r="BZ128" s="14">
        <f>BY128*VLOOKUP('Données projet'!$B$12,Paramètres!$A$1:$I$88,3,0)*VLOOKUP('Données projet'!$B$12,Paramètres!$A$1:$I$88,5,0)</f>
        <v>231.48319999999995</v>
      </c>
      <c r="CA128" s="14">
        <f t="shared" si="93"/>
        <v>56.603263972055764</v>
      </c>
      <c r="CB128" s="22">
        <f t="shared" si="64"/>
        <v>501.75059141799693</v>
      </c>
      <c r="CC128" s="62">
        <f t="shared" si="65"/>
        <v>795.08392475133019</v>
      </c>
      <c r="CD128" s="62">
        <f ca="1">AVERAGE(OFFSET($CC$3,0,0,'Données projet'!$E$12+1,1))-AVERAGE(OFFSET($H$3,0,0,'Données projet'!$E$12+1,1))</f>
        <v>303.93739496872121</v>
      </c>
      <c r="CE128" s="62">
        <f t="shared" si="94"/>
        <v>210.36431469568754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0</v>
      </c>
      <c r="CL128" s="23">
        <f>EXP(-LN(2)/25)*CL127+(1-EXP(-LN(2)/25))/(LN(2)/25)*Calculateur!CG128*Calculateur!CI128*VLOOKUP('Données projet'!$B$12,Paramètres!$A$1:$I$88,3,0)*0.475*44/12</f>
        <v>0</v>
      </c>
      <c r="CM128" s="23">
        <f>EXP(-LN(2)/2)*CM127+(1-EXP(-LN(2)/2))/(LN(2)/2)*CG128*CJ128*VLOOKUP('Données projet'!$B$12,Paramètres!$A$1:$I$88,3,0)*0.475*44/12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projet'!$B$13,Paramètres!$A$1:$I$88,3,0)*VLOOKUP('Données projet'!$B$13,Paramètres!$A$1:$I$88,5,0)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57.812812891099895</v>
      </c>
      <c r="CZ128" s="62">
        <f t="shared" si="96"/>
        <v>244.79885157604684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projet'!$B$13,Paramètres!$A$1:$I$88,3,0)*0.475*44/12</f>
        <v>5.8625510327106447</v>
      </c>
      <c r="DG128" s="23">
        <f>EXP(-LN(2)/25)*DG127+(1-EXP(-LN(2)/25))/(LN(2)/25)*Calculateur!DB128*Calculateur!DD128*VLOOKUP('Données projet'!$B$13,Paramètres!$A$1:$I$88,3,0)*0.475*44/12</f>
        <v>0</v>
      </c>
      <c r="DH128" s="23">
        <f>EXP(-LN(2)/2)*DH127+(1-EXP(-LN(2)/2))/(LN(2)/2)*DB128*DE128*VLOOKUP('Données projet'!$B$13,Paramètres!$A$1:$I$88,3,0)*0.475*44/12</f>
        <v>2.0154424687932004E-15</v>
      </c>
      <c r="DI128" s="24">
        <f t="shared" si="69"/>
        <v>5.8625510327106465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>
        <f>VLOOKUP(A129,'Données projet'!$A$35:$I$55,2,0)</f>
        <v>244</v>
      </c>
      <c r="L129" s="13">
        <f>VLOOKUP(A129,'Données projet'!$A$35:$I$55,9,0)</f>
        <v>4.666666666666667</v>
      </c>
      <c r="M129" s="13">
        <f t="array" ref="M129">INDEX(L:L,MIN(IF(ISNUMBER(L129:L325),ROW(L129:L325),"")))</f>
        <v>4.666666666666667</v>
      </c>
      <c r="N129" s="14">
        <f>IF('Données projet'!$A$36&gt;35,N128+M129-V128,IF(A129&lt;'Données projet'!$A$36,$K$205^A129,IF(A129='Données projet'!$A$36,'Données projet'!$B$36,N128+M129-V128)))</f>
        <v>243.99999999999991</v>
      </c>
      <c r="O129" s="14">
        <f>N129*VLOOKUP('Données projet'!$B$9,Paramètres!$A$1:$I$88,3,0)*VLOOKUP('Données projet'!$B$9,Paramètres!$A$1:$I$88,5,0)</f>
        <v>220.77119999999994</v>
      </c>
      <c r="P129" s="14">
        <f t="shared" si="87"/>
        <v>54.28246807807983</v>
      </c>
      <c r="Q129" s="22">
        <f t="shared" si="107"/>
        <v>479.05180523598892</v>
      </c>
      <c r="R129" s="62">
        <f t="shared" si="55"/>
        <v>772.38513856932218</v>
      </c>
      <c r="S129" s="62">
        <f ca="1">AVERAGE(OFFSET($R$3,0,0,'Données projet'!$E$9+1,1))-AVERAGE(OFFSET($H$3,0,0,'Données projet'!$E$9+1,1))</f>
        <v>286.81278534843665</v>
      </c>
      <c r="T129" s="62">
        <f t="shared" si="88"/>
        <v>199.43308683696642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244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>
        <f>VLOOKUP(A129,'Données projet'!$A$61:$I$81,2,0)</f>
        <v>244</v>
      </c>
      <c r="AG129" s="13">
        <f>VLOOKUP(A129,'Données projet'!$A$61:$I$81,9,0)</f>
        <v>4.666666666666667</v>
      </c>
      <c r="AH129" s="13">
        <f t="array" ref="AH129">INDEX(AG:AG,MIN(IF(ISNUMBER(AG129:AG325),ROW(AG129:AG325),"")))</f>
        <v>4.666666666666667</v>
      </c>
      <c r="AI129" s="14">
        <f>IF('Données projet'!$A$62&gt;35,AI128+AH129-AQ128,IF(A129&lt;'Données projet'!$A$62,$AF$205^A129,IF(A129='Données projet'!$A$62,'Données projet'!$B$62,AI128+AH129-AQ128)))</f>
        <v>243.99999999999991</v>
      </c>
      <c r="AJ129" s="14">
        <f>AI129*VLOOKUP('Données projet'!$B$10,Paramètres!$A$1:$I$88,3,0)*VLOOKUP('Données projet'!$B$10,Paramètres!$A$1:$I$88,5,0)</f>
        <v>247.41599999999991</v>
      </c>
      <c r="AK129" s="14">
        <f t="shared" si="89"/>
        <v>60.032282000540192</v>
      </c>
      <c r="AL129" s="22">
        <f t="shared" si="58"/>
        <v>535.47242448427392</v>
      </c>
      <c r="AM129" s="62">
        <f t="shared" si="59"/>
        <v>828.80575781760717</v>
      </c>
      <c r="AN129" s="62">
        <f ca="1">AVERAGE(OFFSET($AM$3,0,0,'Données projet'!$E$10+1,1))-AVERAGE(OFFSET($H$3,0,0,'Données projet'!$E$10+1,1))</f>
        <v>316.76504852082684</v>
      </c>
      <c r="AO129" s="62">
        <f t="shared" si="90"/>
        <v>218.5520645293999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244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0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>
        <f>VLOOKUP(A129,'Données projet'!$A$87:$I$107,2,0)</f>
        <v>244</v>
      </c>
      <c r="BB129" s="13">
        <f>VLOOKUP(A129,'Données projet'!$A$87:$I$107,9,0)</f>
        <v>4.666666666666667</v>
      </c>
      <c r="BC129" s="13">
        <f t="array" ref="BC129">INDEX(BB:BB,MIN(IF(ISNUMBER(BB129:BB325),ROW(BB129:BB325),"")))</f>
        <v>4.666666666666667</v>
      </c>
      <c r="BD129" s="13">
        <f>IF('Données projet'!$A$88&gt;35,BD128+BC129-BL128,IF(A129&lt;'Données projet'!$A$88,$BA$205^A129,IF(A129='Données projet'!$A$88,'Données projet'!$B$88,BD128+BC129-BL128)))</f>
        <v>243.99999999999991</v>
      </c>
      <c r="BE129" s="14">
        <f>BD129*VLOOKUP('Données projet'!$B$11,Paramètres!$A$1:$I$88,3,0)*VLOOKUP('Données projet'!$B$11,Paramètres!$A$1:$I$88,5,0)</f>
        <v>213.15839999999994</v>
      </c>
      <c r="BF129" s="14">
        <f t="shared" si="91"/>
        <v>52.62517477463237</v>
      </c>
      <c r="BG129" s="22">
        <f t="shared" si="61"/>
        <v>462.90639273248456</v>
      </c>
      <c r="BH129" s="62">
        <f t="shared" si="62"/>
        <v>756.23972606581788</v>
      </c>
      <c r="BI129" s="62">
        <f ca="1">AVERAGE(OFFSET($BH$3,0,0,'Données projet'!$E$11+1,1))-AVERAGE(OFFSET($H$3,0,0,'Données projet'!$E$11+1,1))</f>
        <v>278.24093386944304</v>
      </c>
      <c r="BJ129" s="62">
        <f t="shared" si="92"/>
        <v>193.96102673885611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244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0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>
        <f>VLOOKUP(A129,'Données projet'!$A$113:$I$133,2,0)</f>
        <v>244</v>
      </c>
      <c r="BW129" s="13">
        <f>VLOOKUP(A129,'Données projet'!$A$113:$I$133,9,0)</f>
        <v>4.666666666666667</v>
      </c>
      <c r="BX129" s="13">
        <f t="array" ref="BX129">INDEX(BW:BW,MIN(IF(ISNUMBER(BW129:BW325),ROW(BW129:BW325),"")))</f>
        <v>4.666666666666667</v>
      </c>
      <c r="BY129" s="13">
        <f>IF('Données projet'!$A$114&gt;35,BY128+BX129-CG128,IF(A129&lt;'Données projet'!$A$114,$BV$205^A129,IF(A129='Données projet'!$A$114,'Données projet'!$B$114,BY128+BX129-CG128)))</f>
        <v>243.99999999999991</v>
      </c>
      <c r="BZ129" s="14">
        <f>BY129*VLOOKUP('Données projet'!$B$12,Paramètres!$A$1:$I$88,3,0)*VLOOKUP('Données projet'!$B$12,Paramètres!$A$1:$I$88,5,0)</f>
        <v>235.99679999999992</v>
      </c>
      <c r="CA129" s="14">
        <f t="shared" si="93"/>
        <v>57.577381127598322</v>
      </c>
      <c r="CB129" s="22">
        <f t="shared" si="64"/>
        <v>511.3083654639002</v>
      </c>
      <c r="CC129" s="62">
        <f t="shared" si="65"/>
        <v>804.64169879723352</v>
      </c>
      <c r="CD129" s="62">
        <f ca="1">AVERAGE(OFFSET($CC$3,0,0,'Données projet'!$E$12+1,1))-AVERAGE(OFFSET($H$3,0,0,'Données projet'!$E$12+1,1))</f>
        <v>303.93739496872121</v>
      </c>
      <c r="CE129" s="62">
        <f t="shared" si="94"/>
        <v>210.36431469568754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244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0</v>
      </c>
      <c r="CL129" s="23">
        <f>EXP(-LN(2)/25)*CL128+(1-EXP(-LN(2)/25))/(LN(2)/25)*Calculateur!CG129*Calculateur!CI129*VLOOKUP('Données projet'!$B$12,Paramètres!$A$1:$I$88,3,0)*0.475*44/12</f>
        <v>0</v>
      </c>
      <c r="CM129" s="23">
        <f>EXP(-LN(2)/2)*CM128+(1-EXP(-LN(2)/2))/(LN(2)/2)*CG129*CJ129*VLOOKUP('Données projet'!$B$12,Paramètres!$A$1:$I$88,3,0)*0.475*44/12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projet'!$B$13,Paramètres!$A$1:$I$88,3,0)*VLOOKUP('Données projet'!$B$13,Paramètres!$A$1:$I$88,5,0)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57.812812891099895</v>
      </c>
      <c r="CZ129" s="62">
        <f t="shared" si="96"/>
        <v>244.79885157604684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projet'!$B$13,Paramètres!$A$1:$I$88,3,0)*0.475*44/12</f>
        <v>5.7475899827622374</v>
      </c>
      <c r="DG129" s="23">
        <f>EXP(-LN(2)/25)*DG128+(1-EXP(-LN(2)/25))/(LN(2)/25)*Calculateur!DB129*Calculateur!DD129*VLOOKUP('Données projet'!$B$13,Paramètres!$A$1:$I$88,3,0)*0.475*44/12</f>
        <v>0</v>
      </c>
      <c r="DH129" s="23">
        <f>EXP(-LN(2)/2)*DH128+(1-EXP(-LN(2)/2))/(LN(2)/2)*DB129*DE129*VLOOKUP('Données projet'!$B$13,Paramètres!$A$1:$I$88,3,0)*0.475*44/12</f>
        <v>1.4251330367750287E-15</v>
      </c>
      <c r="DI129" s="24">
        <f t="shared" si="69"/>
        <v>5.7475899827622392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-8.5265128291212022E-14</v>
      </c>
      <c r="O130" s="14">
        <f>N130*VLOOKUP('Données projet'!$B$9,Paramètres!$A$1:$I$88,3,0)*VLOOKUP('Données projet'!$B$9,Paramètres!$A$1:$I$88,5,0)</f>
        <v>-7.7147888077888636E-14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286.81278534843665</v>
      </c>
      <c r="T130" s="62">
        <f t="shared" si="88"/>
        <v>199.43308683696642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-8.5265128291212022E-14</v>
      </c>
      <c r="AJ130" s="14">
        <f>AI130*VLOOKUP('Données projet'!$B$10,Paramètres!$A$1:$I$88,3,0)*VLOOKUP('Données projet'!$B$10,Paramètres!$A$1:$I$88,5,0)</f>
        <v>-8.6458840087288998E-14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316.76504852082684</v>
      </c>
      <c r="AO130" s="62">
        <f t="shared" si="90"/>
        <v>218.5520645293999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0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-8.5265128291212022E-14</v>
      </c>
      <c r="BE130" s="14">
        <f>BD130*VLOOKUP('Données projet'!$B$11,Paramètres!$A$1:$I$88,3,0)*VLOOKUP('Données projet'!$B$11,Paramètres!$A$1:$I$88,5,0)</f>
        <v>-7.4487616075202836E-14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278.24093386944304</v>
      </c>
      <c r="BJ130" s="62">
        <f t="shared" si="92"/>
        <v>193.96102673885611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0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-8.5265128291212022E-14</v>
      </c>
      <c r="BZ130" s="14">
        <f>BY130*VLOOKUP('Données projet'!$B$12,Paramètres!$A$1:$I$88,3,0)*VLOOKUP('Données projet'!$B$12,Paramètres!$A$1:$I$88,5,0)</f>
        <v>-8.246843208326026E-14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303.93739496872121</v>
      </c>
      <c r="CE130" s="62">
        <f t="shared" si="94"/>
        <v>210.36431469568754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0</v>
      </c>
      <c r="CL130" s="23">
        <f>EXP(-LN(2)/25)*CL129+(1-EXP(-LN(2)/25))/(LN(2)/25)*Calculateur!CG130*Calculateur!CI130*VLOOKUP('Données projet'!$B$12,Paramètres!$A$1:$I$88,3,0)*0.475*44/12</f>
        <v>0</v>
      </c>
      <c r="CM130" s="23">
        <f>EXP(-LN(2)/2)*CM129+(1-EXP(-LN(2)/2))/(LN(2)/2)*CG130*CJ130*VLOOKUP('Données projet'!$B$12,Paramètres!$A$1:$I$88,3,0)*0.475*44/12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projet'!$B$13,Paramètres!$A$1:$I$88,3,0)*VLOOKUP('Données projet'!$B$13,Paramètres!$A$1:$I$88,5,0)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57.812812891099895</v>
      </c>
      <c r="CZ130" s="62">
        <f t="shared" si="96"/>
        <v>244.79885157604684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projet'!$B$13,Paramètres!$A$1:$I$88,3,0)*0.475*44/12</f>
        <v>5.6348832488840017</v>
      </c>
      <c r="DG130" s="23">
        <f>EXP(-LN(2)/25)*DG129+(1-EXP(-LN(2)/25))/(LN(2)/25)*Calculateur!DB130*Calculateur!DD130*VLOOKUP('Données projet'!$B$13,Paramètres!$A$1:$I$88,3,0)*0.475*44/12</f>
        <v>0</v>
      </c>
      <c r="DH130" s="23">
        <f>EXP(-LN(2)/2)*DH129+(1-EXP(-LN(2)/2))/(LN(2)/2)*DB130*DE130*VLOOKUP('Données projet'!$B$13,Paramètres!$A$1:$I$88,3,0)*0.475*44/12</f>
        <v>1.0077212343966002E-15</v>
      </c>
      <c r="DI130" s="24">
        <f t="shared" si="69"/>
        <v>5.6348832488840026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-8.5265128291212022E-14</v>
      </c>
      <c r="O131" s="14">
        <f>N131*VLOOKUP('Données projet'!$B$9,Paramètres!$A$1:$I$88,3,0)*VLOOKUP('Données projet'!$B$9,Paramètres!$A$1:$I$88,5,0)</f>
        <v>-7.7147888077888636E-14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286.81278534843665</v>
      </c>
      <c r="T131" s="62">
        <f t="shared" si="88"/>
        <v>199.43308683696642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-8.5265128291212022E-14</v>
      </c>
      <c r="AJ131" s="14">
        <f>AI131*VLOOKUP('Données projet'!$B$10,Paramètres!$A$1:$I$88,3,0)*VLOOKUP('Données projet'!$B$10,Paramètres!$A$1:$I$88,5,0)</f>
        <v>-8.6458840087288998E-14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316.76504852082684</v>
      </c>
      <c r="AO131" s="62">
        <f t="shared" si="90"/>
        <v>218.5520645293999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0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-8.5265128291212022E-14</v>
      </c>
      <c r="BE131" s="14">
        <f>BD131*VLOOKUP('Données projet'!$B$11,Paramètres!$A$1:$I$88,3,0)*VLOOKUP('Données projet'!$B$11,Paramètres!$A$1:$I$88,5,0)</f>
        <v>-7.4487616075202836E-14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278.24093386944304</v>
      </c>
      <c r="BJ131" s="62">
        <f t="shared" si="92"/>
        <v>193.96102673885611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0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-8.5265128291212022E-14</v>
      </c>
      <c r="BZ131" s="14">
        <f>BY131*VLOOKUP('Données projet'!$B$12,Paramètres!$A$1:$I$88,3,0)*VLOOKUP('Données projet'!$B$12,Paramètres!$A$1:$I$88,5,0)</f>
        <v>-8.246843208326026E-14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303.93739496872121</v>
      </c>
      <c r="CE131" s="62">
        <f t="shared" si="94"/>
        <v>210.36431469568754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0</v>
      </c>
      <c r="CL131" s="23">
        <f>EXP(-LN(2)/25)*CL130+(1-EXP(-LN(2)/25))/(LN(2)/25)*Calculateur!CG131*Calculateur!CI131*VLOOKUP('Données projet'!$B$12,Paramètres!$A$1:$I$88,3,0)*0.475*44/12</f>
        <v>0</v>
      </c>
      <c r="CM131" s="23">
        <f>EXP(-LN(2)/2)*CM130+(1-EXP(-LN(2)/2))/(LN(2)/2)*CG131*CJ131*VLOOKUP('Données projet'!$B$12,Paramètres!$A$1:$I$88,3,0)*0.475*44/12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projet'!$B$13,Paramètres!$A$1:$I$88,3,0)*VLOOKUP('Données projet'!$B$13,Paramètres!$A$1:$I$88,5,0)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57.812812891099895</v>
      </c>
      <c r="CZ131" s="62">
        <f t="shared" si="96"/>
        <v>244.79885157604684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projet'!$B$13,Paramètres!$A$1:$I$88,3,0)*0.475*44/12</f>
        <v>5.5243866253127987</v>
      </c>
      <c r="DG131" s="23">
        <f>EXP(-LN(2)/25)*DG130+(1-EXP(-LN(2)/25))/(LN(2)/25)*Calculateur!DB131*Calculateur!DD131*VLOOKUP('Données projet'!$B$13,Paramètres!$A$1:$I$88,3,0)*0.475*44/12</f>
        <v>0</v>
      </c>
      <c r="DH131" s="23">
        <f>EXP(-LN(2)/2)*DH130+(1-EXP(-LN(2)/2))/(LN(2)/2)*DB131*DE131*VLOOKUP('Données projet'!$B$13,Paramètres!$A$1:$I$88,3,0)*0.475*44/12</f>
        <v>7.1256651838751437E-16</v>
      </c>
      <c r="DI131" s="24">
        <f t="shared" si="69"/>
        <v>5.5243866253127996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-8.5265128291212022E-14</v>
      </c>
      <c r="O132" s="14">
        <f>N132*VLOOKUP('Données projet'!$B$9,Paramètres!$A$1:$I$88,3,0)*VLOOKUP('Données projet'!$B$9,Paramètres!$A$1:$I$88,5,0)</f>
        <v>-7.7147888077888636E-14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286.81278534843665</v>
      </c>
      <c r="T132" s="62">
        <f t="shared" si="88"/>
        <v>199.43308683696642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-8.5265128291212022E-14</v>
      </c>
      <c r="AJ132" s="14">
        <f>AI132*VLOOKUP('Données projet'!$B$10,Paramètres!$A$1:$I$88,3,0)*VLOOKUP('Données projet'!$B$10,Paramètres!$A$1:$I$88,5,0)</f>
        <v>-8.6458840087288998E-14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316.76504852082684</v>
      </c>
      <c r="AO132" s="62">
        <f t="shared" si="90"/>
        <v>218.5520645293999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0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-8.5265128291212022E-14</v>
      </c>
      <c r="BE132" s="14">
        <f>BD132*VLOOKUP('Données projet'!$B$11,Paramètres!$A$1:$I$88,3,0)*VLOOKUP('Données projet'!$B$11,Paramètres!$A$1:$I$88,5,0)</f>
        <v>-7.4487616075202836E-14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278.24093386944304</v>
      </c>
      <c r="BJ132" s="62">
        <f t="shared" si="92"/>
        <v>193.96102673885611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0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-8.5265128291212022E-14</v>
      </c>
      <c r="BZ132" s="14">
        <f>BY132*VLOOKUP('Données projet'!$B$12,Paramètres!$A$1:$I$88,3,0)*VLOOKUP('Données projet'!$B$12,Paramètres!$A$1:$I$88,5,0)</f>
        <v>-8.246843208326026E-14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303.93739496872121</v>
      </c>
      <c r="CE132" s="62">
        <f t="shared" si="94"/>
        <v>210.36431469568754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0</v>
      </c>
      <c r="CL132" s="23">
        <f>EXP(-LN(2)/25)*CL131+(1-EXP(-LN(2)/25))/(LN(2)/25)*Calculateur!CG132*Calculateur!CI132*VLOOKUP('Données projet'!$B$12,Paramètres!$A$1:$I$88,3,0)*0.475*44/12</f>
        <v>0</v>
      </c>
      <c r="CM132" s="23">
        <f>EXP(-LN(2)/2)*CM131+(1-EXP(-LN(2)/2))/(LN(2)/2)*CG132*CJ132*VLOOKUP('Données projet'!$B$12,Paramètres!$A$1:$I$88,3,0)*0.475*44/12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projet'!$B$13,Paramètres!$A$1:$I$88,3,0)*VLOOKUP('Données projet'!$B$13,Paramètres!$A$1:$I$88,5,0)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57.812812891099895</v>
      </c>
      <c r="CZ132" s="62">
        <f t="shared" si="96"/>
        <v>244.79885157604684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projet'!$B$13,Paramètres!$A$1:$I$88,3,0)*0.475*44/12</f>
        <v>5.4160567731335414</v>
      </c>
      <c r="DG132" s="23">
        <f>EXP(-LN(2)/25)*DG131+(1-EXP(-LN(2)/25))/(LN(2)/25)*Calculateur!DB132*Calculateur!DD132*VLOOKUP('Données projet'!$B$13,Paramètres!$A$1:$I$88,3,0)*0.475*44/12</f>
        <v>0</v>
      </c>
      <c r="DH132" s="23">
        <f>EXP(-LN(2)/2)*DH131+(1-EXP(-LN(2)/2))/(LN(2)/2)*DB132*DE132*VLOOKUP('Données projet'!$B$13,Paramètres!$A$1:$I$88,3,0)*0.475*44/12</f>
        <v>5.038606171983001E-16</v>
      </c>
      <c r="DI132" s="24">
        <f t="shared" ref="DI132:DI153" si="123">SUM(DF132:DH132)</f>
        <v>5.4160567731335423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-8.5265128291212022E-14</v>
      </c>
      <c r="O133" s="14">
        <f>N133*VLOOKUP('Données projet'!$B$9,Paramètres!$A$1:$I$88,3,0)*VLOOKUP('Données projet'!$B$9,Paramètres!$A$1:$I$88,5,0)</f>
        <v>-7.7147888077888636E-14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286.81278534843665</v>
      </c>
      <c r="T133" s="62">
        <f t="shared" ref="T133:T196" si="142">$T$3</f>
        <v>199.43308683696642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-8.5265128291212022E-14</v>
      </c>
      <c r="AJ133" s="14">
        <f>AI133*VLOOKUP('Données projet'!$B$10,Paramètres!$A$1:$I$88,3,0)*VLOOKUP('Données projet'!$B$10,Paramètres!$A$1:$I$88,5,0)</f>
        <v>-8.6458840087288998E-14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316.76504852082684</v>
      </c>
      <c r="AO133" s="62">
        <f t="shared" ref="AO133:AO196" si="144">$AO$3</f>
        <v>218.5520645293999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0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-8.5265128291212022E-14</v>
      </c>
      <c r="BE133" s="14">
        <f>BD133*VLOOKUP('Données projet'!$B$11,Paramètres!$A$1:$I$88,3,0)*VLOOKUP('Données projet'!$B$11,Paramètres!$A$1:$I$88,5,0)</f>
        <v>-7.4487616075202836E-14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278.24093386944304</v>
      </c>
      <c r="BJ133" s="62">
        <f t="shared" ref="BJ133:BJ196" si="146">$BJ$3</f>
        <v>193.96102673885611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0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-8.5265128291212022E-14</v>
      </c>
      <c r="BZ133" s="14">
        <f>BY133*VLOOKUP('Données projet'!$B$12,Paramètres!$A$1:$I$88,3,0)*VLOOKUP('Données projet'!$B$12,Paramètres!$A$1:$I$88,5,0)</f>
        <v>-8.246843208326026E-14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303.93739496872121</v>
      </c>
      <c r="CE133" s="62">
        <f t="shared" ref="CE133:CE196" si="148">$CE$3</f>
        <v>210.36431469568754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0</v>
      </c>
      <c r="CL133" s="23">
        <f>EXP(-LN(2)/25)*CL132+(1-EXP(-LN(2)/25))/(LN(2)/25)*Calculateur!CG133*Calculateur!CI133*VLOOKUP('Données projet'!$B$12,Paramètres!$A$1:$I$88,3,0)*0.475*44/12</f>
        <v>0</v>
      </c>
      <c r="CM133" s="23">
        <f>EXP(-LN(2)/2)*CM132+(1-EXP(-LN(2)/2))/(LN(2)/2)*CG133*CJ133*VLOOKUP('Données projet'!$B$12,Paramètres!$A$1:$I$88,3,0)*0.475*44/12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projet'!$B$13,Paramètres!$A$1:$I$88,3,0)*VLOOKUP('Données projet'!$B$13,Paramètres!$A$1:$I$88,5,0)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57.812812891099895</v>
      </c>
      <c r="CZ133" s="62">
        <f t="shared" ref="CZ133:CZ196" si="150">$CZ$3</f>
        <v>244.79885157604684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projet'!$B$13,Paramètres!$A$1:$I$88,3,0)*0.475*44/12</f>
        <v>5.309851203280834</v>
      </c>
      <c r="DG133" s="23">
        <f>EXP(-LN(2)/25)*DG132+(1-EXP(-LN(2)/25))/(LN(2)/25)*Calculateur!DB133*Calculateur!DD133*VLOOKUP('Données projet'!$B$13,Paramètres!$A$1:$I$88,3,0)*0.475*44/12</f>
        <v>0</v>
      </c>
      <c r="DH133" s="23">
        <f>EXP(-LN(2)/2)*DH132+(1-EXP(-LN(2)/2))/(LN(2)/2)*DB133*DE133*VLOOKUP('Données projet'!$B$13,Paramètres!$A$1:$I$88,3,0)*0.475*44/12</f>
        <v>3.5628325919375718E-16</v>
      </c>
      <c r="DI133" s="24">
        <f t="shared" si="123"/>
        <v>5.309851203280834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-8.5265128291212022E-14</v>
      </c>
      <c r="O134" s="14">
        <f>N134*VLOOKUP('Données projet'!$B$9,Paramètres!$A$1:$I$88,3,0)*VLOOKUP('Données projet'!$B$9,Paramètres!$A$1:$I$88,5,0)</f>
        <v>-7.7147888077888636E-14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286.81278534843665</v>
      </c>
      <c r="T134" s="62">
        <f t="shared" si="142"/>
        <v>199.43308683696642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-8.5265128291212022E-14</v>
      </c>
      <c r="AJ134" s="14">
        <f>AI134*VLOOKUP('Données projet'!$B$10,Paramètres!$A$1:$I$88,3,0)*VLOOKUP('Données projet'!$B$10,Paramètres!$A$1:$I$88,5,0)</f>
        <v>-8.6458840087288998E-14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316.76504852082684</v>
      </c>
      <c r="AO134" s="62">
        <f t="shared" si="144"/>
        <v>218.5520645293999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0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-8.5265128291212022E-14</v>
      </c>
      <c r="BE134" s="14">
        <f>BD134*VLOOKUP('Données projet'!$B$11,Paramètres!$A$1:$I$88,3,0)*VLOOKUP('Données projet'!$B$11,Paramètres!$A$1:$I$88,5,0)</f>
        <v>-7.4487616075202836E-14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278.24093386944304</v>
      </c>
      <c r="BJ134" s="62">
        <f t="shared" si="146"/>
        <v>193.96102673885611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0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-8.5265128291212022E-14</v>
      </c>
      <c r="BZ134" s="14">
        <f>BY134*VLOOKUP('Données projet'!$B$12,Paramètres!$A$1:$I$88,3,0)*VLOOKUP('Données projet'!$B$12,Paramètres!$A$1:$I$88,5,0)</f>
        <v>-8.246843208326026E-14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303.93739496872121</v>
      </c>
      <c r="CE134" s="62">
        <f t="shared" si="148"/>
        <v>210.36431469568754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0</v>
      </c>
      <c r="CL134" s="23">
        <f>EXP(-LN(2)/25)*CL133+(1-EXP(-LN(2)/25))/(LN(2)/25)*Calculateur!CG134*Calculateur!CI134*VLOOKUP('Données projet'!$B$12,Paramètres!$A$1:$I$88,3,0)*0.475*44/12</f>
        <v>0</v>
      </c>
      <c r="CM134" s="23">
        <f>EXP(-LN(2)/2)*CM133+(1-EXP(-LN(2)/2))/(LN(2)/2)*CG134*CJ134*VLOOKUP('Données projet'!$B$12,Paramètres!$A$1:$I$88,3,0)*0.475*44/12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projet'!$B$13,Paramètres!$A$1:$I$88,3,0)*VLOOKUP('Données projet'!$B$13,Paramètres!$A$1:$I$88,5,0)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57.812812891099895</v>
      </c>
      <c r="CZ134" s="62">
        <f t="shared" si="150"/>
        <v>244.79885157604684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projet'!$B$13,Paramètres!$A$1:$I$88,3,0)*0.475*44/12</f>
        <v>5.2057282598739372</v>
      </c>
      <c r="DG134" s="23">
        <f>EXP(-LN(2)/25)*DG133+(1-EXP(-LN(2)/25))/(LN(2)/25)*Calculateur!DB134*Calculateur!DD134*VLOOKUP('Données projet'!$B$13,Paramètres!$A$1:$I$88,3,0)*0.475*44/12</f>
        <v>0</v>
      </c>
      <c r="DH134" s="23">
        <f>EXP(-LN(2)/2)*DH133+(1-EXP(-LN(2)/2))/(LN(2)/2)*DB134*DE134*VLOOKUP('Données projet'!$B$13,Paramètres!$A$1:$I$88,3,0)*0.475*44/12</f>
        <v>2.5193030859915005E-16</v>
      </c>
      <c r="DI134" s="24">
        <f t="shared" si="123"/>
        <v>5.2057282598739372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-8.5265128291212022E-14</v>
      </c>
      <c r="O135" s="14">
        <f>N135*VLOOKUP('Données projet'!$B$9,Paramètres!$A$1:$I$88,3,0)*VLOOKUP('Données projet'!$B$9,Paramètres!$A$1:$I$88,5,0)</f>
        <v>-7.7147888077888636E-14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286.81278534843665</v>
      </c>
      <c r="T135" s="62">
        <f t="shared" si="142"/>
        <v>199.43308683696642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-8.5265128291212022E-14</v>
      </c>
      <c r="AJ135" s="14">
        <f>AI135*VLOOKUP('Données projet'!$B$10,Paramètres!$A$1:$I$88,3,0)*VLOOKUP('Données projet'!$B$10,Paramètres!$A$1:$I$88,5,0)</f>
        <v>-8.6458840087288998E-14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316.76504852082684</v>
      </c>
      <c r="AO135" s="62">
        <f t="shared" si="144"/>
        <v>218.5520645293999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0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-8.5265128291212022E-14</v>
      </c>
      <c r="BE135" s="14">
        <f>BD135*VLOOKUP('Données projet'!$B$11,Paramètres!$A$1:$I$88,3,0)*VLOOKUP('Données projet'!$B$11,Paramètres!$A$1:$I$88,5,0)</f>
        <v>-7.4487616075202836E-14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278.24093386944304</v>
      </c>
      <c r="BJ135" s="62">
        <f t="shared" si="146"/>
        <v>193.96102673885611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0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-8.5265128291212022E-14</v>
      </c>
      <c r="BZ135" s="14">
        <f>BY135*VLOOKUP('Données projet'!$B$12,Paramètres!$A$1:$I$88,3,0)*VLOOKUP('Données projet'!$B$12,Paramètres!$A$1:$I$88,5,0)</f>
        <v>-8.246843208326026E-14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303.93739496872121</v>
      </c>
      <c r="CE135" s="62">
        <f t="shared" si="148"/>
        <v>210.36431469568754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0</v>
      </c>
      <c r="CL135" s="23">
        <f>EXP(-LN(2)/25)*CL134+(1-EXP(-LN(2)/25))/(LN(2)/25)*Calculateur!CG135*Calculateur!CI135*VLOOKUP('Données projet'!$B$12,Paramètres!$A$1:$I$88,3,0)*0.475*44/12</f>
        <v>0</v>
      </c>
      <c r="CM135" s="23">
        <f>EXP(-LN(2)/2)*CM134+(1-EXP(-LN(2)/2))/(LN(2)/2)*CG135*CJ135*VLOOKUP('Données projet'!$B$12,Paramètres!$A$1:$I$88,3,0)*0.475*44/12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projet'!$B$13,Paramètres!$A$1:$I$88,3,0)*VLOOKUP('Données projet'!$B$13,Paramètres!$A$1:$I$88,5,0)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57.812812891099895</v>
      </c>
      <c r="CZ135" s="62">
        <f t="shared" si="150"/>
        <v>244.79885157604684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projet'!$B$13,Paramètres!$A$1:$I$88,3,0)*0.475*44/12</f>
        <v>5.1036471038785249</v>
      </c>
      <c r="DG135" s="23">
        <f>EXP(-LN(2)/25)*DG134+(1-EXP(-LN(2)/25))/(LN(2)/25)*Calculateur!DB135*Calculateur!DD135*VLOOKUP('Données projet'!$B$13,Paramètres!$A$1:$I$88,3,0)*0.475*44/12</f>
        <v>0</v>
      </c>
      <c r="DH135" s="23">
        <f>EXP(-LN(2)/2)*DH134+(1-EXP(-LN(2)/2))/(LN(2)/2)*DB135*DE135*VLOOKUP('Données projet'!$B$13,Paramètres!$A$1:$I$88,3,0)*0.475*44/12</f>
        <v>1.7814162959687859E-16</v>
      </c>
      <c r="DI135" s="24">
        <f t="shared" si="123"/>
        <v>5.1036471038785249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-8.5265128291212022E-14</v>
      </c>
      <c r="O136" s="14">
        <f>N136*VLOOKUP('Données projet'!$B$9,Paramètres!$A$1:$I$88,3,0)*VLOOKUP('Données projet'!$B$9,Paramètres!$A$1:$I$88,5,0)</f>
        <v>-7.7147888077888636E-14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286.81278534843665</v>
      </c>
      <c r="T136" s="62">
        <f t="shared" si="142"/>
        <v>199.43308683696642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-8.5265128291212022E-14</v>
      </c>
      <c r="AJ136" s="14">
        <f>AI136*VLOOKUP('Données projet'!$B$10,Paramètres!$A$1:$I$88,3,0)*VLOOKUP('Données projet'!$B$10,Paramètres!$A$1:$I$88,5,0)</f>
        <v>-8.6458840087288998E-14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316.76504852082684</v>
      </c>
      <c r="AO136" s="62">
        <f t="shared" si="144"/>
        <v>218.5520645293999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0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-8.5265128291212022E-14</v>
      </c>
      <c r="BE136" s="14">
        <f>BD136*VLOOKUP('Données projet'!$B$11,Paramètres!$A$1:$I$88,3,0)*VLOOKUP('Données projet'!$B$11,Paramètres!$A$1:$I$88,5,0)</f>
        <v>-7.4487616075202836E-14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278.24093386944304</v>
      </c>
      <c r="BJ136" s="62">
        <f t="shared" si="146"/>
        <v>193.96102673885611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0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-8.5265128291212022E-14</v>
      </c>
      <c r="BZ136" s="14">
        <f>BY136*VLOOKUP('Données projet'!$B$12,Paramètres!$A$1:$I$88,3,0)*VLOOKUP('Données projet'!$B$12,Paramètres!$A$1:$I$88,5,0)</f>
        <v>-8.246843208326026E-14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303.93739496872121</v>
      </c>
      <c r="CE136" s="62">
        <f t="shared" si="148"/>
        <v>210.36431469568754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0</v>
      </c>
      <c r="CL136" s="23">
        <f>EXP(-LN(2)/25)*CL135+(1-EXP(-LN(2)/25))/(LN(2)/25)*Calculateur!CG136*Calculateur!CI136*VLOOKUP('Données projet'!$B$12,Paramètres!$A$1:$I$88,3,0)*0.475*44/12</f>
        <v>0</v>
      </c>
      <c r="CM136" s="23">
        <f>EXP(-LN(2)/2)*CM135+(1-EXP(-LN(2)/2))/(LN(2)/2)*CG136*CJ136*VLOOKUP('Données projet'!$B$12,Paramètres!$A$1:$I$88,3,0)*0.475*44/12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projet'!$B$13,Paramètres!$A$1:$I$88,3,0)*VLOOKUP('Données projet'!$B$13,Paramètres!$A$1:$I$88,5,0)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57.812812891099895</v>
      </c>
      <c r="CZ136" s="62">
        <f t="shared" si="150"/>
        <v>244.79885157604684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projet'!$B$13,Paramètres!$A$1:$I$88,3,0)*0.475*44/12</f>
        <v>5.0035676970888252</v>
      </c>
      <c r="DG136" s="23">
        <f>EXP(-LN(2)/25)*DG135+(1-EXP(-LN(2)/25))/(LN(2)/25)*Calculateur!DB136*Calculateur!DD136*VLOOKUP('Données projet'!$B$13,Paramètres!$A$1:$I$88,3,0)*0.475*44/12</f>
        <v>0</v>
      </c>
      <c r="DH136" s="23">
        <f>EXP(-LN(2)/2)*DH135+(1-EXP(-LN(2)/2))/(LN(2)/2)*DB136*DE136*VLOOKUP('Données projet'!$B$13,Paramètres!$A$1:$I$88,3,0)*0.475*44/12</f>
        <v>1.2596515429957503E-16</v>
      </c>
      <c r="DI136" s="24">
        <f t="shared" si="123"/>
        <v>5.0035676970888252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-8.5265128291212022E-14</v>
      </c>
      <c r="O137" s="14">
        <f>N137*VLOOKUP('Données projet'!$B$9,Paramètres!$A$1:$I$88,3,0)*VLOOKUP('Données projet'!$B$9,Paramètres!$A$1:$I$88,5,0)</f>
        <v>-7.7147888077888636E-14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286.81278534843665</v>
      </c>
      <c r="T137" s="62">
        <f t="shared" si="142"/>
        <v>199.43308683696642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-8.5265128291212022E-14</v>
      </c>
      <c r="AJ137" s="14">
        <f>AI137*VLOOKUP('Données projet'!$B$10,Paramètres!$A$1:$I$88,3,0)*VLOOKUP('Données projet'!$B$10,Paramètres!$A$1:$I$88,5,0)</f>
        <v>-8.6458840087288998E-14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316.76504852082684</v>
      </c>
      <c r="AO137" s="62">
        <f t="shared" si="144"/>
        <v>218.5520645293999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0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-8.5265128291212022E-14</v>
      </c>
      <c r="BE137" s="14">
        <f>BD137*VLOOKUP('Données projet'!$B$11,Paramètres!$A$1:$I$88,3,0)*VLOOKUP('Données projet'!$B$11,Paramètres!$A$1:$I$88,5,0)</f>
        <v>-7.4487616075202836E-14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278.24093386944304</v>
      </c>
      <c r="BJ137" s="62">
        <f t="shared" si="146"/>
        <v>193.96102673885611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0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-8.5265128291212022E-14</v>
      </c>
      <c r="BZ137" s="14">
        <f>BY137*VLOOKUP('Données projet'!$B$12,Paramètres!$A$1:$I$88,3,0)*VLOOKUP('Données projet'!$B$12,Paramètres!$A$1:$I$88,5,0)</f>
        <v>-8.246843208326026E-14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303.93739496872121</v>
      </c>
      <c r="CE137" s="62">
        <f t="shared" si="148"/>
        <v>210.36431469568754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0</v>
      </c>
      <c r="CL137" s="23">
        <f>EXP(-LN(2)/25)*CL136+(1-EXP(-LN(2)/25))/(LN(2)/25)*Calculateur!CG137*Calculateur!CI137*VLOOKUP('Données projet'!$B$12,Paramètres!$A$1:$I$88,3,0)*0.475*44/12</f>
        <v>0</v>
      </c>
      <c r="CM137" s="23">
        <f>EXP(-LN(2)/2)*CM136+(1-EXP(-LN(2)/2))/(LN(2)/2)*CG137*CJ137*VLOOKUP('Données projet'!$B$12,Paramètres!$A$1:$I$88,3,0)*0.475*44/12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projet'!$B$13,Paramètres!$A$1:$I$88,3,0)*VLOOKUP('Données projet'!$B$13,Paramètres!$A$1:$I$88,5,0)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57.812812891099895</v>
      </c>
      <c r="CZ137" s="62">
        <f t="shared" si="150"/>
        <v>244.79885157604684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projet'!$B$13,Paramètres!$A$1:$I$88,3,0)*0.475*44/12</f>
        <v>4.9054507864238612</v>
      </c>
      <c r="DG137" s="23">
        <f>EXP(-LN(2)/25)*DG136+(1-EXP(-LN(2)/25))/(LN(2)/25)*Calculateur!DB137*Calculateur!DD137*VLOOKUP('Données projet'!$B$13,Paramètres!$A$1:$I$88,3,0)*0.475*44/12</f>
        <v>0</v>
      </c>
      <c r="DH137" s="23">
        <f>EXP(-LN(2)/2)*DH136+(1-EXP(-LN(2)/2))/(LN(2)/2)*DB137*DE137*VLOOKUP('Données projet'!$B$13,Paramètres!$A$1:$I$88,3,0)*0.475*44/12</f>
        <v>8.9070814798439296E-17</v>
      </c>
      <c r="DI137" s="24">
        <f t="shared" si="123"/>
        <v>4.9054507864238612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-8.5265128291212022E-14</v>
      </c>
      <c r="O138" s="14">
        <f>N138*VLOOKUP('Données projet'!$B$9,Paramètres!$A$1:$I$88,3,0)*VLOOKUP('Données projet'!$B$9,Paramètres!$A$1:$I$88,5,0)</f>
        <v>-7.7147888077888636E-14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286.81278534843665</v>
      </c>
      <c r="T138" s="62">
        <f t="shared" si="142"/>
        <v>199.43308683696642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-8.5265128291212022E-14</v>
      </c>
      <c r="AJ138" s="14">
        <f>AI138*VLOOKUP('Données projet'!$B$10,Paramètres!$A$1:$I$88,3,0)*VLOOKUP('Données projet'!$B$10,Paramètres!$A$1:$I$88,5,0)</f>
        <v>-8.6458840087288998E-14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316.76504852082684</v>
      </c>
      <c r="AO138" s="62">
        <f t="shared" si="144"/>
        <v>218.5520645293999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0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-8.5265128291212022E-14</v>
      </c>
      <c r="BE138" s="14">
        <f>BD138*VLOOKUP('Données projet'!$B$11,Paramètres!$A$1:$I$88,3,0)*VLOOKUP('Données projet'!$B$11,Paramètres!$A$1:$I$88,5,0)</f>
        <v>-7.4487616075202836E-14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278.24093386944304</v>
      </c>
      <c r="BJ138" s="62">
        <f t="shared" si="146"/>
        <v>193.96102673885611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0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-8.5265128291212022E-14</v>
      </c>
      <c r="BZ138" s="14">
        <f>BY138*VLOOKUP('Données projet'!$B$12,Paramètres!$A$1:$I$88,3,0)*VLOOKUP('Données projet'!$B$12,Paramètres!$A$1:$I$88,5,0)</f>
        <v>-8.246843208326026E-14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303.93739496872121</v>
      </c>
      <c r="CE138" s="62">
        <f t="shared" si="148"/>
        <v>210.36431469568754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0</v>
      </c>
      <c r="CL138" s="23">
        <f>EXP(-LN(2)/25)*CL137+(1-EXP(-LN(2)/25))/(LN(2)/25)*Calculateur!CG138*Calculateur!CI138*VLOOKUP('Données projet'!$B$12,Paramètres!$A$1:$I$88,3,0)*0.475*44/12</f>
        <v>0</v>
      </c>
      <c r="CM138" s="23">
        <f>EXP(-LN(2)/2)*CM137+(1-EXP(-LN(2)/2))/(LN(2)/2)*CG138*CJ138*VLOOKUP('Données projet'!$B$12,Paramètres!$A$1:$I$88,3,0)*0.475*44/12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projet'!$B$13,Paramètres!$A$1:$I$88,3,0)*VLOOKUP('Données projet'!$B$13,Paramètres!$A$1:$I$88,5,0)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57.812812891099895</v>
      </c>
      <c r="CZ138" s="62">
        <f t="shared" si="150"/>
        <v>244.79885157604684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projet'!$B$13,Paramètres!$A$1:$I$88,3,0)*0.475*44/12</f>
        <v>4.8092578885316311</v>
      </c>
      <c r="DG138" s="23">
        <f>EXP(-LN(2)/25)*DG137+(1-EXP(-LN(2)/25))/(LN(2)/25)*Calculateur!DB138*Calculateur!DD138*VLOOKUP('Données projet'!$B$13,Paramètres!$A$1:$I$88,3,0)*0.475*44/12</f>
        <v>0</v>
      </c>
      <c r="DH138" s="23">
        <f>EXP(-LN(2)/2)*DH137+(1-EXP(-LN(2)/2))/(LN(2)/2)*DB138*DE138*VLOOKUP('Données projet'!$B$13,Paramètres!$A$1:$I$88,3,0)*0.475*44/12</f>
        <v>6.2982577149787513E-17</v>
      </c>
      <c r="DI138" s="24">
        <f t="shared" si="123"/>
        <v>4.8092578885316311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-8.5265128291212022E-14</v>
      </c>
      <c r="O139" s="14">
        <f>N139*VLOOKUP('Données projet'!$B$9,Paramètres!$A$1:$I$88,3,0)*VLOOKUP('Données projet'!$B$9,Paramètres!$A$1:$I$88,5,0)</f>
        <v>-7.7147888077888636E-14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286.81278534843665</v>
      </c>
      <c r="T139" s="62">
        <f t="shared" si="142"/>
        <v>199.43308683696642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-8.5265128291212022E-14</v>
      </c>
      <c r="AJ139" s="14">
        <f>AI139*VLOOKUP('Données projet'!$B$10,Paramètres!$A$1:$I$88,3,0)*VLOOKUP('Données projet'!$B$10,Paramètres!$A$1:$I$88,5,0)</f>
        <v>-8.6458840087288998E-14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316.76504852082684</v>
      </c>
      <c r="AO139" s="62">
        <f t="shared" si="144"/>
        <v>218.5520645293999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0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-8.5265128291212022E-14</v>
      </c>
      <c r="BE139" s="14">
        <f>BD139*VLOOKUP('Données projet'!$B$11,Paramètres!$A$1:$I$88,3,0)*VLOOKUP('Données projet'!$B$11,Paramètres!$A$1:$I$88,5,0)</f>
        <v>-7.4487616075202836E-14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278.24093386944304</v>
      </c>
      <c r="BJ139" s="62">
        <f t="shared" si="146"/>
        <v>193.96102673885611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0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-8.5265128291212022E-14</v>
      </c>
      <c r="BZ139" s="14">
        <f>BY139*VLOOKUP('Données projet'!$B$12,Paramètres!$A$1:$I$88,3,0)*VLOOKUP('Données projet'!$B$12,Paramètres!$A$1:$I$88,5,0)</f>
        <v>-8.246843208326026E-14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303.93739496872121</v>
      </c>
      <c r="CE139" s="62">
        <f t="shared" si="148"/>
        <v>210.36431469568754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0</v>
      </c>
      <c r="CL139" s="23">
        <f>EXP(-LN(2)/25)*CL138+(1-EXP(-LN(2)/25))/(LN(2)/25)*Calculateur!CG139*Calculateur!CI139*VLOOKUP('Données projet'!$B$12,Paramètres!$A$1:$I$88,3,0)*0.475*44/12</f>
        <v>0</v>
      </c>
      <c r="CM139" s="23">
        <f>EXP(-LN(2)/2)*CM138+(1-EXP(-LN(2)/2))/(LN(2)/2)*CG139*CJ139*VLOOKUP('Données projet'!$B$12,Paramètres!$A$1:$I$88,3,0)*0.475*44/12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projet'!$B$13,Paramètres!$A$1:$I$88,3,0)*VLOOKUP('Données projet'!$B$13,Paramètres!$A$1:$I$88,5,0)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57.812812891099895</v>
      </c>
      <c r="CZ139" s="62">
        <f t="shared" si="150"/>
        <v>244.79885157604684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projet'!$B$13,Paramètres!$A$1:$I$88,3,0)*0.475*44/12</f>
        <v>4.7149512746951929</v>
      </c>
      <c r="DG139" s="23">
        <f>EXP(-LN(2)/25)*DG138+(1-EXP(-LN(2)/25))/(LN(2)/25)*Calculateur!DB139*Calculateur!DD139*VLOOKUP('Données projet'!$B$13,Paramètres!$A$1:$I$88,3,0)*0.475*44/12</f>
        <v>0</v>
      </c>
      <c r="DH139" s="23">
        <f>EXP(-LN(2)/2)*DH138+(1-EXP(-LN(2)/2))/(LN(2)/2)*DB139*DE139*VLOOKUP('Données projet'!$B$13,Paramètres!$A$1:$I$88,3,0)*0.475*44/12</f>
        <v>4.4535407399219648E-17</v>
      </c>
      <c r="DI139" s="24">
        <f t="shared" si="123"/>
        <v>4.7149512746951929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-8.5265128291212022E-14</v>
      </c>
      <c r="O140" s="14">
        <f>N140*VLOOKUP('Données projet'!$B$9,Paramètres!$A$1:$I$88,3,0)*VLOOKUP('Données projet'!$B$9,Paramètres!$A$1:$I$88,5,0)</f>
        <v>-7.7147888077888636E-14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286.81278534843665</v>
      </c>
      <c r="T140" s="62">
        <f t="shared" si="142"/>
        <v>199.43308683696642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-8.5265128291212022E-14</v>
      </c>
      <c r="AJ140" s="14">
        <f>AI140*VLOOKUP('Données projet'!$B$10,Paramètres!$A$1:$I$88,3,0)*VLOOKUP('Données projet'!$B$10,Paramètres!$A$1:$I$88,5,0)</f>
        <v>-8.6458840087288998E-14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316.76504852082684</v>
      </c>
      <c r="AO140" s="62">
        <f t="shared" si="144"/>
        <v>218.5520645293999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0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-8.5265128291212022E-14</v>
      </c>
      <c r="BE140" s="14">
        <f>BD140*VLOOKUP('Données projet'!$B$11,Paramètres!$A$1:$I$88,3,0)*VLOOKUP('Données projet'!$B$11,Paramètres!$A$1:$I$88,5,0)</f>
        <v>-7.4487616075202836E-14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278.24093386944304</v>
      </c>
      <c r="BJ140" s="62">
        <f t="shared" si="146"/>
        <v>193.96102673885611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0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-8.5265128291212022E-14</v>
      </c>
      <c r="BZ140" s="14">
        <f>BY140*VLOOKUP('Données projet'!$B$12,Paramètres!$A$1:$I$88,3,0)*VLOOKUP('Données projet'!$B$12,Paramètres!$A$1:$I$88,5,0)</f>
        <v>-8.246843208326026E-14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303.93739496872121</v>
      </c>
      <c r="CE140" s="62">
        <f t="shared" si="148"/>
        <v>210.36431469568754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0</v>
      </c>
      <c r="CL140" s="23">
        <f>EXP(-LN(2)/25)*CL139+(1-EXP(-LN(2)/25))/(LN(2)/25)*Calculateur!CG140*Calculateur!CI140*VLOOKUP('Données projet'!$B$12,Paramètres!$A$1:$I$88,3,0)*0.475*44/12</f>
        <v>0</v>
      </c>
      <c r="CM140" s="23">
        <f>EXP(-LN(2)/2)*CM139+(1-EXP(-LN(2)/2))/(LN(2)/2)*CG140*CJ140*VLOOKUP('Données projet'!$B$12,Paramètres!$A$1:$I$88,3,0)*0.475*44/12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projet'!$B$13,Paramètres!$A$1:$I$88,3,0)*VLOOKUP('Données projet'!$B$13,Paramètres!$A$1:$I$88,5,0)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57.812812891099895</v>
      </c>
      <c r="CZ140" s="62">
        <f t="shared" si="150"/>
        <v>244.79885157604684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projet'!$B$13,Paramètres!$A$1:$I$88,3,0)*0.475*44/12</f>
        <v>4.6224939560347327</v>
      </c>
      <c r="DG140" s="23">
        <f>EXP(-LN(2)/25)*DG139+(1-EXP(-LN(2)/25))/(LN(2)/25)*Calculateur!DB140*Calculateur!DD140*VLOOKUP('Données projet'!$B$13,Paramètres!$A$1:$I$88,3,0)*0.475*44/12</f>
        <v>0</v>
      </c>
      <c r="DH140" s="23">
        <f>EXP(-LN(2)/2)*DH139+(1-EXP(-LN(2)/2))/(LN(2)/2)*DB140*DE140*VLOOKUP('Données projet'!$B$13,Paramètres!$A$1:$I$88,3,0)*0.475*44/12</f>
        <v>3.1491288574893756E-17</v>
      </c>
      <c r="DI140" s="24">
        <f t="shared" si="123"/>
        <v>4.6224939560347327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-8.5265128291212022E-14</v>
      </c>
      <c r="O141" s="14">
        <f>N141*VLOOKUP('Données projet'!$B$9,Paramètres!$A$1:$I$88,3,0)*VLOOKUP('Données projet'!$B$9,Paramètres!$A$1:$I$88,5,0)</f>
        <v>-7.7147888077888636E-14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286.81278534843665</v>
      </c>
      <c r="T141" s="62">
        <f t="shared" si="142"/>
        <v>199.43308683696642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-8.5265128291212022E-14</v>
      </c>
      <c r="AJ141" s="14">
        <f>AI141*VLOOKUP('Données projet'!$B$10,Paramètres!$A$1:$I$88,3,0)*VLOOKUP('Données projet'!$B$10,Paramètres!$A$1:$I$88,5,0)</f>
        <v>-8.6458840087288998E-14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316.76504852082684</v>
      </c>
      <c r="AO141" s="62">
        <f t="shared" si="144"/>
        <v>218.5520645293999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0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-8.5265128291212022E-14</v>
      </c>
      <c r="BE141" s="14">
        <f>BD141*VLOOKUP('Données projet'!$B$11,Paramètres!$A$1:$I$88,3,0)*VLOOKUP('Données projet'!$B$11,Paramètres!$A$1:$I$88,5,0)</f>
        <v>-7.4487616075202836E-14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278.24093386944304</v>
      </c>
      <c r="BJ141" s="62">
        <f t="shared" si="146"/>
        <v>193.96102673885611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0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-8.5265128291212022E-14</v>
      </c>
      <c r="BZ141" s="14">
        <f>BY141*VLOOKUP('Données projet'!$B$12,Paramètres!$A$1:$I$88,3,0)*VLOOKUP('Données projet'!$B$12,Paramètres!$A$1:$I$88,5,0)</f>
        <v>-8.246843208326026E-14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303.93739496872121</v>
      </c>
      <c r="CE141" s="62">
        <f t="shared" si="148"/>
        <v>210.36431469568754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0</v>
      </c>
      <c r="CL141" s="23">
        <f>EXP(-LN(2)/25)*CL140+(1-EXP(-LN(2)/25))/(LN(2)/25)*Calculateur!CG141*Calculateur!CI141*VLOOKUP('Données projet'!$B$12,Paramètres!$A$1:$I$88,3,0)*0.475*44/12</f>
        <v>0</v>
      </c>
      <c r="CM141" s="23">
        <f>EXP(-LN(2)/2)*CM140+(1-EXP(-LN(2)/2))/(LN(2)/2)*CG141*CJ141*VLOOKUP('Données projet'!$B$12,Paramètres!$A$1:$I$88,3,0)*0.475*44/12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projet'!$B$13,Paramètres!$A$1:$I$88,3,0)*VLOOKUP('Données projet'!$B$13,Paramètres!$A$1:$I$88,5,0)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57.812812891099895</v>
      </c>
      <c r="CZ141" s="62">
        <f t="shared" si="150"/>
        <v>244.79885157604684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projet'!$B$13,Paramètres!$A$1:$I$88,3,0)*0.475*44/12</f>
        <v>4.5318496689998078</v>
      </c>
      <c r="DG141" s="23">
        <f>EXP(-LN(2)/25)*DG140+(1-EXP(-LN(2)/25))/(LN(2)/25)*Calculateur!DB141*Calculateur!DD141*VLOOKUP('Données projet'!$B$13,Paramètres!$A$1:$I$88,3,0)*0.475*44/12</f>
        <v>0</v>
      </c>
      <c r="DH141" s="23">
        <f>EXP(-LN(2)/2)*DH140+(1-EXP(-LN(2)/2))/(LN(2)/2)*DB141*DE141*VLOOKUP('Données projet'!$B$13,Paramètres!$A$1:$I$88,3,0)*0.475*44/12</f>
        <v>2.2267703699609824E-17</v>
      </c>
      <c r="DI141" s="24">
        <f t="shared" si="123"/>
        <v>4.5318496689998078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-8.5265128291212022E-14</v>
      </c>
      <c r="O142" s="14">
        <f>N142*VLOOKUP('Données projet'!$B$9,Paramètres!$A$1:$I$88,3,0)*VLOOKUP('Données projet'!$B$9,Paramètres!$A$1:$I$88,5,0)</f>
        <v>-7.7147888077888636E-14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286.81278534843665</v>
      </c>
      <c r="T142" s="62">
        <f t="shared" si="142"/>
        <v>199.43308683696642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-8.5265128291212022E-14</v>
      </c>
      <c r="AJ142" s="14">
        <f>AI142*VLOOKUP('Données projet'!$B$10,Paramètres!$A$1:$I$88,3,0)*VLOOKUP('Données projet'!$B$10,Paramètres!$A$1:$I$88,5,0)</f>
        <v>-8.6458840087288998E-14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316.76504852082684</v>
      </c>
      <c r="AO142" s="62">
        <f t="shared" si="144"/>
        <v>218.5520645293999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0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-8.5265128291212022E-14</v>
      </c>
      <c r="BE142" s="14">
        <f>BD142*VLOOKUP('Données projet'!$B$11,Paramètres!$A$1:$I$88,3,0)*VLOOKUP('Données projet'!$B$11,Paramètres!$A$1:$I$88,5,0)</f>
        <v>-7.4487616075202836E-14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278.24093386944304</v>
      </c>
      <c r="BJ142" s="62">
        <f t="shared" si="146"/>
        <v>193.96102673885611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0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-8.5265128291212022E-14</v>
      </c>
      <c r="BZ142" s="14">
        <f>BY142*VLOOKUP('Données projet'!$B$12,Paramètres!$A$1:$I$88,3,0)*VLOOKUP('Données projet'!$B$12,Paramètres!$A$1:$I$88,5,0)</f>
        <v>-8.246843208326026E-14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303.93739496872121</v>
      </c>
      <c r="CE142" s="62">
        <f t="shared" si="148"/>
        <v>210.36431469568754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0</v>
      </c>
      <c r="CL142" s="23">
        <f>EXP(-LN(2)/25)*CL141+(1-EXP(-LN(2)/25))/(LN(2)/25)*Calculateur!CG142*Calculateur!CI142*VLOOKUP('Données projet'!$B$12,Paramètres!$A$1:$I$88,3,0)*0.475*44/12</f>
        <v>0</v>
      </c>
      <c r="CM142" s="23">
        <f>EXP(-LN(2)/2)*CM141+(1-EXP(-LN(2)/2))/(LN(2)/2)*CG142*CJ142*VLOOKUP('Données projet'!$B$12,Paramètres!$A$1:$I$88,3,0)*0.475*44/12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projet'!$B$13,Paramètres!$A$1:$I$88,3,0)*VLOOKUP('Données projet'!$B$13,Paramètres!$A$1:$I$88,5,0)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57.812812891099895</v>
      </c>
      <c r="CZ142" s="62">
        <f t="shared" si="150"/>
        <v>244.79885157604684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projet'!$B$13,Paramètres!$A$1:$I$88,3,0)*0.475*44/12</f>
        <v>4.4429828611460822</v>
      </c>
      <c r="DG142" s="23">
        <f>EXP(-LN(2)/25)*DG141+(1-EXP(-LN(2)/25))/(LN(2)/25)*Calculateur!DB142*Calculateur!DD142*VLOOKUP('Données projet'!$B$13,Paramètres!$A$1:$I$88,3,0)*0.475*44/12</f>
        <v>0</v>
      </c>
      <c r="DH142" s="23">
        <f>EXP(-LN(2)/2)*DH141+(1-EXP(-LN(2)/2))/(LN(2)/2)*DB142*DE142*VLOOKUP('Données projet'!$B$13,Paramètres!$A$1:$I$88,3,0)*0.475*44/12</f>
        <v>1.5745644287446878E-17</v>
      </c>
      <c r="DI142" s="24">
        <f t="shared" si="123"/>
        <v>4.4429828611460822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-8.5265128291212022E-14</v>
      </c>
      <c r="O143" s="14">
        <f>N143*VLOOKUP('Données projet'!$B$9,Paramètres!$A$1:$I$88,3,0)*VLOOKUP('Données projet'!$B$9,Paramètres!$A$1:$I$88,5,0)</f>
        <v>-7.7147888077888636E-14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286.81278534843665</v>
      </c>
      <c r="T143" s="62">
        <f t="shared" si="142"/>
        <v>199.43308683696642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-8.5265128291212022E-14</v>
      </c>
      <c r="AJ143" s="14">
        <f>AI143*VLOOKUP('Données projet'!$B$10,Paramètres!$A$1:$I$88,3,0)*VLOOKUP('Données projet'!$B$10,Paramètres!$A$1:$I$88,5,0)</f>
        <v>-8.6458840087288998E-14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316.76504852082684</v>
      </c>
      <c r="AO143" s="62">
        <f t="shared" si="144"/>
        <v>218.5520645293999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0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-8.5265128291212022E-14</v>
      </c>
      <c r="BE143" s="14">
        <f>BD143*VLOOKUP('Données projet'!$B$11,Paramètres!$A$1:$I$88,3,0)*VLOOKUP('Données projet'!$B$11,Paramètres!$A$1:$I$88,5,0)</f>
        <v>-7.4487616075202836E-14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278.24093386944304</v>
      </c>
      <c r="BJ143" s="62">
        <f t="shared" si="146"/>
        <v>193.96102673885611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0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-8.5265128291212022E-14</v>
      </c>
      <c r="BZ143" s="14">
        <f>BY143*VLOOKUP('Données projet'!$B$12,Paramètres!$A$1:$I$88,3,0)*VLOOKUP('Données projet'!$B$12,Paramètres!$A$1:$I$88,5,0)</f>
        <v>-8.246843208326026E-14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303.93739496872121</v>
      </c>
      <c r="CE143" s="62">
        <f t="shared" si="148"/>
        <v>210.36431469568754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0</v>
      </c>
      <c r="CL143" s="23">
        <f>EXP(-LN(2)/25)*CL142+(1-EXP(-LN(2)/25))/(LN(2)/25)*Calculateur!CG143*Calculateur!CI143*VLOOKUP('Données projet'!$B$12,Paramètres!$A$1:$I$88,3,0)*0.475*44/12</f>
        <v>0</v>
      </c>
      <c r="CM143" s="23">
        <f>EXP(-LN(2)/2)*CM142+(1-EXP(-LN(2)/2))/(LN(2)/2)*CG143*CJ143*VLOOKUP('Données projet'!$B$12,Paramètres!$A$1:$I$88,3,0)*0.475*44/12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projet'!$B$13,Paramètres!$A$1:$I$88,3,0)*VLOOKUP('Données projet'!$B$13,Paramètres!$A$1:$I$88,5,0)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57.812812891099895</v>
      </c>
      <c r="CZ143" s="62">
        <f t="shared" si="150"/>
        <v>244.79885157604684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projet'!$B$13,Paramètres!$A$1:$I$88,3,0)*0.475*44/12</f>
        <v>4.3558586771909669</v>
      </c>
      <c r="DG143" s="23">
        <f>EXP(-LN(2)/25)*DG142+(1-EXP(-LN(2)/25))/(LN(2)/25)*Calculateur!DB143*Calculateur!DD143*VLOOKUP('Données projet'!$B$13,Paramètres!$A$1:$I$88,3,0)*0.475*44/12</f>
        <v>0</v>
      </c>
      <c r="DH143" s="23">
        <f>EXP(-LN(2)/2)*DH142+(1-EXP(-LN(2)/2))/(LN(2)/2)*DB143*DE143*VLOOKUP('Données projet'!$B$13,Paramètres!$A$1:$I$88,3,0)*0.475*44/12</f>
        <v>1.1133851849804912E-17</v>
      </c>
      <c r="DI143" s="24">
        <f t="shared" si="123"/>
        <v>4.3558586771909669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-8.5265128291212022E-14</v>
      </c>
      <c r="O144" s="14">
        <f>N144*VLOOKUP('Données projet'!$B$9,Paramètres!$A$1:$I$88,3,0)*VLOOKUP('Données projet'!$B$9,Paramètres!$A$1:$I$88,5,0)</f>
        <v>-7.7147888077888636E-14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286.81278534843665</v>
      </c>
      <c r="T144" s="62">
        <f t="shared" si="142"/>
        <v>199.43308683696642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-8.5265128291212022E-14</v>
      </c>
      <c r="AJ144" s="14">
        <f>AI144*VLOOKUP('Données projet'!$B$10,Paramètres!$A$1:$I$88,3,0)*VLOOKUP('Données projet'!$B$10,Paramètres!$A$1:$I$88,5,0)</f>
        <v>-8.6458840087288998E-14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316.76504852082684</v>
      </c>
      <c r="AO144" s="62">
        <f t="shared" si="144"/>
        <v>218.5520645293999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0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-8.5265128291212022E-14</v>
      </c>
      <c r="BE144" s="14">
        <f>BD144*VLOOKUP('Données projet'!$B$11,Paramètres!$A$1:$I$88,3,0)*VLOOKUP('Données projet'!$B$11,Paramètres!$A$1:$I$88,5,0)</f>
        <v>-7.4487616075202836E-14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278.24093386944304</v>
      </c>
      <c r="BJ144" s="62">
        <f t="shared" si="146"/>
        <v>193.96102673885611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0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-8.5265128291212022E-14</v>
      </c>
      <c r="BZ144" s="14">
        <f>BY144*VLOOKUP('Données projet'!$B$12,Paramètres!$A$1:$I$88,3,0)*VLOOKUP('Données projet'!$B$12,Paramètres!$A$1:$I$88,5,0)</f>
        <v>-8.246843208326026E-14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303.93739496872121</v>
      </c>
      <c r="CE144" s="62">
        <f t="shared" si="148"/>
        <v>210.36431469568754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0</v>
      </c>
      <c r="CL144" s="23">
        <f>EXP(-LN(2)/25)*CL143+(1-EXP(-LN(2)/25))/(LN(2)/25)*Calculateur!CG144*Calculateur!CI144*VLOOKUP('Données projet'!$B$12,Paramètres!$A$1:$I$88,3,0)*0.475*44/12</f>
        <v>0</v>
      </c>
      <c r="CM144" s="23">
        <f>EXP(-LN(2)/2)*CM143+(1-EXP(-LN(2)/2))/(LN(2)/2)*CG144*CJ144*VLOOKUP('Données projet'!$B$12,Paramètres!$A$1:$I$88,3,0)*0.475*44/12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projet'!$B$13,Paramètres!$A$1:$I$88,3,0)*VLOOKUP('Données projet'!$B$13,Paramètres!$A$1:$I$88,5,0)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57.812812891099895</v>
      </c>
      <c r="CZ144" s="62">
        <f t="shared" si="150"/>
        <v>244.79885157604684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projet'!$B$13,Paramètres!$A$1:$I$88,3,0)*0.475*44/12</f>
        <v>4.2704429453427064</v>
      </c>
      <c r="DG144" s="23">
        <f>EXP(-LN(2)/25)*DG143+(1-EXP(-LN(2)/25))/(LN(2)/25)*Calculateur!DB144*Calculateur!DD144*VLOOKUP('Données projet'!$B$13,Paramètres!$A$1:$I$88,3,0)*0.475*44/12</f>
        <v>0</v>
      </c>
      <c r="DH144" s="23">
        <f>EXP(-LN(2)/2)*DH143+(1-EXP(-LN(2)/2))/(LN(2)/2)*DB144*DE144*VLOOKUP('Données projet'!$B$13,Paramètres!$A$1:$I$88,3,0)*0.475*44/12</f>
        <v>7.8728221437234391E-18</v>
      </c>
      <c r="DI144" s="24">
        <f t="shared" si="123"/>
        <v>4.2704429453427064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-8.5265128291212022E-14</v>
      </c>
      <c r="O145" s="14">
        <f>N145*VLOOKUP('Données projet'!$B$9,Paramètres!$A$1:$I$88,3,0)*VLOOKUP('Données projet'!$B$9,Paramètres!$A$1:$I$88,5,0)</f>
        <v>-7.7147888077888636E-14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286.81278534843665</v>
      </c>
      <c r="T145" s="62">
        <f t="shared" si="142"/>
        <v>199.43308683696642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-8.5265128291212022E-14</v>
      </c>
      <c r="AJ145" s="14">
        <f>AI145*VLOOKUP('Données projet'!$B$10,Paramètres!$A$1:$I$88,3,0)*VLOOKUP('Données projet'!$B$10,Paramètres!$A$1:$I$88,5,0)</f>
        <v>-8.6458840087288998E-14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316.76504852082684</v>
      </c>
      <c r="AO145" s="62">
        <f t="shared" si="144"/>
        <v>218.5520645293999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0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-8.5265128291212022E-14</v>
      </c>
      <c r="BE145" s="14">
        <f>BD145*VLOOKUP('Données projet'!$B$11,Paramètres!$A$1:$I$88,3,0)*VLOOKUP('Données projet'!$B$11,Paramètres!$A$1:$I$88,5,0)</f>
        <v>-7.4487616075202836E-14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278.24093386944304</v>
      </c>
      <c r="BJ145" s="62">
        <f t="shared" si="146"/>
        <v>193.96102673885611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0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-8.5265128291212022E-14</v>
      </c>
      <c r="BZ145" s="14">
        <f>BY145*VLOOKUP('Données projet'!$B$12,Paramètres!$A$1:$I$88,3,0)*VLOOKUP('Données projet'!$B$12,Paramètres!$A$1:$I$88,5,0)</f>
        <v>-8.246843208326026E-14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303.93739496872121</v>
      </c>
      <c r="CE145" s="62">
        <f t="shared" si="148"/>
        <v>210.36431469568754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0</v>
      </c>
      <c r="CL145" s="23">
        <f>EXP(-LN(2)/25)*CL144+(1-EXP(-LN(2)/25))/(LN(2)/25)*Calculateur!CG145*Calculateur!CI145*VLOOKUP('Données projet'!$B$12,Paramètres!$A$1:$I$88,3,0)*0.475*44/12</f>
        <v>0</v>
      </c>
      <c r="CM145" s="23">
        <f>EXP(-LN(2)/2)*CM144+(1-EXP(-LN(2)/2))/(LN(2)/2)*CG145*CJ145*VLOOKUP('Données projet'!$B$12,Paramètres!$A$1:$I$88,3,0)*0.475*44/12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projet'!$B$13,Paramètres!$A$1:$I$88,3,0)*VLOOKUP('Données projet'!$B$13,Paramètres!$A$1:$I$88,5,0)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57.812812891099895</v>
      </c>
      <c r="CZ145" s="62">
        <f t="shared" si="150"/>
        <v>244.79885157604684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projet'!$B$13,Paramètres!$A$1:$I$88,3,0)*0.475*44/12</f>
        <v>4.1867021638975386</v>
      </c>
      <c r="DG145" s="23">
        <f>EXP(-LN(2)/25)*DG144+(1-EXP(-LN(2)/25))/(LN(2)/25)*Calculateur!DB145*Calculateur!DD145*VLOOKUP('Données projet'!$B$13,Paramètres!$A$1:$I$88,3,0)*0.475*44/12</f>
        <v>0</v>
      </c>
      <c r="DH145" s="23">
        <f>EXP(-LN(2)/2)*DH144+(1-EXP(-LN(2)/2))/(LN(2)/2)*DB145*DE145*VLOOKUP('Données projet'!$B$13,Paramètres!$A$1:$I$88,3,0)*0.475*44/12</f>
        <v>5.566925924902456E-18</v>
      </c>
      <c r="DI145" s="24">
        <f t="shared" si="123"/>
        <v>4.1867021638975386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-8.5265128291212022E-14</v>
      </c>
      <c r="O146" s="14">
        <f>N146*VLOOKUP('Données projet'!$B$9,Paramètres!$A$1:$I$88,3,0)*VLOOKUP('Données projet'!$B$9,Paramètres!$A$1:$I$88,5,0)</f>
        <v>-7.7147888077888636E-14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286.81278534843665</v>
      </c>
      <c r="T146" s="62">
        <f t="shared" si="142"/>
        <v>199.43308683696642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-8.5265128291212022E-14</v>
      </c>
      <c r="AJ146" s="14">
        <f>AI146*VLOOKUP('Données projet'!$B$10,Paramètres!$A$1:$I$88,3,0)*VLOOKUP('Données projet'!$B$10,Paramètres!$A$1:$I$88,5,0)</f>
        <v>-8.6458840087288998E-14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316.76504852082684</v>
      </c>
      <c r="AO146" s="62">
        <f t="shared" si="144"/>
        <v>218.5520645293999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0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-8.5265128291212022E-14</v>
      </c>
      <c r="BE146" s="14">
        <f>BD146*VLOOKUP('Données projet'!$B$11,Paramètres!$A$1:$I$88,3,0)*VLOOKUP('Données projet'!$B$11,Paramètres!$A$1:$I$88,5,0)</f>
        <v>-7.4487616075202836E-14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278.24093386944304</v>
      </c>
      <c r="BJ146" s="62">
        <f t="shared" si="146"/>
        <v>193.96102673885611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0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-8.5265128291212022E-14</v>
      </c>
      <c r="BZ146" s="14">
        <f>BY146*VLOOKUP('Données projet'!$B$12,Paramètres!$A$1:$I$88,3,0)*VLOOKUP('Données projet'!$B$12,Paramètres!$A$1:$I$88,5,0)</f>
        <v>-8.246843208326026E-14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303.93739496872121</v>
      </c>
      <c r="CE146" s="62">
        <f t="shared" si="148"/>
        <v>210.36431469568754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0</v>
      </c>
      <c r="CL146" s="23">
        <f>EXP(-LN(2)/25)*CL145+(1-EXP(-LN(2)/25))/(LN(2)/25)*Calculateur!CG146*Calculateur!CI146*VLOOKUP('Données projet'!$B$12,Paramètres!$A$1:$I$88,3,0)*0.475*44/12</f>
        <v>0</v>
      </c>
      <c r="CM146" s="23">
        <f>EXP(-LN(2)/2)*CM145+(1-EXP(-LN(2)/2))/(LN(2)/2)*CG146*CJ146*VLOOKUP('Données projet'!$B$12,Paramètres!$A$1:$I$88,3,0)*0.475*44/12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projet'!$B$13,Paramètres!$A$1:$I$88,3,0)*VLOOKUP('Données projet'!$B$13,Paramètres!$A$1:$I$88,5,0)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57.812812891099895</v>
      </c>
      <c r="CZ146" s="62">
        <f t="shared" si="150"/>
        <v>244.79885157604684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projet'!$B$13,Paramètres!$A$1:$I$88,3,0)*0.475*44/12</f>
        <v>4.1046034880996771</v>
      </c>
      <c r="DG146" s="23">
        <f>EXP(-LN(2)/25)*DG145+(1-EXP(-LN(2)/25))/(LN(2)/25)*Calculateur!DB146*Calculateur!DD146*VLOOKUP('Données projet'!$B$13,Paramètres!$A$1:$I$88,3,0)*0.475*44/12</f>
        <v>0</v>
      </c>
      <c r="DH146" s="23">
        <f>EXP(-LN(2)/2)*DH145+(1-EXP(-LN(2)/2))/(LN(2)/2)*DB146*DE146*VLOOKUP('Données projet'!$B$13,Paramètres!$A$1:$I$88,3,0)*0.475*44/12</f>
        <v>3.9364110718617195E-18</v>
      </c>
      <c r="DI146" s="24">
        <f t="shared" si="123"/>
        <v>4.1046034880996771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-8.5265128291212022E-14</v>
      </c>
      <c r="O147" s="14">
        <f>N147*VLOOKUP('Données projet'!$B$9,Paramètres!$A$1:$I$88,3,0)*VLOOKUP('Données projet'!$B$9,Paramètres!$A$1:$I$88,5,0)</f>
        <v>-7.7147888077888636E-14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286.81278534843665</v>
      </c>
      <c r="T147" s="62">
        <f t="shared" si="142"/>
        <v>199.43308683696642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-8.5265128291212022E-14</v>
      </c>
      <c r="AJ147" s="14">
        <f>AI147*VLOOKUP('Données projet'!$B$10,Paramètres!$A$1:$I$88,3,0)*VLOOKUP('Données projet'!$B$10,Paramètres!$A$1:$I$88,5,0)</f>
        <v>-8.6458840087288998E-14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316.76504852082684</v>
      </c>
      <c r="AO147" s="62">
        <f t="shared" si="144"/>
        <v>218.5520645293999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0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-8.5265128291212022E-14</v>
      </c>
      <c r="BE147" s="14">
        <f>BD147*VLOOKUP('Données projet'!$B$11,Paramètres!$A$1:$I$88,3,0)*VLOOKUP('Données projet'!$B$11,Paramètres!$A$1:$I$88,5,0)</f>
        <v>-7.4487616075202836E-14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278.24093386944304</v>
      </c>
      <c r="BJ147" s="62">
        <f t="shared" si="146"/>
        <v>193.96102673885611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0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-8.5265128291212022E-14</v>
      </c>
      <c r="BZ147" s="14">
        <f>BY147*VLOOKUP('Données projet'!$B$12,Paramètres!$A$1:$I$88,3,0)*VLOOKUP('Données projet'!$B$12,Paramètres!$A$1:$I$88,5,0)</f>
        <v>-8.246843208326026E-14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303.93739496872121</v>
      </c>
      <c r="CE147" s="62">
        <f t="shared" si="148"/>
        <v>210.36431469568754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0</v>
      </c>
      <c r="CL147" s="23">
        <f>EXP(-LN(2)/25)*CL146+(1-EXP(-LN(2)/25))/(LN(2)/25)*Calculateur!CG147*Calculateur!CI147*VLOOKUP('Données projet'!$B$12,Paramètres!$A$1:$I$88,3,0)*0.475*44/12</f>
        <v>0</v>
      </c>
      <c r="CM147" s="23">
        <f>EXP(-LN(2)/2)*CM146+(1-EXP(-LN(2)/2))/(LN(2)/2)*CG147*CJ147*VLOOKUP('Données projet'!$B$12,Paramètres!$A$1:$I$88,3,0)*0.475*44/12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projet'!$B$13,Paramètres!$A$1:$I$88,3,0)*VLOOKUP('Données projet'!$B$13,Paramètres!$A$1:$I$88,5,0)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57.812812891099895</v>
      </c>
      <c r="CZ147" s="62">
        <f t="shared" si="150"/>
        <v>244.79885157604684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projet'!$B$13,Paramètres!$A$1:$I$88,3,0)*0.475*44/12</f>
        <v>4.0241147172589642</v>
      </c>
      <c r="DG147" s="23">
        <f>EXP(-LN(2)/25)*DG146+(1-EXP(-LN(2)/25))/(LN(2)/25)*Calculateur!DB147*Calculateur!DD147*VLOOKUP('Données projet'!$B$13,Paramètres!$A$1:$I$88,3,0)*0.475*44/12</f>
        <v>0</v>
      </c>
      <c r="DH147" s="23">
        <f>EXP(-LN(2)/2)*DH146+(1-EXP(-LN(2)/2))/(LN(2)/2)*DB147*DE147*VLOOKUP('Données projet'!$B$13,Paramètres!$A$1:$I$88,3,0)*0.475*44/12</f>
        <v>2.783462962451228E-18</v>
      </c>
      <c r="DI147" s="24">
        <f t="shared" si="123"/>
        <v>4.0241147172589642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-8.5265128291212022E-14</v>
      </c>
      <c r="O148" s="14">
        <f>N148*VLOOKUP('Données projet'!$B$9,Paramètres!$A$1:$I$88,3,0)*VLOOKUP('Données projet'!$B$9,Paramètres!$A$1:$I$88,5,0)</f>
        <v>-7.7147888077888636E-14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286.81278534843665</v>
      </c>
      <c r="T148" s="62">
        <f t="shared" si="142"/>
        <v>199.43308683696642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-8.5265128291212022E-14</v>
      </c>
      <c r="AJ148" s="14">
        <f>AI148*VLOOKUP('Données projet'!$B$10,Paramètres!$A$1:$I$88,3,0)*VLOOKUP('Données projet'!$B$10,Paramètres!$A$1:$I$88,5,0)</f>
        <v>-8.6458840087288998E-14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316.76504852082684</v>
      </c>
      <c r="AO148" s="62">
        <f t="shared" si="144"/>
        <v>218.5520645293999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0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-8.5265128291212022E-14</v>
      </c>
      <c r="BE148" s="14">
        <f>BD148*VLOOKUP('Données projet'!$B$11,Paramètres!$A$1:$I$88,3,0)*VLOOKUP('Données projet'!$B$11,Paramètres!$A$1:$I$88,5,0)</f>
        <v>-7.4487616075202836E-14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278.24093386944304</v>
      </c>
      <c r="BJ148" s="62">
        <f t="shared" si="146"/>
        <v>193.96102673885611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0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-8.5265128291212022E-14</v>
      </c>
      <c r="BZ148" s="14">
        <f>BY148*VLOOKUP('Données projet'!$B$12,Paramètres!$A$1:$I$88,3,0)*VLOOKUP('Données projet'!$B$12,Paramètres!$A$1:$I$88,5,0)</f>
        <v>-8.246843208326026E-14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303.93739496872121</v>
      </c>
      <c r="CE148" s="62">
        <f t="shared" si="148"/>
        <v>210.36431469568754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0</v>
      </c>
      <c r="CL148" s="23">
        <f>EXP(-LN(2)/25)*CL147+(1-EXP(-LN(2)/25))/(LN(2)/25)*Calculateur!CG148*Calculateur!CI148*VLOOKUP('Données projet'!$B$12,Paramètres!$A$1:$I$88,3,0)*0.475*44/12</f>
        <v>0</v>
      </c>
      <c r="CM148" s="23">
        <f>EXP(-LN(2)/2)*CM147+(1-EXP(-LN(2)/2))/(LN(2)/2)*CG148*CJ148*VLOOKUP('Données projet'!$B$12,Paramètres!$A$1:$I$88,3,0)*0.475*44/12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projet'!$B$13,Paramètres!$A$1:$I$88,3,0)*VLOOKUP('Données projet'!$B$13,Paramètres!$A$1:$I$88,5,0)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57.812812891099895</v>
      </c>
      <c r="CZ148" s="62">
        <f t="shared" si="150"/>
        <v>244.79885157604684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projet'!$B$13,Paramètres!$A$1:$I$88,3,0)*0.475*44/12</f>
        <v>3.9452042821211348</v>
      </c>
      <c r="DG148" s="23">
        <f>EXP(-LN(2)/25)*DG147+(1-EXP(-LN(2)/25))/(LN(2)/25)*Calculateur!DB148*Calculateur!DD148*VLOOKUP('Données projet'!$B$13,Paramètres!$A$1:$I$88,3,0)*0.475*44/12</f>
        <v>0</v>
      </c>
      <c r="DH148" s="23">
        <f>EXP(-LN(2)/2)*DH147+(1-EXP(-LN(2)/2))/(LN(2)/2)*DB148*DE148*VLOOKUP('Données projet'!$B$13,Paramètres!$A$1:$I$88,3,0)*0.475*44/12</f>
        <v>1.9682055359308598E-18</v>
      </c>
      <c r="DI148" s="24">
        <f t="shared" si="123"/>
        <v>3.9452042821211348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-8.5265128291212022E-14</v>
      </c>
      <c r="O149" s="14">
        <f>N149*VLOOKUP('Données projet'!$B$9,Paramètres!$A$1:$I$88,3,0)*VLOOKUP('Données projet'!$B$9,Paramètres!$A$1:$I$88,5,0)</f>
        <v>-7.7147888077888636E-14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286.81278534843665</v>
      </c>
      <c r="T149" s="62">
        <f t="shared" si="142"/>
        <v>199.43308683696642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-8.5265128291212022E-14</v>
      </c>
      <c r="AJ149" s="14">
        <f>AI149*VLOOKUP('Données projet'!$B$10,Paramètres!$A$1:$I$88,3,0)*VLOOKUP('Données projet'!$B$10,Paramètres!$A$1:$I$88,5,0)</f>
        <v>-8.6458840087288998E-14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316.76504852082684</v>
      </c>
      <c r="AO149" s="62">
        <f t="shared" si="144"/>
        <v>218.5520645293999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0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-8.5265128291212022E-14</v>
      </c>
      <c r="BE149" s="14">
        <f>BD149*VLOOKUP('Données projet'!$B$11,Paramètres!$A$1:$I$88,3,0)*VLOOKUP('Données projet'!$B$11,Paramètres!$A$1:$I$88,5,0)</f>
        <v>-7.4487616075202836E-14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278.24093386944304</v>
      </c>
      <c r="BJ149" s="62">
        <f t="shared" si="146"/>
        <v>193.96102673885611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0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-8.5265128291212022E-14</v>
      </c>
      <c r="BZ149" s="14">
        <f>BY149*VLOOKUP('Données projet'!$B$12,Paramètres!$A$1:$I$88,3,0)*VLOOKUP('Données projet'!$B$12,Paramètres!$A$1:$I$88,5,0)</f>
        <v>-8.246843208326026E-14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303.93739496872121</v>
      </c>
      <c r="CE149" s="62">
        <f t="shared" si="148"/>
        <v>210.36431469568754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0</v>
      </c>
      <c r="CL149" s="23">
        <f>EXP(-LN(2)/25)*CL148+(1-EXP(-LN(2)/25))/(LN(2)/25)*Calculateur!CG149*Calculateur!CI149*VLOOKUP('Données projet'!$B$12,Paramètres!$A$1:$I$88,3,0)*0.475*44/12</f>
        <v>0</v>
      </c>
      <c r="CM149" s="23">
        <f>EXP(-LN(2)/2)*CM148+(1-EXP(-LN(2)/2))/(LN(2)/2)*CG149*CJ149*VLOOKUP('Données projet'!$B$12,Paramètres!$A$1:$I$88,3,0)*0.475*44/12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projet'!$B$13,Paramètres!$A$1:$I$88,3,0)*VLOOKUP('Données projet'!$B$13,Paramètres!$A$1:$I$88,5,0)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57.812812891099895</v>
      </c>
      <c r="CZ149" s="62">
        <f t="shared" si="150"/>
        <v>244.79885157604684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projet'!$B$13,Paramètres!$A$1:$I$88,3,0)*0.475*44/12</f>
        <v>3.8678412324857456</v>
      </c>
      <c r="DG149" s="23">
        <f>EXP(-LN(2)/25)*DG148+(1-EXP(-LN(2)/25))/(LN(2)/25)*Calculateur!DB149*Calculateur!DD149*VLOOKUP('Données projet'!$B$13,Paramètres!$A$1:$I$88,3,0)*0.475*44/12</f>
        <v>0</v>
      </c>
      <c r="DH149" s="23">
        <f>EXP(-LN(2)/2)*DH148+(1-EXP(-LN(2)/2))/(LN(2)/2)*DB149*DE149*VLOOKUP('Données projet'!$B$13,Paramètres!$A$1:$I$88,3,0)*0.475*44/12</f>
        <v>1.391731481225614E-18</v>
      </c>
      <c r="DI149" s="24">
        <f t="shared" si="123"/>
        <v>3.8678412324857456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-8.5265128291212022E-14</v>
      </c>
      <c r="O150" s="14">
        <f>N150*VLOOKUP('Données projet'!$B$9,Paramètres!$A$1:$I$88,3,0)*VLOOKUP('Données projet'!$B$9,Paramètres!$A$1:$I$88,5,0)</f>
        <v>-7.7147888077888636E-14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286.81278534843665</v>
      </c>
      <c r="T150" s="62">
        <f t="shared" si="142"/>
        <v>199.43308683696642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-8.5265128291212022E-14</v>
      </c>
      <c r="AJ150" s="14">
        <f>AI150*VLOOKUP('Données projet'!$B$10,Paramètres!$A$1:$I$88,3,0)*VLOOKUP('Données projet'!$B$10,Paramètres!$A$1:$I$88,5,0)</f>
        <v>-8.6458840087288998E-14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316.76504852082684</v>
      </c>
      <c r="AO150" s="62">
        <f t="shared" si="144"/>
        <v>218.5520645293999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0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-8.5265128291212022E-14</v>
      </c>
      <c r="BE150" s="14">
        <f>BD150*VLOOKUP('Données projet'!$B$11,Paramètres!$A$1:$I$88,3,0)*VLOOKUP('Données projet'!$B$11,Paramètres!$A$1:$I$88,5,0)</f>
        <v>-7.4487616075202836E-14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278.24093386944304</v>
      </c>
      <c r="BJ150" s="62">
        <f t="shared" si="146"/>
        <v>193.96102673885611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0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-8.5265128291212022E-14</v>
      </c>
      <c r="BZ150" s="14">
        <f>BY150*VLOOKUP('Données projet'!$B$12,Paramètres!$A$1:$I$88,3,0)*VLOOKUP('Données projet'!$B$12,Paramètres!$A$1:$I$88,5,0)</f>
        <v>-8.246843208326026E-14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303.93739496872121</v>
      </c>
      <c r="CE150" s="62">
        <f t="shared" si="148"/>
        <v>210.36431469568754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0</v>
      </c>
      <c r="CL150" s="23">
        <f>EXP(-LN(2)/25)*CL149+(1-EXP(-LN(2)/25))/(LN(2)/25)*Calculateur!CG150*Calculateur!CI150*VLOOKUP('Données projet'!$B$12,Paramètres!$A$1:$I$88,3,0)*0.475*44/12</f>
        <v>0</v>
      </c>
      <c r="CM150" s="23">
        <f>EXP(-LN(2)/2)*CM149+(1-EXP(-LN(2)/2))/(LN(2)/2)*CG150*CJ150*VLOOKUP('Données projet'!$B$12,Paramètres!$A$1:$I$88,3,0)*0.475*44/12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projet'!$B$13,Paramètres!$A$1:$I$88,3,0)*VLOOKUP('Données projet'!$B$13,Paramètres!$A$1:$I$88,5,0)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57.812812891099895</v>
      </c>
      <c r="CZ150" s="62">
        <f t="shared" si="150"/>
        <v>244.79885157604684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projet'!$B$13,Paramètres!$A$1:$I$88,3,0)*0.475*44/12</f>
        <v>3.7919952250669051</v>
      </c>
      <c r="DG150" s="23">
        <f>EXP(-LN(2)/25)*DG149+(1-EXP(-LN(2)/25))/(LN(2)/25)*Calculateur!DB150*Calculateur!DD150*VLOOKUP('Données projet'!$B$13,Paramètres!$A$1:$I$88,3,0)*0.475*44/12</f>
        <v>0</v>
      </c>
      <c r="DH150" s="23">
        <f>EXP(-LN(2)/2)*DH149+(1-EXP(-LN(2)/2))/(LN(2)/2)*DB150*DE150*VLOOKUP('Données projet'!$B$13,Paramètres!$A$1:$I$88,3,0)*0.475*44/12</f>
        <v>9.8410276796542989E-19</v>
      </c>
      <c r="DI150" s="24">
        <f t="shared" si="123"/>
        <v>3.7919952250669051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-8.5265128291212022E-14</v>
      </c>
      <c r="O151" s="14">
        <f>N151*VLOOKUP('Données projet'!$B$9,Paramètres!$A$1:$I$88,3,0)*VLOOKUP('Données projet'!$B$9,Paramètres!$A$1:$I$88,5,0)</f>
        <v>-7.7147888077888636E-14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286.81278534843665</v>
      </c>
      <c r="T151" s="62">
        <f t="shared" si="142"/>
        <v>199.43308683696642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-8.5265128291212022E-14</v>
      </c>
      <c r="AJ151" s="14">
        <f>AI151*VLOOKUP('Données projet'!$B$10,Paramètres!$A$1:$I$88,3,0)*VLOOKUP('Données projet'!$B$10,Paramètres!$A$1:$I$88,5,0)</f>
        <v>-8.6458840087288998E-14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316.76504852082684</v>
      </c>
      <c r="AO151" s="62">
        <f t="shared" si="144"/>
        <v>218.5520645293999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0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-8.5265128291212022E-14</v>
      </c>
      <c r="BE151" s="14">
        <f>BD151*VLOOKUP('Données projet'!$B$11,Paramètres!$A$1:$I$88,3,0)*VLOOKUP('Données projet'!$B$11,Paramètres!$A$1:$I$88,5,0)</f>
        <v>-7.4487616075202836E-14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278.24093386944304</v>
      </c>
      <c r="BJ151" s="62">
        <f t="shared" si="146"/>
        <v>193.96102673885611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0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-8.5265128291212022E-14</v>
      </c>
      <c r="BZ151" s="14">
        <f>BY151*VLOOKUP('Données projet'!$B$12,Paramètres!$A$1:$I$88,3,0)*VLOOKUP('Données projet'!$B$12,Paramètres!$A$1:$I$88,5,0)</f>
        <v>-8.246843208326026E-14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303.93739496872121</v>
      </c>
      <c r="CE151" s="62">
        <f t="shared" si="148"/>
        <v>210.36431469568754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0</v>
      </c>
      <c r="CL151" s="23">
        <f>EXP(-LN(2)/25)*CL150+(1-EXP(-LN(2)/25))/(LN(2)/25)*Calculateur!CG151*Calculateur!CI151*VLOOKUP('Données projet'!$B$12,Paramètres!$A$1:$I$88,3,0)*0.475*44/12</f>
        <v>0</v>
      </c>
      <c r="CM151" s="23">
        <f>EXP(-LN(2)/2)*CM150+(1-EXP(-LN(2)/2))/(LN(2)/2)*CG151*CJ151*VLOOKUP('Données projet'!$B$12,Paramètres!$A$1:$I$88,3,0)*0.475*44/12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projet'!$B$13,Paramètres!$A$1:$I$88,3,0)*VLOOKUP('Données projet'!$B$13,Paramètres!$A$1:$I$88,5,0)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57.812812891099895</v>
      </c>
      <c r="CZ151" s="62">
        <f t="shared" si="150"/>
        <v>244.79885157604684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projet'!$B$13,Paramètres!$A$1:$I$88,3,0)*0.475*44/12</f>
        <v>3.7176365115920516</v>
      </c>
      <c r="DG151" s="23">
        <f>EXP(-LN(2)/25)*DG150+(1-EXP(-LN(2)/25))/(LN(2)/25)*Calculateur!DB151*Calculateur!DD151*VLOOKUP('Données projet'!$B$13,Paramètres!$A$1:$I$88,3,0)*0.475*44/12</f>
        <v>0</v>
      </c>
      <c r="DH151" s="23">
        <f>EXP(-LN(2)/2)*DH150+(1-EXP(-LN(2)/2))/(LN(2)/2)*DB151*DE151*VLOOKUP('Données projet'!$B$13,Paramètres!$A$1:$I$88,3,0)*0.475*44/12</f>
        <v>6.95865740612807E-19</v>
      </c>
      <c r="DI151" s="24">
        <f t="shared" si="123"/>
        <v>3.7176365115920516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-8.5265128291212022E-14</v>
      </c>
      <c r="O152" s="14">
        <f>N152*VLOOKUP('Données projet'!$B$9,Paramètres!$A$1:$I$88,3,0)*VLOOKUP('Données projet'!$B$9,Paramètres!$A$1:$I$88,5,0)</f>
        <v>-7.7147888077888636E-14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286.81278534843665</v>
      </c>
      <c r="T152" s="62">
        <f t="shared" si="142"/>
        <v>199.43308683696642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-8.5265128291212022E-14</v>
      </c>
      <c r="AJ152" s="14">
        <f>AI152*VLOOKUP('Données projet'!$B$10,Paramètres!$A$1:$I$88,3,0)*VLOOKUP('Données projet'!$B$10,Paramètres!$A$1:$I$88,5,0)</f>
        <v>-8.6458840087288998E-14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316.76504852082684</v>
      </c>
      <c r="AO152" s="62">
        <f t="shared" si="144"/>
        <v>218.5520645293999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0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-8.5265128291212022E-14</v>
      </c>
      <c r="BE152" s="14">
        <f>BD152*VLOOKUP('Données projet'!$B$11,Paramètres!$A$1:$I$88,3,0)*VLOOKUP('Données projet'!$B$11,Paramètres!$A$1:$I$88,5,0)</f>
        <v>-7.4487616075202836E-14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278.24093386944304</v>
      </c>
      <c r="BJ152" s="62">
        <f t="shared" si="146"/>
        <v>193.96102673885611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0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-8.5265128291212022E-14</v>
      </c>
      <c r="BZ152" s="14">
        <f>BY152*VLOOKUP('Données projet'!$B$12,Paramètres!$A$1:$I$88,3,0)*VLOOKUP('Données projet'!$B$12,Paramètres!$A$1:$I$88,5,0)</f>
        <v>-8.246843208326026E-14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303.93739496872121</v>
      </c>
      <c r="CE152" s="62">
        <f t="shared" si="148"/>
        <v>210.36431469568754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0</v>
      </c>
      <c r="CL152" s="23">
        <f>EXP(-LN(2)/25)*CL151+(1-EXP(-LN(2)/25))/(LN(2)/25)*Calculateur!CG152*Calculateur!CI152*VLOOKUP('Données projet'!$B$12,Paramètres!$A$1:$I$88,3,0)*0.475*44/12</f>
        <v>0</v>
      </c>
      <c r="CM152" s="23">
        <f>EXP(-LN(2)/2)*CM151+(1-EXP(-LN(2)/2))/(LN(2)/2)*CG152*CJ152*VLOOKUP('Données projet'!$B$12,Paramètres!$A$1:$I$88,3,0)*0.475*44/12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projet'!$B$13,Paramètres!$A$1:$I$88,3,0)*VLOOKUP('Données projet'!$B$13,Paramètres!$A$1:$I$88,5,0)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57.812812891099895</v>
      </c>
      <c r="CZ152" s="62">
        <f t="shared" si="150"/>
        <v>244.79885157604684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projet'!$B$13,Paramètres!$A$1:$I$88,3,0)*0.475*44/12</f>
        <v>3.6447359271341031</v>
      </c>
      <c r="DG152" s="23">
        <f>EXP(-LN(2)/25)*DG151+(1-EXP(-LN(2)/25))/(LN(2)/25)*Calculateur!DB152*Calculateur!DD152*VLOOKUP('Données projet'!$B$13,Paramètres!$A$1:$I$88,3,0)*0.475*44/12</f>
        <v>0</v>
      </c>
      <c r="DH152" s="23">
        <f>EXP(-LN(2)/2)*DH151+(1-EXP(-LN(2)/2))/(LN(2)/2)*DB152*DE152*VLOOKUP('Données projet'!$B$13,Paramètres!$A$1:$I$88,3,0)*0.475*44/12</f>
        <v>4.9205138398271494E-19</v>
      </c>
      <c r="DI152" s="24">
        <f t="shared" si="123"/>
        <v>3.6447359271341031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-8.5265128291212022E-14</v>
      </c>
      <c r="O153" s="14">
        <f>N153*VLOOKUP('Données projet'!$B$9,Paramètres!$A$1:$I$88,3,0)*VLOOKUP('Données projet'!$B$9,Paramètres!$A$1:$I$88,5,0)</f>
        <v>-7.7147888077888636E-14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286.81278534843665</v>
      </c>
      <c r="T153" s="62">
        <f t="shared" si="142"/>
        <v>199.43308683696642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-8.5265128291212022E-14</v>
      </c>
      <c r="AJ153" s="14">
        <f>AI153*VLOOKUP('Données projet'!$B$10,Paramètres!$A$1:$I$88,3,0)*VLOOKUP('Données projet'!$B$10,Paramètres!$A$1:$I$88,5,0)</f>
        <v>-8.6458840087288998E-14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316.76504852082684</v>
      </c>
      <c r="AO153" s="62">
        <f t="shared" si="144"/>
        <v>218.5520645293999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0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-8.5265128291212022E-14</v>
      </c>
      <c r="BE153" s="14">
        <f>BD153*VLOOKUP('Données projet'!$B$11,Paramètres!$A$1:$I$88,3,0)*VLOOKUP('Données projet'!$B$11,Paramètres!$A$1:$I$88,5,0)</f>
        <v>-7.4487616075202836E-14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278.24093386944304</v>
      </c>
      <c r="BJ153" s="62">
        <f t="shared" si="146"/>
        <v>193.96102673885611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0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-8.5265128291212022E-14</v>
      </c>
      <c r="BZ153" s="14">
        <f>BY153*VLOOKUP('Données projet'!$B$12,Paramètres!$A$1:$I$88,3,0)*VLOOKUP('Données projet'!$B$12,Paramètres!$A$1:$I$88,5,0)</f>
        <v>-8.246843208326026E-14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303.93739496872121</v>
      </c>
      <c r="CE153" s="62">
        <f t="shared" si="148"/>
        <v>210.36431469568754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0</v>
      </c>
      <c r="CL153" s="23">
        <f>EXP(-LN(2)/25)*CL152+(1-EXP(-LN(2)/25))/(LN(2)/25)*Calculateur!CG153*Calculateur!CI153*VLOOKUP('Données projet'!$B$12,Paramètres!$A$1:$I$88,3,0)*0.475*44/12</f>
        <v>0</v>
      </c>
      <c r="CM153" s="23">
        <f>EXP(-LN(2)/2)*CM152+(1-EXP(-LN(2)/2))/(LN(2)/2)*CG153*CJ153*VLOOKUP('Données projet'!$B$12,Paramètres!$A$1:$I$88,3,0)*0.475*44/12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projet'!$B$13,Paramètres!$A$1:$I$88,3,0)*VLOOKUP('Données projet'!$B$13,Paramètres!$A$1:$I$88,5,0)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57.812812891099895</v>
      </c>
      <c r="CZ153" s="62">
        <f t="shared" si="150"/>
        <v>244.79885157604684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projet'!$B$13,Paramètres!$A$1:$I$88,3,0)*0.475*44/12</f>
        <v>3.5732648786724091</v>
      </c>
      <c r="DG153" s="23">
        <f>EXP(-LN(2)/25)*DG152+(1-EXP(-LN(2)/25))/(LN(2)/25)*Calculateur!DB153*Calculateur!DD153*VLOOKUP('Données projet'!$B$13,Paramètres!$A$1:$I$88,3,0)*0.475*44/12</f>
        <v>0</v>
      </c>
      <c r="DH153" s="23">
        <f>EXP(-LN(2)/2)*DH152+(1-EXP(-LN(2)/2))/(LN(2)/2)*DB153*DE153*VLOOKUP('Données projet'!$B$13,Paramètres!$A$1:$I$88,3,0)*0.475*44/12</f>
        <v>3.479328703064035E-19</v>
      </c>
      <c r="DI153" s="24">
        <f t="shared" si="123"/>
        <v>3.5732648786724091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-8.5265128291212022E-14</v>
      </c>
      <c r="O154" s="14">
        <f>N154*VLOOKUP('Données projet'!$B$9,Paramètres!$A$1:$I$88,3,0)*VLOOKUP('Données projet'!$B$9,Paramètres!$A$1:$I$88,5,0)</f>
        <v>-7.7147888077888636E-14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286.81278534843665</v>
      </c>
      <c r="T154" s="62">
        <f t="shared" si="142"/>
        <v>199.43308683696642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-8.5265128291212022E-14</v>
      </c>
      <c r="AJ154" s="14">
        <f>AI154*VLOOKUP('Données projet'!$B$10,Paramètres!$A$1:$I$88,3,0)*VLOOKUP('Données projet'!$B$10,Paramètres!$A$1:$I$88,5,0)</f>
        <v>-8.6458840087288998E-14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316.76504852082684</v>
      </c>
      <c r="AO154" s="62">
        <f t="shared" si="144"/>
        <v>218.5520645293999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0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-8.5265128291212022E-14</v>
      </c>
      <c r="BE154" s="14">
        <f>BD154*VLOOKUP('Données projet'!$B$11,Paramètres!$A$1:$I$88,3,0)*VLOOKUP('Données projet'!$B$11,Paramètres!$A$1:$I$88,5,0)</f>
        <v>-7.4487616075202836E-14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278.24093386944304</v>
      </c>
      <c r="BJ154" s="62">
        <f t="shared" si="146"/>
        <v>193.96102673885611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0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-8.5265128291212022E-14</v>
      </c>
      <c r="BZ154" s="14">
        <f>BY154*VLOOKUP('Données projet'!$B$12,Paramètres!$A$1:$I$88,3,0)*VLOOKUP('Données projet'!$B$12,Paramètres!$A$1:$I$88,5,0)</f>
        <v>-8.246843208326026E-14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303.93739496872121</v>
      </c>
      <c r="CE154" s="62">
        <f t="shared" si="148"/>
        <v>210.36431469568754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0</v>
      </c>
      <c r="CL154" s="23">
        <f>EXP(-LN(2)/25)*CL153+(1-EXP(-LN(2)/25))/(LN(2)/25)*Calculateur!CG154*Calculateur!CI154*VLOOKUP('Données projet'!$B$12,Paramètres!$A$1:$I$88,3,0)*0.475*44/12</f>
        <v>0</v>
      </c>
      <c r="CM154" s="23">
        <f>EXP(-LN(2)/2)*CM153+(1-EXP(-LN(2)/2))/(LN(2)/2)*CG154*CJ154*VLOOKUP('Données projet'!$B$12,Paramètres!$A$1:$I$88,3,0)*0.475*44/12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projet'!$B$13,Paramètres!$A$1:$I$88,3,0)*VLOOKUP('Données projet'!$B$13,Paramètres!$A$1:$I$88,5,0)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57.812812891099895</v>
      </c>
      <c r="CZ154" s="62">
        <f t="shared" si="150"/>
        <v>244.79885157604684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projet'!$B$13,Paramètres!$A$1:$I$88,3,0)*0.475*44/12</f>
        <v>3.5031953338780135</v>
      </c>
      <c r="DG154" s="23">
        <f>EXP(-LN(2)/25)*DG153+(1-EXP(-LN(2)/25))/(LN(2)/25)*Calculateur!DB154*Calculateur!DD154*VLOOKUP('Données projet'!$B$13,Paramètres!$A$1:$I$88,3,0)*0.475*44/12</f>
        <v>0</v>
      </c>
      <c r="DH154" s="23">
        <f>EXP(-LN(2)/2)*DH153+(1-EXP(-LN(2)/2))/(LN(2)/2)*DB154*DE154*VLOOKUP('Données projet'!$B$13,Paramètres!$A$1:$I$88,3,0)*0.475*44/12</f>
        <v>2.4602569199135747E-19</v>
      </c>
      <c r="DI154" s="24">
        <f t="shared" ref="DI154:DI203" si="175">SUM(DF154:DH154)</f>
        <v>3.5031953338780135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-8.5265128291212022E-14</v>
      </c>
      <c r="O155" s="14">
        <f>N155*VLOOKUP('Données projet'!$B$9,Paramètres!$A$1:$I$88,3,0)*VLOOKUP('Données projet'!$B$9,Paramètres!$A$1:$I$88,5,0)</f>
        <v>-7.7147888077888636E-14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286.81278534843665</v>
      </c>
      <c r="T155" s="62">
        <f t="shared" si="142"/>
        <v>199.43308683696642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-8.5265128291212022E-14</v>
      </c>
      <c r="AJ155" s="14">
        <f>AI155*VLOOKUP('Données projet'!$B$10,Paramètres!$A$1:$I$88,3,0)*VLOOKUP('Données projet'!$B$10,Paramètres!$A$1:$I$88,5,0)</f>
        <v>-8.6458840087288998E-14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316.76504852082684</v>
      </c>
      <c r="AO155" s="62">
        <f t="shared" si="144"/>
        <v>218.5520645293999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0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-8.5265128291212022E-14</v>
      </c>
      <c r="BE155" s="14">
        <f>BD155*VLOOKUP('Données projet'!$B$11,Paramètres!$A$1:$I$88,3,0)*VLOOKUP('Données projet'!$B$11,Paramètres!$A$1:$I$88,5,0)</f>
        <v>-7.4487616075202836E-14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278.24093386944304</v>
      </c>
      <c r="BJ155" s="62">
        <f t="shared" si="146"/>
        <v>193.96102673885611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0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-8.5265128291212022E-14</v>
      </c>
      <c r="BZ155" s="14">
        <f>BY155*VLOOKUP('Données projet'!$B$12,Paramètres!$A$1:$I$88,3,0)*VLOOKUP('Données projet'!$B$12,Paramètres!$A$1:$I$88,5,0)</f>
        <v>-8.246843208326026E-14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303.93739496872121</v>
      </c>
      <c r="CE155" s="62">
        <f t="shared" si="148"/>
        <v>210.36431469568754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0</v>
      </c>
      <c r="CL155" s="23">
        <f>EXP(-LN(2)/25)*CL154+(1-EXP(-LN(2)/25))/(LN(2)/25)*Calculateur!CG155*Calculateur!CI155*VLOOKUP('Données projet'!$B$12,Paramètres!$A$1:$I$88,3,0)*0.475*44/12</f>
        <v>0</v>
      </c>
      <c r="CM155" s="23">
        <f>EXP(-LN(2)/2)*CM154+(1-EXP(-LN(2)/2))/(LN(2)/2)*CG155*CJ155*VLOOKUP('Données projet'!$B$12,Paramètres!$A$1:$I$88,3,0)*0.475*44/12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projet'!$B$13,Paramètres!$A$1:$I$88,3,0)*VLOOKUP('Données projet'!$B$13,Paramètres!$A$1:$I$88,5,0)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57.812812891099895</v>
      </c>
      <c r="CZ155" s="62">
        <f t="shared" si="150"/>
        <v>244.79885157604684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projet'!$B$13,Paramètres!$A$1:$I$88,3,0)*0.475*44/12</f>
        <v>3.434499810118834</v>
      </c>
      <c r="DG155" s="23">
        <f>EXP(-LN(2)/25)*DG154+(1-EXP(-LN(2)/25))/(LN(2)/25)*Calculateur!DB155*Calculateur!DD155*VLOOKUP('Données projet'!$B$13,Paramètres!$A$1:$I$88,3,0)*0.475*44/12</f>
        <v>0</v>
      </c>
      <c r="DH155" s="23">
        <f>EXP(-LN(2)/2)*DH154+(1-EXP(-LN(2)/2))/(LN(2)/2)*DB155*DE155*VLOOKUP('Données projet'!$B$13,Paramètres!$A$1:$I$88,3,0)*0.475*44/12</f>
        <v>1.7396643515320175E-19</v>
      </c>
      <c r="DI155" s="24">
        <f t="shared" si="175"/>
        <v>3.434499810118834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-8.5265128291212022E-14</v>
      </c>
      <c r="O156" s="14">
        <f>N156*VLOOKUP('Données projet'!$B$9,Paramètres!$A$1:$I$88,3,0)*VLOOKUP('Données projet'!$B$9,Paramètres!$A$1:$I$88,5,0)</f>
        <v>-7.7147888077888636E-14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286.81278534843665</v>
      </c>
      <c r="T156" s="62">
        <f t="shared" si="142"/>
        <v>199.43308683696642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-8.5265128291212022E-14</v>
      </c>
      <c r="AJ156" s="14">
        <f>AI156*VLOOKUP('Données projet'!$B$10,Paramètres!$A$1:$I$88,3,0)*VLOOKUP('Données projet'!$B$10,Paramètres!$A$1:$I$88,5,0)</f>
        <v>-8.6458840087288998E-14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316.76504852082684</v>
      </c>
      <c r="AO156" s="62">
        <f t="shared" si="144"/>
        <v>218.5520645293999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0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-8.5265128291212022E-14</v>
      </c>
      <c r="BE156" s="14">
        <f>BD156*VLOOKUP('Données projet'!$B$11,Paramètres!$A$1:$I$88,3,0)*VLOOKUP('Données projet'!$B$11,Paramètres!$A$1:$I$88,5,0)</f>
        <v>-7.4487616075202836E-14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278.24093386944304</v>
      </c>
      <c r="BJ156" s="62">
        <f t="shared" si="146"/>
        <v>193.96102673885611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0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-8.5265128291212022E-14</v>
      </c>
      <c r="BZ156" s="14">
        <f>BY156*VLOOKUP('Données projet'!$B$12,Paramètres!$A$1:$I$88,3,0)*VLOOKUP('Données projet'!$B$12,Paramètres!$A$1:$I$88,5,0)</f>
        <v>-8.246843208326026E-14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303.93739496872121</v>
      </c>
      <c r="CE156" s="62">
        <f t="shared" si="148"/>
        <v>210.36431469568754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0</v>
      </c>
      <c r="CL156" s="23">
        <f>EXP(-LN(2)/25)*CL155+(1-EXP(-LN(2)/25))/(LN(2)/25)*Calculateur!CG156*Calculateur!CI156*VLOOKUP('Données projet'!$B$12,Paramètres!$A$1:$I$88,3,0)*0.475*44/12</f>
        <v>0</v>
      </c>
      <c r="CM156" s="23">
        <f>EXP(-LN(2)/2)*CM155+(1-EXP(-LN(2)/2))/(LN(2)/2)*CG156*CJ156*VLOOKUP('Données projet'!$B$12,Paramètres!$A$1:$I$88,3,0)*0.475*44/12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projet'!$B$13,Paramètres!$A$1:$I$88,3,0)*VLOOKUP('Données projet'!$B$13,Paramètres!$A$1:$I$88,5,0)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57.812812891099895</v>
      </c>
      <c r="CZ156" s="62">
        <f t="shared" si="150"/>
        <v>244.79885157604684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projet'!$B$13,Paramètres!$A$1:$I$88,3,0)*0.475*44/12</f>
        <v>3.3671513636804398</v>
      </c>
      <c r="DG156" s="23">
        <f>EXP(-LN(2)/25)*DG155+(1-EXP(-LN(2)/25))/(LN(2)/25)*Calculateur!DB156*Calculateur!DD156*VLOOKUP('Données projet'!$B$13,Paramètres!$A$1:$I$88,3,0)*0.475*44/12</f>
        <v>0</v>
      </c>
      <c r="DH156" s="23">
        <f>EXP(-LN(2)/2)*DH155+(1-EXP(-LN(2)/2))/(LN(2)/2)*DB156*DE156*VLOOKUP('Données projet'!$B$13,Paramètres!$A$1:$I$88,3,0)*0.475*44/12</f>
        <v>1.2301284599567874E-19</v>
      </c>
      <c r="DI156" s="24">
        <f t="shared" si="175"/>
        <v>3.3671513636804398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-8.5265128291212022E-14</v>
      </c>
      <c r="O157" s="14">
        <f>N157*VLOOKUP('Données projet'!$B$9,Paramètres!$A$1:$I$88,3,0)*VLOOKUP('Données projet'!$B$9,Paramètres!$A$1:$I$88,5,0)</f>
        <v>-7.7147888077888636E-14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286.81278534843665</v>
      </c>
      <c r="T157" s="62">
        <f t="shared" si="142"/>
        <v>199.43308683696642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-8.5265128291212022E-14</v>
      </c>
      <c r="AJ157" s="14">
        <f>AI157*VLOOKUP('Données projet'!$B$10,Paramètres!$A$1:$I$88,3,0)*VLOOKUP('Données projet'!$B$10,Paramètres!$A$1:$I$88,5,0)</f>
        <v>-8.6458840087288998E-14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316.76504852082684</v>
      </c>
      <c r="AO157" s="62">
        <f t="shared" si="144"/>
        <v>218.5520645293999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0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-8.5265128291212022E-14</v>
      </c>
      <c r="BE157" s="14">
        <f>BD157*VLOOKUP('Données projet'!$B$11,Paramètres!$A$1:$I$88,3,0)*VLOOKUP('Données projet'!$B$11,Paramètres!$A$1:$I$88,5,0)</f>
        <v>-7.4487616075202836E-14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278.24093386944304</v>
      </c>
      <c r="BJ157" s="62">
        <f t="shared" si="146"/>
        <v>193.96102673885611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0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-8.5265128291212022E-14</v>
      </c>
      <c r="BZ157" s="14">
        <f>BY157*VLOOKUP('Données projet'!$B$12,Paramètres!$A$1:$I$88,3,0)*VLOOKUP('Données projet'!$B$12,Paramètres!$A$1:$I$88,5,0)</f>
        <v>-8.246843208326026E-14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303.93739496872121</v>
      </c>
      <c r="CE157" s="62">
        <f t="shared" si="148"/>
        <v>210.36431469568754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0</v>
      </c>
      <c r="CL157" s="23">
        <f>EXP(-LN(2)/25)*CL156+(1-EXP(-LN(2)/25))/(LN(2)/25)*Calculateur!CG157*Calculateur!CI157*VLOOKUP('Données projet'!$B$12,Paramètres!$A$1:$I$88,3,0)*0.475*44/12</f>
        <v>0</v>
      </c>
      <c r="CM157" s="23">
        <f>EXP(-LN(2)/2)*CM156+(1-EXP(-LN(2)/2))/(LN(2)/2)*CG157*CJ157*VLOOKUP('Données projet'!$B$12,Paramètres!$A$1:$I$88,3,0)*0.475*44/12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projet'!$B$13,Paramètres!$A$1:$I$88,3,0)*VLOOKUP('Données projet'!$B$13,Paramètres!$A$1:$I$88,5,0)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57.812812891099895</v>
      </c>
      <c r="CZ157" s="62">
        <f t="shared" si="150"/>
        <v>244.79885157604684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projet'!$B$13,Paramètres!$A$1:$I$88,3,0)*0.475*44/12</f>
        <v>3.3011235791982063</v>
      </c>
      <c r="DG157" s="23">
        <f>EXP(-LN(2)/25)*DG156+(1-EXP(-LN(2)/25))/(LN(2)/25)*Calculateur!DB157*Calculateur!DD157*VLOOKUP('Données projet'!$B$13,Paramètres!$A$1:$I$88,3,0)*0.475*44/12</f>
        <v>0</v>
      </c>
      <c r="DH157" s="23">
        <f>EXP(-LN(2)/2)*DH156+(1-EXP(-LN(2)/2))/(LN(2)/2)*DB157*DE157*VLOOKUP('Données projet'!$B$13,Paramètres!$A$1:$I$88,3,0)*0.475*44/12</f>
        <v>8.6983217576600875E-20</v>
      </c>
      <c r="DI157" s="24">
        <f t="shared" si="175"/>
        <v>3.3011235791982063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-8.5265128291212022E-14</v>
      </c>
      <c r="O158" s="14">
        <f>N158*VLOOKUP('Données projet'!$B$9,Paramètres!$A$1:$I$88,3,0)*VLOOKUP('Données projet'!$B$9,Paramètres!$A$1:$I$88,5,0)</f>
        <v>-7.7147888077888636E-14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286.81278534843665</v>
      </c>
      <c r="T158" s="62">
        <f t="shared" si="142"/>
        <v>199.43308683696642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-8.5265128291212022E-14</v>
      </c>
      <c r="AJ158" s="14">
        <f>AI158*VLOOKUP('Données projet'!$B$10,Paramètres!$A$1:$I$88,3,0)*VLOOKUP('Données projet'!$B$10,Paramètres!$A$1:$I$88,5,0)</f>
        <v>-8.6458840087288998E-14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316.76504852082684</v>
      </c>
      <c r="AO158" s="62">
        <f t="shared" si="144"/>
        <v>218.5520645293999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0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-8.5265128291212022E-14</v>
      </c>
      <c r="BE158" s="14">
        <f>BD158*VLOOKUP('Données projet'!$B$11,Paramètres!$A$1:$I$88,3,0)*VLOOKUP('Données projet'!$B$11,Paramètres!$A$1:$I$88,5,0)</f>
        <v>-7.4487616075202836E-14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278.24093386944304</v>
      </c>
      <c r="BJ158" s="62">
        <f t="shared" si="146"/>
        <v>193.96102673885611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0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-8.5265128291212022E-14</v>
      </c>
      <c r="BZ158" s="14">
        <f>BY158*VLOOKUP('Données projet'!$B$12,Paramètres!$A$1:$I$88,3,0)*VLOOKUP('Données projet'!$B$12,Paramètres!$A$1:$I$88,5,0)</f>
        <v>-8.246843208326026E-14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303.93739496872121</v>
      </c>
      <c r="CE158" s="62">
        <f t="shared" si="148"/>
        <v>210.36431469568754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0</v>
      </c>
      <c r="CL158" s="23">
        <f>EXP(-LN(2)/25)*CL157+(1-EXP(-LN(2)/25))/(LN(2)/25)*Calculateur!CG158*Calculateur!CI158*VLOOKUP('Données projet'!$B$12,Paramètres!$A$1:$I$88,3,0)*0.475*44/12</f>
        <v>0</v>
      </c>
      <c r="CM158" s="23">
        <f>EXP(-LN(2)/2)*CM157+(1-EXP(-LN(2)/2))/(LN(2)/2)*CG158*CJ158*VLOOKUP('Données projet'!$B$12,Paramètres!$A$1:$I$88,3,0)*0.475*44/12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projet'!$B$13,Paramètres!$A$1:$I$88,3,0)*VLOOKUP('Données projet'!$B$13,Paramètres!$A$1:$I$88,5,0)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57.812812891099895</v>
      </c>
      <c r="CZ158" s="62">
        <f t="shared" si="150"/>
        <v>244.79885157604684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projet'!$B$13,Paramètres!$A$1:$I$88,3,0)*0.475*44/12</f>
        <v>3.2363905592966975</v>
      </c>
      <c r="DG158" s="23">
        <f>EXP(-LN(2)/25)*DG157+(1-EXP(-LN(2)/25))/(LN(2)/25)*Calculateur!DB158*Calculateur!DD158*VLOOKUP('Données projet'!$B$13,Paramètres!$A$1:$I$88,3,0)*0.475*44/12</f>
        <v>0</v>
      </c>
      <c r="DH158" s="23">
        <f>EXP(-LN(2)/2)*DH157+(1-EXP(-LN(2)/2))/(LN(2)/2)*DB158*DE158*VLOOKUP('Données projet'!$B$13,Paramètres!$A$1:$I$88,3,0)*0.475*44/12</f>
        <v>6.1506422997839368E-20</v>
      </c>
      <c r="DI158" s="24">
        <f t="shared" si="175"/>
        <v>3.2363905592966975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-8.5265128291212022E-14</v>
      </c>
      <c r="O159" s="14">
        <f>N159*VLOOKUP('Données projet'!$B$9,Paramètres!$A$1:$I$88,3,0)*VLOOKUP('Données projet'!$B$9,Paramètres!$A$1:$I$88,5,0)</f>
        <v>-7.7147888077888636E-14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286.81278534843665</v>
      </c>
      <c r="T159" s="62">
        <f t="shared" si="142"/>
        <v>199.43308683696642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-8.5265128291212022E-14</v>
      </c>
      <c r="AJ159" s="14">
        <f>AI159*VLOOKUP('Données projet'!$B$10,Paramètres!$A$1:$I$88,3,0)*VLOOKUP('Données projet'!$B$10,Paramètres!$A$1:$I$88,5,0)</f>
        <v>-8.6458840087288998E-14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316.76504852082684</v>
      </c>
      <c r="AO159" s="62">
        <f t="shared" si="144"/>
        <v>218.5520645293999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0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-8.5265128291212022E-14</v>
      </c>
      <c r="BE159" s="14">
        <f>BD159*VLOOKUP('Données projet'!$B$11,Paramètres!$A$1:$I$88,3,0)*VLOOKUP('Données projet'!$B$11,Paramètres!$A$1:$I$88,5,0)</f>
        <v>-7.4487616075202836E-14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278.24093386944304</v>
      </c>
      <c r="BJ159" s="62">
        <f t="shared" si="146"/>
        <v>193.96102673885611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0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-8.5265128291212022E-14</v>
      </c>
      <c r="BZ159" s="14">
        <f>BY159*VLOOKUP('Données projet'!$B$12,Paramètres!$A$1:$I$88,3,0)*VLOOKUP('Données projet'!$B$12,Paramètres!$A$1:$I$88,5,0)</f>
        <v>-8.246843208326026E-14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303.93739496872121</v>
      </c>
      <c r="CE159" s="62">
        <f t="shared" si="148"/>
        <v>210.36431469568754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0</v>
      </c>
      <c r="CL159" s="23">
        <f>EXP(-LN(2)/25)*CL158+(1-EXP(-LN(2)/25))/(LN(2)/25)*Calculateur!CG159*Calculateur!CI159*VLOOKUP('Données projet'!$B$12,Paramètres!$A$1:$I$88,3,0)*0.475*44/12</f>
        <v>0</v>
      </c>
      <c r="CM159" s="23">
        <f>EXP(-LN(2)/2)*CM158+(1-EXP(-LN(2)/2))/(LN(2)/2)*CG159*CJ159*VLOOKUP('Données projet'!$B$12,Paramètres!$A$1:$I$88,3,0)*0.475*44/12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projet'!$B$13,Paramètres!$A$1:$I$88,3,0)*VLOOKUP('Données projet'!$B$13,Paramètres!$A$1:$I$88,5,0)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57.812812891099895</v>
      </c>
      <c r="CZ159" s="62">
        <f t="shared" si="150"/>
        <v>244.79885157604684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projet'!$B$13,Paramètres!$A$1:$I$88,3,0)*0.475*44/12</f>
        <v>3.1729269144322139</v>
      </c>
      <c r="DG159" s="23">
        <f>EXP(-LN(2)/25)*DG158+(1-EXP(-LN(2)/25))/(LN(2)/25)*Calculateur!DB159*Calculateur!DD159*VLOOKUP('Données projet'!$B$13,Paramètres!$A$1:$I$88,3,0)*0.475*44/12</f>
        <v>0</v>
      </c>
      <c r="DH159" s="23">
        <f>EXP(-LN(2)/2)*DH158+(1-EXP(-LN(2)/2))/(LN(2)/2)*DB159*DE159*VLOOKUP('Données projet'!$B$13,Paramètres!$A$1:$I$88,3,0)*0.475*44/12</f>
        <v>4.3491608788300437E-20</v>
      </c>
      <c r="DI159" s="24">
        <f t="shared" si="175"/>
        <v>3.1729269144322139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-8.5265128291212022E-14</v>
      </c>
      <c r="O160" s="14">
        <f>N160*VLOOKUP('Données projet'!$B$9,Paramètres!$A$1:$I$88,3,0)*VLOOKUP('Données projet'!$B$9,Paramètres!$A$1:$I$88,5,0)</f>
        <v>-7.7147888077888636E-14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286.81278534843665</v>
      </c>
      <c r="T160" s="62">
        <f t="shared" si="142"/>
        <v>199.43308683696642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-8.5265128291212022E-14</v>
      </c>
      <c r="AJ160" s="14">
        <f>AI160*VLOOKUP('Données projet'!$B$10,Paramètres!$A$1:$I$88,3,0)*VLOOKUP('Données projet'!$B$10,Paramètres!$A$1:$I$88,5,0)</f>
        <v>-8.6458840087288998E-14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316.76504852082684</v>
      </c>
      <c r="AO160" s="62">
        <f t="shared" si="144"/>
        <v>218.5520645293999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0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-8.5265128291212022E-14</v>
      </c>
      <c r="BE160" s="14">
        <f>BD160*VLOOKUP('Données projet'!$B$11,Paramètres!$A$1:$I$88,3,0)*VLOOKUP('Données projet'!$B$11,Paramètres!$A$1:$I$88,5,0)</f>
        <v>-7.4487616075202836E-14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278.24093386944304</v>
      </c>
      <c r="BJ160" s="62">
        <f t="shared" si="146"/>
        <v>193.96102673885611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0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-8.5265128291212022E-14</v>
      </c>
      <c r="BZ160" s="14">
        <f>BY160*VLOOKUP('Données projet'!$B$12,Paramètres!$A$1:$I$88,3,0)*VLOOKUP('Données projet'!$B$12,Paramètres!$A$1:$I$88,5,0)</f>
        <v>-8.246843208326026E-14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303.93739496872121</v>
      </c>
      <c r="CE160" s="62">
        <f t="shared" si="148"/>
        <v>210.36431469568754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0</v>
      </c>
      <c r="CL160" s="23">
        <f>EXP(-LN(2)/25)*CL159+(1-EXP(-LN(2)/25))/(LN(2)/25)*Calculateur!CG160*Calculateur!CI160*VLOOKUP('Données projet'!$B$12,Paramètres!$A$1:$I$88,3,0)*0.475*44/12</f>
        <v>0</v>
      </c>
      <c r="CM160" s="23">
        <f>EXP(-LN(2)/2)*CM159+(1-EXP(-LN(2)/2))/(LN(2)/2)*CG160*CJ160*VLOOKUP('Données projet'!$B$12,Paramètres!$A$1:$I$88,3,0)*0.475*44/12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projet'!$B$13,Paramètres!$A$1:$I$88,3,0)*VLOOKUP('Données projet'!$B$13,Paramètres!$A$1:$I$88,5,0)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57.812812891099895</v>
      </c>
      <c r="CZ160" s="62">
        <f t="shared" si="150"/>
        <v>244.79885157604684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projet'!$B$13,Paramètres!$A$1:$I$88,3,0)*0.475*44/12</f>
        <v>3.1107077529345215</v>
      </c>
      <c r="DG160" s="23">
        <f>EXP(-LN(2)/25)*DG159+(1-EXP(-LN(2)/25))/(LN(2)/25)*Calculateur!DB160*Calculateur!DD160*VLOOKUP('Données projet'!$B$13,Paramètres!$A$1:$I$88,3,0)*0.475*44/12</f>
        <v>0</v>
      </c>
      <c r="DH160" s="23">
        <f>EXP(-LN(2)/2)*DH159+(1-EXP(-LN(2)/2))/(LN(2)/2)*DB160*DE160*VLOOKUP('Données projet'!$B$13,Paramètres!$A$1:$I$88,3,0)*0.475*44/12</f>
        <v>3.0753211498919684E-20</v>
      </c>
      <c r="DI160" s="24">
        <f t="shared" si="175"/>
        <v>3.1107077529345215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-8.5265128291212022E-14</v>
      </c>
      <c r="O161" s="14">
        <f>N161*VLOOKUP('Données projet'!$B$9,Paramètres!$A$1:$I$88,3,0)*VLOOKUP('Données projet'!$B$9,Paramètres!$A$1:$I$88,5,0)</f>
        <v>-7.7147888077888636E-14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286.81278534843665</v>
      </c>
      <c r="T161" s="62">
        <f t="shared" si="142"/>
        <v>199.43308683696642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-8.5265128291212022E-14</v>
      </c>
      <c r="AJ161" s="14">
        <f>AI161*VLOOKUP('Données projet'!$B$10,Paramètres!$A$1:$I$88,3,0)*VLOOKUP('Données projet'!$B$10,Paramètres!$A$1:$I$88,5,0)</f>
        <v>-8.6458840087288998E-14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316.76504852082684</v>
      </c>
      <c r="AO161" s="62">
        <f t="shared" si="144"/>
        <v>218.5520645293999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0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-8.5265128291212022E-14</v>
      </c>
      <c r="BE161" s="14">
        <f>BD161*VLOOKUP('Données projet'!$B$11,Paramètres!$A$1:$I$88,3,0)*VLOOKUP('Données projet'!$B$11,Paramètres!$A$1:$I$88,5,0)</f>
        <v>-7.4487616075202836E-14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278.24093386944304</v>
      </c>
      <c r="BJ161" s="62">
        <f t="shared" si="146"/>
        <v>193.96102673885611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0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-8.5265128291212022E-14</v>
      </c>
      <c r="BZ161" s="14">
        <f>BY161*VLOOKUP('Données projet'!$B$12,Paramètres!$A$1:$I$88,3,0)*VLOOKUP('Données projet'!$B$12,Paramètres!$A$1:$I$88,5,0)</f>
        <v>-8.246843208326026E-14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303.93739496872121</v>
      </c>
      <c r="CE161" s="62">
        <f t="shared" si="148"/>
        <v>210.36431469568754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0</v>
      </c>
      <c r="CL161" s="23">
        <f>EXP(-LN(2)/25)*CL160+(1-EXP(-LN(2)/25))/(LN(2)/25)*Calculateur!CG161*Calculateur!CI161*VLOOKUP('Données projet'!$B$12,Paramètres!$A$1:$I$88,3,0)*0.475*44/12</f>
        <v>0</v>
      </c>
      <c r="CM161" s="23">
        <f>EXP(-LN(2)/2)*CM160+(1-EXP(-LN(2)/2))/(LN(2)/2)*CG161*CJ161*VLOOKUP('Données projet'!$B$12,Paramètres!$A$1:$I$88,3,0)*0.475*44/12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projet'!$B$13,Paramètres!$A$1:$I$88,3,0)*VLOOKUP('Données projet'!$B$13,Paramètres!$A$1:$I$88,5,0)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57.812812891099895</v>
      </c>
      <c r="CZ161" s="62">
        <f t="shared" si="150"/>
        <v>244.79885157604684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projet'!$B$13,Paramètres!$A$1:$I$88,3,0)*0.475*44/12</f>
        <v>3.0497086712438577</v>
      </c>
      <c r="DG161" s="23">
        <f>EXP(-LN(2)/25)*DG160+(1-EXP(-LN(2)/25))/(LN(2)/25)*Calculateur!DB161*Calculateur!DD161*VLOOKUP('Données projet'!$B$13,Paramètres!$A$1:$I$88,3,0)*0.475*44/12</f>
        <v>0</v>
      </c>
      <c r="DH161" s="23">
        <f>EXP(-LN(2)/2)*DH160+(1-EXP(-LN(2)/2))/(LN(2)/2)*DB161*DE161*VLOOKUP('Données projet'!$B$13,Paramètres!$A$1:$I$88,3,0)*0.475*44/12</f>
        <v>2.1745804394150219E-20</v>
      </c>
      <c r="DI161" s="24">
        <f t="shared" si="175"/>
        <v>3.0497086712438577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-8.5265128291212022E-14</v>
      </c>
      <c r="O162" s="14">
        <f>N162*VLOOKUP('Données projet'!$B$9,Paramètres!$A$1:$I$88,3,0)*VLOOKUP('Données projet'!$B$9,Paramètres!$A$1:$I$88,5,0)</f>
        <v>-7.7147888077888636E-14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286.81278534843665</v>
      </c>
      <c r="T162" s="62">
        <f t="shared" si="142"/>
        <v>199.43308683696642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-8.5265128291212022E-14</v>
      </c>
      <c r="AJ162" s="14">
        <f>AI162*VLOOKUP('Données projet'!$B$10,Paramètres!$A$1:$I$88,3,0)*VLOOKUP('Données projet'!$B$10,Paramètres!$A$1:$I$88,5,0)</f>
        <v>-8.6458840087288998E-14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316.76504852082684</v>
      </c>
      <c r="AO162" s="62">
        <f t="shared" si="144"/>
        <v>218.5520645293999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0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-8.5265128291212022E-14</v>
      </c>
      <c r="BE162" s="14">
        <f>BD162*VLOOKUP('Données projet'!$B$11,Paramètres!$A$1:$I$88,3,0)*VLOOKUP('Données projet'!$B$11,Paramètres!$A$1:$I$88,5,0)</f>
        <v>-7.4487616075202836E-14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278.24093386944304</v>
      </c>
      <c r="BJ162" s="62">
        <f t="shared" si="146"/>
        <v>193.96102673885611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0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-8.5265128291212022E-14</v>
      </c>
      <c r="BZ162" s="14">
        <f>BY162*VLOOKUP('Données projet'!$B$12,Paramètres!$A$1:$I$88,3,0)*VLOOKUP('Données projet'!$B$12,Paramètres!$A$1:$I$88,5,0)</f>
        <v>-8.246843208326026E-14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303.93739496872121</v>
      </c>
      <c r="CE162" s="62">
        <f t="shared" si="148"/>
        <v>210.36431469568754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0</v>
      </c>
      <c r="CL162" s="23">
        <f>EXP(-LN(2)/25)*CL161+(1-EXP(-LN(2)/25))/(LN(2)/25)*Calculateur!CG162*Calculateur!CI162*VLOOKUP('Données projet'!$B$12,Paramètres!$A$1:$I$88,3,0)*0.475*44/12</f>
        <v>0</v>
      </c>
      <c r="CM162" s="23">
        <f>EXP(-LN(2)/2)*CM161+(1-EXP(-LN(2)/2))/(LN(2)/2)*CG162*CJ162*VLOOKUP('Données projet'!$B$12,Paramètres!$A$1:$I$88,3,0)*0.475*44/12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projet'!$B$13,Paramètres!$A$1:$I$88,3,0)*VLOOKUP('Données projet'!$B$13,Paramètres!$A$1:$I$88,5,0)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57.812812891099895</v>
      </c>
      <c r="CZ162" s="62">
        <f t="shared" si="150"/>
        <v>244.79885157604684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projet'!$B$13,Paramètres!$A$1:$I$88,3,0)*0.475*44/12</f>
        <v>2.9899057443393815</v>
      </c>
      <c r="DG162" s="23">
        <f>EXP(-LN(2)/25)*DG161+(1-EXP(-LN(2)/25))/(LN(2)/25)*Calculateur!DB162*Calculateur!DD162*VLOOKUP('Données projet'!$B$13,Paramètres!$A$1:$I$88,3,0)*0.475*44/12</f>
        <v>0</v>
      </c>
      <c r="DH162" s="23">
        <f>EXP(-LN(2)/2)*DH161+(1-EXP(-LN(2)/2))/(LN(2)/2)*DB162*DE162*VLOOKUP('Données projet'!$B$13,Paramètres!$A$1:$I$88,3,0)*0.475*44/12</f>
        <v>1.5376605749459842E-20</v>
      </c>
      <c r="DI162" s="24">
        <f t="shared" si="175"/>
        <v>2.9899057443393815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-8.5265128291212022E-14</v>
      </c>
      <c r="O163" s="14">
        <f>N163*VLOOKUP('Données projet'!$B$9,Paramètres!$A$1:$I$88,3,0)*VLOOKUP('Données projet'!$B$9,Paramètres!$A$1:$I$88,5,0)</f>
        <v>-7.7147888077888636E-14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286.81278534843665</v>
      </c>
      <c r="T163" s="62">
        <f t="shared" si="142"/>
        <v>199.43308683696642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-8.5265128291212022E-14</v>
      </c>
      <c r="AJ163" s="14">
        <f>AI163*VLOOKUP('Données projet'!$B$10,Paramètres!$A$1:$I$88,3,0)*VLOOKUP('Données projet'!$B$10,Paramètres!$A$1:$I$88,5,0)</f>
        <v>-8.6458840087288998E-14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316.76504852082684</v>
      </c>
      <c r="AO163" s="62">
        <f t="shared" si="144"/>
        <v>218.5520645293999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0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-8.5265128291212022E-14</v>
      </c>
      <c r="BE163" s="14">
        <f>BD163*VLOOKUP('Données projet'!$B$11,Paramètres!$A$1:$I$88,3,0)*VLOOKUP('Données projet'!$B$11,Paramètres!$A$1:$I$88,5,0)</f>
        <v>-7.4487616075202836E-14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278.24093386944304</v>
      </c>
      <c r="BJ163" s="62">
        <f t="shared" si="146"/>
        <v>193.96102673885611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0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-8.5265128291212022E-14</v>
      </c>
      <c r="BZ163" s="14">
        <f>BY163*VLOOKUP('Données projet'!$B$12,Paramètres!$A$1:$I$88,3,0)*VLOOKUP('Données projet'!$B$12,Paramètres!$A$1:$I$88,5,0)</f>
        <v>-8.246843208326026E-14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303.93739496872121</v>
      </c>
      <c r="CE163" s="62">
        <f t="shared" si="148"/>
        <v>210.36431469568754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0</v>
      </c>
      <c r="CL163" s="23">
        <f>EXP(-LN(2)/25)*CL162+(1-EXP(-LN(2)/25))/(LN(2)/25)*Calculateur!CG163*Calculateur!CI163*VLOOKUP('Données projet'!$B$12,Paramètres!$A$1:$I$88,3,0)*0.475*44/12</f>
        <v>0</v>
      </c>
      <c r="CM163" s="23">
        <f>EXP(-LN(2)/2)*CM162+(1-EXP(-LN(2)/2))/(LN(2)/2)*CG163*CJ163*VLOOKUP('Données projet'!$B$12,Paramètres!$A$1:$I$88,3,0)*0.475*44/12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projet'!$B$13,Paramètres!$A$1:$I$88,3,0)*VLOOKUP('Données projet'!$B$13,Paramètres!$A$1:$I$88,5,0)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57.812812891099895</v>
      </c>
      <c r="CZ163" s="62">
        <f t="shared" si="150"/>
        <v>244.79885157604684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projet'!$B$13,Paramètres!$A$1:$I$88,3,0)*0.475*44/12</f>
        <v>2.9312755163553184</v>
      </c>
      <c r="DG163" s="23">
        <f>EXP(-LN(2)/25)*DG162+(1-EXP(-LN(2)/25))/(LN(2)/25)*Calculateur!DB163*Calculateur!DD163*VLOOKUP('Données projet'!$B$13,Paramètres!$A$1:$I$88,3,0)*0.475*44/12</f>
        <v>0</v>
      </c>
      <c r="DH163" s="23">
        <f>EXP(-LN(2)/2)*DH162+(1-EXP(-LN(2)/2))/(LN(2)/2)*DB163*DE163*VLOOKUP('Données projet'!$B$13,Paramètres!$A$1:$I$88,3,0)*0.475*44/12</f>
        <v>1.0872902197075109E-20</v>
      </c>
      <c r="DI163" s="24">
        <f t="shared" si="175"/>
        <v>2.9312755163553184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-8.5265128291212022E-14</v>
      </c>
      <c r="O164" s="14">
        <f>N164*VLOOKUP('Données projet'!$B$9,Paramètres!$A$1:$I$88,3,0)*VLOOKUP('Données projet'!$B$9,Paramètres!$A$1:$I$88,5,0)</f>
        <v>-7.7147888077888636E-14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286.81278534843665</v>
      </c>
      <c r="T164" s="62">
        <f t="shared" si="142"/>
        <v>199.43308683696642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-8.5265128291212022E-14</v>
      </c>
      <c r="AJ164" s="14">
        <f>AI164*VLOOKUP('Données projet'!$B$10,Paramètres!$A$1:$I$88,3,0)*VLOOKUP('Données projet'!$B$10,Paramètres!$A$1:$I$88,5,0)</f>
        <v>-8.6458840087288998E-14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316.76504852082684</v>
      </c>
      <c r="AO164" s="62">
        <f t="shared" si="144"/>
        <v>218.5520645293999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0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-8.5265128291212022E-14</v>
      </c>
      <c r="BE164" s="14">
        <f>BD164*VLOOKUP('Données projet'!$B$11,Paramètres!$A$1:$I$88,3,0)*VLOOKUP('Données projet'!$B$11,Paramètres!$A$1:$I$88,5,0)</f>
        <v>-7.4487616075202836E-14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278.24093386944304</v>
      </c>
      <c r="BJ164" s="62">
        <f t="shared" si="146"/>
        <v>193.96102673885611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0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-8.5265128291212022E-14</v>
      </c>
      <c r="BZ164" s="14">
        <f>BY164*VLOOKUP('Données projet'!$B$12,Paramètres!$A$1:$I$88,3,0)*VLOOKUP('Données projet'!$B$12,Paramètres!$A$1:$I$88,5,0)</f>
        <v>-8.246843208326026E-14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303.93739496872121</v>
      </c>
      <c r="CE164" s="62">
        <f t="shared" si="148"/>
        <v>210.36431469568754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0</v>
      </c>
      <c r="CL164" s="23">
        <f>EXP(-LN(2)/25)*CL163+(1-EXP(-LN(2)/25))/(LN(2)/25)*Calculateur!CG164*Calculateur!CI164*VLOOKUP('Données projet'!$B$12,Paramètres!$A$1:$I$88,3,0)*0.475*44/12</f>
        <v>0</v>
      </c>
      <c r="CM164" s="23">
        <f>EXP(-LN(2)/2)*CM163+(1-EXP(-LN(2)/2))/(LN(2)/2)*CG164*CJ164*VLOOKUP('Données projet'!$B$12,Paramètres!$A$1:$I$88,3,0)*0.475*44/12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projet'!$B$13,Paramètres!$A$1:$I$88,3,0)*VLOOKUP('Données projet'!$B$13,Paramètres!$A$1:$I$88,5,0)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57.812812891099895</v>
      </c>
      <c r="CZ164" s="62">
        <f t="shared" si="150"/>
        <v>244.79885157604684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projet'!$B$13,Paramètres!$A$1:$I$88,3,0)*0.475*44/12</f>
        <v>2.8737949913811147</v>
      </c>
      <c r="DG164" s="23">
        <f>EXP(-LN(2)/25)*DG163+(1-EXP(-LN(2)/25))/(LN(2)/25)*Calculateur!DB164*Calculateur!DD164*VLOOKUP('Données projet'!$B$13,Paramètres!$A$1:$I$88,3,0)*0.475*44/12</f>
        <v>0</v>
      </c>
      <c r="DH164" s="23">
        <f>EXP(-LN(2)/2)*DH163+(1-EXP(-LN(2)/2))/(LN(2)/2)*DB164*DE164*VLOOKUP('Données projet'!$B$13,Paramètres!$A$1:$I$88,3,0)*0.475*44/12</f>
        <v>7.688302874729921E-21</v>
      </c>
      <c r="DI164" s="24">
        <f t="shared" si="175"/>
        <v>2.8737949913811147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-8.5265128291212022E-14</v>
      </c>
      <c r="O165" s="14">
        <f>N165*VLOOKUP('Données projet'!$B$9,Paramètres!$A$1:$I$88,3,0)*VLOOKUP('Données projet'!$B$9,Paramètres!$A$1:$I$88,5,0)</f>
        <v>-7.7147888077888636E-14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286.81278534843665</v>
      </c>
      <c r="T165" s="62">
        <f t="shared" si="142"/>
        <v>199.43308683696642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-8.5265128291212022E-14</v>
      </c>
      <c r="AJ165" s="14">
        <f>AI165*VLOOKUP('Données projet'!$B$10,Paramètres!$A$1:$I$88,3,0)*VLOOKUP('Données projet'!$B$10,Paramètres!$A$1:$I$88,5,0)</f>
        <v>-8.6458840087288998E-14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316.76504852082684</v>
      </c>
      <c r="AO165" s="62">
        <f t="shared" si="144"/>
        <v>218.5520645293999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0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-8.5265128291212022E-14</v>
      </c>
      <c r="BE165" s="14">
        <f>BD165*VLOOKUP('Données projet'!$B$11,Paramètres!$A$1:$I$88,3,0)*VLOOKUP('Données projet'!$B$11,Paramètres!$A$1:$I$88,5,0)</f>
        <v>-7.4487616075202836E-14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278.24093386944304</v>
      </c>
      <c r="BJ165" s="62">
        <f t="shared" si="146"/>
        <v>193.96102673885611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0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-8.5265128291212022E-14</v>
      </c>
      <c r="BZ165" s="14">
        <f>BY165*VLOOKUP('Données projet'!$B$12,Paramètres!$A$1:$I$88,3,0)*VLOOKUP('Données projet'!$B$12,Paramètres!$A$1:$I$88,5,0)</f>
        <v>-8.246843208326026E-14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303.93739496872121</v>
      </c>
      <c r="CE165" s="62">
        <f t="shared" si="148"/>
        <v>210.36431469568754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0</v>
      </c>
      <c r="CL165" s="23">
        <f>EXP(-LN(2)/25)*CL164+(1-EXP(-LN(2)/25))/(LN(2)/25)*Calculateur!CG165*Calculateur!CI165*VLOOKUP('Données projet'!$B$12,Paramètres!$A$1:$I$88,3,0)*0.475*44/12</f>
        <v>0</v>
      </c>
      <c r="CM165" s="23">
        <f>EXP(-LN(2)/2)*CM164+(1-EXP(-LN(2)/2))/(LN(2)/2)*CG165*CJ165*VLOOKUP('Données projet'!$B$12,Paramètres!$A$1:$I$88,3,0)*0.475*44/12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projet'!$B$13,Paramètres!$A$1:$I$88,3,0)*VLOOKUP('Données projet'!$B$13,Paramètres!$A$1:$I$88,5,0)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57.812812891099895</v>
      </c>
      <c r="CZ165" s="62">
        <f t="shared" si="150"/>
        <v>244.79885157604684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projet'!$B$13,Paramètres!$A$1:$I$88,3,0)*0.475*44/12</f>
        <v>2.8174416244419969</v>
      </c>
      <c r="DG165" s="23">
        <f>EXP(-LN(2)/25)*DG164+(1-EXP(-LN(2)/25))/(LN(2)/25)*Calculateur!DB165*Calculateur!DD165*VLOOKUP('Données projet'!$B$13,Paramètres!$A$1:$I$88,3,0)*0.475*44/12</f>
        <v>0</v>
      </c>
      <c r="DH165" s="23">
        <f>EXP(-LN(2)/2)*DH164+(1-EXP(-LN(2)/2))/(LN(2)/2)*DB165*DE165*VLOOKUP('Données projet'!$B$13,Paramètres!$A$1:$I$88,3,0)*0.475*44/12</f>
        <v>5.4364510985375547E-21</v>
      </c>
      <c r="DI165" s="24">
        <f t="shared" si="175"/>
        <v>2.8174416244419969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-8.5265128291212022E-14</v>
      </c>
      <c r="O166" s="14">
        <f>N166*VLOOKUP('Données projet'!$B$9,Paramètres!$A$1:$I$88,3,0)*VLOOKUP('Données projet'!$B$9,Paramètres!$A$1:$I$88,5,0)</f>
        <v>-7.7147888077888636E-14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286.81278534843665</v>
      </c>
      <c r="T166" s="62">
        <f t="shared" si="142"/>
        <v>199.43308683696642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-8.5265128291212022E-14</v>
      </c>
      <c r="AJ166" s="14">
        <f>AI166*VLOOKUP('Données projet'!$B$10,Paramètres!$A$1:$I$88,3,0)*VLOOKUP('Données projet'!$B$10,Paramètres!$A$1:$I$88,5,0)</f>
        <v>-8.6458840087288998E-14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316.76504852082684</v>
      </c>
      <c r="AO166" s="62">
        <f t="shared" si="144"/>
        <v>218.5520645293999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0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-8.5265128291212022E-14</v>
      </c>
      <c r="BE166" s="14">
        <f>BD166*VLOOKUP('Données projet'!$B$11,Paramètres!$A$1:$I$88,3,0)*VLOOKUP('Données projet'!$B$11,Paramètres!$A$1:$I$88,5,0)</f>
        <v>-7.4487616075202836E-14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278.24093386944304</v>
      </c>
      <c r="BJ166" s="62">
        <f t="shared" si="146"/>
        <v>193.96102673885611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0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-8.5265128291212022E-14</v>
      </c>
      <c r="BZ166" s="14">
        <f>BY166*VLOOKUP('Données projet'!$B$12,Paramètres!$A$1:$I$88,3,0)*VLOOKUP('Données projet'!$B$12,Paramètres!$A$1:$I$88,5,0)</f>
        <v>-8.246843208326026E-14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303.93739496872121</v>
      </c>
      <c r="CE166" s="62">
        <f t="shared" si="148"/>
        <v>210.36431469568754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0</v>
      </c>
      <c r="CL166" s="23">
        <f>EXP(-LN(2)/25)*CL165+(1-EXP(-LN(2)/25))/(LN(2)/25)*Calculateur!CG166*Calculateur!CI166*VLOOKUP('Données projet'!$B$12,Paramètres!$A$1:$I$88,3,0)*0.475*44/12</f>
        <v>0</v>
      </c>
      <c r="CM166" s="23">
        <f>EXP(-LN(2)/2)*CM165+(1-EXP(-LN(2)/2))/(LN(2)/2)*CG166*CJ166*VLOOKUP('Données projet'!$B$12,Paramètres!$A$1:$I$88,3,0)*0.475*44/12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projet'!$B$13,Paramètres!$A$1:$I$88,3,0)*VLOOKUP('Données projet'!$B$13,Paramètres!$A$1:$I$88,5,0)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57.812812891099895</v>
      </c>
      <c r="CZ166" s="62">
        <f t="shared" si="150"/>
        <v>244.79885157604684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projet'!$B$13,Paramètres!$A$1:$I$88,3,0)*0.475*44/12</f>
        <v>2.7621933126563953</v>
      </c>
      <c r="DG166" s="23">
        <f>EXP(-LN(2)/25)*DG165+(1-EXP(-LN(2)/25))/(LN(2)/25)*Calculateur!DB166*Calculateur!DD166*VLOOKUP('Données projet'!$B$13,Paramètres!$A$1:$I$88,3,0)*0.475*44/12</f>
        <v>0</v>
      </c>
      <c r="DH166" s="23">
        <f>EXP(-LN(2)/2)*DH165+(1-EXP(-LN(2)/2))/(LN(2)/2)*DB166*DE166*VLOOKUP('Données projet'!$B$13,Paramètres!$A$1:$I$88,3,0)*0.475*44/12</f>
        <v>3.8441514373649605E-21</v>
      </c>
      <c r="DI166" s="24">
        <f t="shared" si="175"/>
        <v>2.7621933126563953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-8.5265128291212022E-14</v>
      </c>
      <c r="O167" s="14">
        <f>N167*VLOOKUP('Données projet'!$B$9,Paramètres!$A$1:$I$88,3,0)*VLOOKUP('Données projet'!$B$9,Paramètres!$A$1:$I$88,5,0)</f>
        <v>-7.7147888077888636E-14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286.81278534843665</v>
      </c>
      <c r="T167" s="62">
        <f t="shared" si="142"/>
        <v>199.43308683696642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-8.5265128291212022E-14</v>
      </c>
      <c r="AJ167" s="14">
        <f>AI167*VLOOKUP('Données projet'!$B$10,Paramètres!$A$1:$I$88,3,0)*VLOOKUP('Données projet'!$B$10,Paramètres!$A$1:$I$88,5,0)</f>
        <v>-8.6458840087288998E-14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316.76504852082684</v>
      </c>
      <c r="AO167" s="62">
        <f t="shared" si="144"/>
        <v>218.5520645293999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0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-8.5265128291212022E-14</v>
      </c>
      <c r="BE167" s="14">
        <f>BD167*VLOOKUP('Données projet'!$B$11,Paramètres!$A$1:$I$88,3,0)*VLOOKUP('Données projet'!$B$11,Paramètres!$A$1:$I$88,5,0)</f>
        <v>-7.4487616075202836E-14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278.24093386944304</v>
      </c>
      <c r="BJ167" s="62">
        <f t="shared" si="146"/>
        <v>193.96102673885611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0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-8.5265128291212022E-14</v>
      </c>
      <c r="BZ167" s="14">
        <f>BY167*VLOOKUP('Données projet'!$B$12,Paramètres!$A$1:$I$88,3,0)*VLOOKUP('Données projet'!$B$12,Paramètres!$A$1:$I$88,5,0)</f>
        <v>-8.246843208326026E-14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303.93739496872121</v>
      </c>
      <c r="CE167" s="62">
        <f t="shared" si="148"/>
        <v>210.36431469568754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0</v>
      </c>
      <c r="CL167" s="23">
        <f>EXP(-LN(2)/25)*CL166+(1-EXP(-LN(2)/25))/(LN(2)/25)*Calculateur!CG167*Calculateur!CI167*VLOOKUP('Données projet'!$B$12,Paramètres!$A$1:$I$88,3,0)*0.475*44/12</f>
        <v>0</v>
      </c>
      <c r="CM167" s="23">
        <f>EXP(-LN(2)/2)*CM166+(1-EXP(-LN(2)/2))/(LN(2)/2)*CG167*CJ167*VLOOKUP('Données projet'!$B$12,Paramètres!$A$1:$I$88,3,0)*0.475*44/12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projet'!$B$13,Paramètres!$A$1:$I$88,3,0)*VLOOKUP('Données projet'!$B$13,Paramètres!$A$1:$I$88,5,0)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57.812812891099895</v>
      </c>
      <c r="CZ167" s="62">
        <f t="shared" si="150"/>
        <v>244.79885157604684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projet'!$B$13,Paramètres!$A$1:$I$88,3,0)*0.475*44/12</f>
        <v>2.7080283865667667</v>
      </c>
      <c r="DG167" s="23">
        <f>EXP(-LN(2)/25)*DG166+(1-EXP(-LN(2)/25))/(LN(2)/25)*Calculateur!DB167*Calculateur!DD167*VLOOKUP('Données projet'!$B$13,Paramètres!$A$1:$I$88,3,0)*0.475*44/12</f>
        <v>0</v>
      </c>
      <c r="DH167" s="23">
        <f>EXP(-LN(2)/2)*DH166+(1-EXP(-LN(2)/2))/(LN(2)/2)*DB167*DE167*VLOOKUP('Données projet'!$B$13,Paramètres!$A$1:$I$88,3,0)*0.475*44/12</f>
        <v>2.7182255492687773E-21</v>
      </c>
      <c r="DI167" s="24">
        <f t="shared" si="175"/>
        <v>2.7080283865667667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-8.5265128291212022E-14</v>
      </c>
      <c r="O168" s="14">
        <f>N168*VLOOKUP('Données projet'!$B$9,Paramètres!$A$1:$I$88,3,0)*VLOOKUP('Données projet'!$B$9,Paramètres!$A$1:$I$88,5,0)</f>
        <v>-7.7147888077888636E-14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286.81278534843665</v>
      </c>
      <c r="T168" s="62">
        <f t="shared" si="142"/>
        <v>199.43308683696642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-8.5265128291212022E-14</v>
      </c>
      <c r="AJ168" s="14">
        <f>AI168*VLOOKUP('Données projet'!$B$10,Paramètres!$A$1:$I$88,3,0)*VLOOKUP('Données projet'!$B$10,Paramètres!$A$1:$I$88,5,0)</f>
        <v>-8.6458840087288998E-14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316.76504852082684</v>
      </c>
      <c r="AO168" s="62">
        <f t="shared" si="144"/>
        <v>218.5520645293999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0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-8.5265128291212022E-14</v>
      </c>
      <c r="BE168" s="14">
        <f>BD168*VLOOKUP('Données projet'!$B$11,Paramètres!$A$1:$I$88,3,0)*VLOOKUP('Données projet'!$B$11,Paramètres!$A$1:$I$88,5,0)</f>
        <v>-7.4487616075202836E-14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278.24093386944304</v>
      </c>
      <c r="BJ168" s="62">
        <f t="shared" si="146"/>
        <v>193.96102673885611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0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-8.5265128291212022E-14</v>
      </c>
      <c r="BZ168" s="14">
        <f>BY168*VLOOKUP('Données projet'!$B$12,Paramètres!$A$1:$I$88,3,0)*VLOOKUP('Données projet'!$B$12,Paramètres!$A$1:$I$88,5,0)</f>
        <v>-8.246843208326026E-14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303.93739496872121</v>
      </c>
      <c r="CE168" s="62">
        <f t="shared" si="148"/>
        <v>210.36431469568754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0</v>
      </c>
      <c r="CL168" s="23">
        <f>EXP(-LN(2)/25)*CL167+(1-EXP(-LN(2)/25))/(LN(2)/25)*Calculateur!CG168*Calculateur!CI168*VLOOKUP('Données projet'!$B$12,Paramètres!$A$1:$I$88,3,0)*0.475*44/12</f>
        <v>0</v>
      </c>
      <c r="CM168" s="23">
        <f>EXP(-LN(2)/2)*CM167+(1-EXP(-LN(2)/2))/(LN(2)/2)*CG168*CJ168*VLOOKUP('Données projet'!$B$12,Paramètres!$A$1:$I$88,3,0)*0.475*44/12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projet'!$B$13,Paramètres!$A$1:$I$88,3,0)*VLOOKUP('Données projet'!$B$13,Paramètres!$A$1:$I$88,5,0)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57.812812891099895</v>
      </c>
      <c r="CZ168" s="62">
        <f t="shared" si="150"/>
        <v>244.79885157604684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projet'!$B$13,Paramètres!$A$1:$I$88,3,0)*0.475*44/12</f>
        <v>2.654925601640413</v>
      </c>
      <c r="DG168" s="23">
        <f>EXP(-LN(2)/25)*DG167+(1-EXP(-LN(2)/25))/(LN(2)/25)*Calculateur!DB168*Calculateur!DD168*VLOOKUP('Données projet'!$B$13,Paramètres!$A$1:$I$88,3,0)*0.475*44/12</f>
        <v>0</v>
      </c>
      <c r="DH168" s="23">
        <f>EXP(-LN(2)/2)*DH167+(1-EXP(-LN(2)/2))/(LN(2)/2)*DB168*DE168*VLOOKUP('Données projet'!$B$13,Paramètres!$A$1:$I$88,3,0)*0.475*44/12</f>
        <v>1.9220757186824802E-21</v>
      </c>
      <c r="DI168" s="24">
        <f t="shared" si="175"/>
        <v>2.654925601640413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-8.5265128291212022E-14</v>
      </c>
      <c r="O169" s="14">
        <f>N169*VLOOKUP('Données projet'!$B$9,Paramètres!$A$1:$I$88,3,0)*VLOOKUP('Données projet'!$B$9,Paramètres!$A$1:$I$88,5,0)</f>
        <v>-7.7147888077888636E-14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286.81278534843665</v>
      </c>
      <c r="T169" s="62">
        <f t="shared" si="142"/>
        <v>199.43308683696642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-8.5265128291212022E-14</v>
      </c>
      <c r="AJ169" s="14">
        <f>AI169*VLOOKUP('Données projet'!$B$10,Paramètres!$A$1:$I$88,3,0)*VLOOKUP('Données projet'!$B$10,Paramètres!$A$1:$I$88,5,0)</f>
        <v>-8.6458840087288998E-14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316.76504852082684</v>
      </c>
      <c r="AO169" s="62">
        <f t="shared" si="144"/>
        <v>218.5520645293999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0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-8.5265128291212022E-14</v>
      </c>
      <c r="BE169" s="14">
        <f>BD169*VLOOKUP('Données projet'!$B$11,Paramètres!$A$1:$I$88,3,0)*VLOOKUP('Données projet'!$B$11,Paramètres!$A$1:$I$88,5,0)</f>
        <v>-7.4487616075202836E-14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278.24093386944304</v>
      </c>
      <c r="BJ169" s="62">
        <f t="shared" si="146"/>
        <v>193.96102673885611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0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-8.5265128291212022E-14</v>
      </c>
      <c r="BZ169" s="14">
        <f>BY169*VLOOKUP('Données projet'!$B$12,Paramètres!$A$1:$I$88,3,0)*VLOOKUP('Données projet'!$B$12,Paramètres!$A$1:$I$88,5,0)</f>
        <v>-8.246843208326026E-14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303.93739496872121</v>
      </c>
      <c r="CE169" s="62">
        <f t="shared" si="148"/>
        <v>210.36431469568754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0</v>
      </c>
      <c r="CL169" s="23">
        <f>EXP(-LN(2)/25)*CL168+(1-EXP(-LN(2)/25))/(LN(2)/25)*Calculateur!CG169*Calculateur!CI169*VLOOKUP('Données projet'!$B$12,Paramètres!$A$1:$I$88,3,0)*0.475*44/12</f>
        <v>0</v>
      </c>
      <c r="CM169" s="23">
        <f>EXP(-LN(2)/2)*CM168+(1-EXP(-LN(2)/2))/(LN(2)/2)*CG169*CJ169*VLOOKUP('Données projet'!$B$12,Paramètres!$A$1:$I$88,3,0)*0.475*44/12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projet'!$B$13,Paramètres!$A$1:$I$88,3,0)*VLOOKUP('Données projet'!$B$13,Paramètres!$A$1:$I$88,5,0)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57.812812891099895</v>
      </c>
      <c r="CZ169" s="62">
        <f t="shared" si="150"/>
        <v>244.79885157604684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projet'!$B$13,Paramètres!$A$1:$I$88,3,0)*0.475*44/12</f>
        <v>2.6028641299369646</v>
      </c>
      <c r="DG169" s="23">
        <f>EXP(-LN(2)/25)*DG168+(1-EXP(-LN(2)/25))/(LN(2)/25)*Calculateur!DB169*Calculateur!DD169*VLOOKUP('Données projet'!$B$13,Paramètres!$A$1:$I$88,3,0)*0.475*44/12</f>
        <v>0</v>
      </c>
      <c r="DH169" s="23">
        <f>EXP(-LN(2)/2)*DH168+(1-EXP(-LN(2)/2))/(LN(2)/2)*DB169*DE169*VLOOKUP('Données projet'!$B$13,Paramètres!$A$1:$I$88,3,0)*0.475*44/12</f>
        <v>1.3591127746343887E-21</v>
      </c>
      <c r="DI169" s="24">
        <f t="shared" si="175"/>
        <v>2.6028641299369646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-8.5265128291212022E-14</v>
      </c>
      <c r="O170" s="14">
        <f>N170*VLOOKUP('Données projet'!$B$9,Paramètres!$A$1:$I$88,3,0)*VLOOKUP('Données projet'!$B$9,Paramètres!$A$1:$I$88,5,0)</f>
        <v>-7.7147888077888636E-14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286.81278534843665</v>
      </c>
      <c r="T170" s="62">
        <f t="shared" si="142"/>
        <v>199.43308683696642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-8.5265128291212022E-14</v>
      </c>
      <c r="AJ170" s="14">
        <f>AI170*VLOOKUP('Données projet'!$B$10,Paramètres!$A$1:$I$88,3,0)*VLOOKUP('Données projet'!$B$10,Paramètres!$A$1:$I$88,5,0)</f>
        <v>-8.6458840087288998E-14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316.76504852082684</v>
      </c>
      <c r="AO170" s="62">
        <f t="shared" si="144"/>
        <v>218.5520645293999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0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-8.5265128291212022E-14</v>
      </c>
      <c r="BE170" s="14">
        <f>BD170*VLOOKUP('Données projet'!$B$11,Paramètres!$A$1:$I$88,3,0)*VLOOKUP('Données projet'!$B$11,Paramètres!$A$1:$I$88,5,0)</f>
        <v>-7.4487616075202836E-14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278.24093386944304</v>
      </c>
      <c r="BJ170" s="62">
        <f t="shared" si="146"/>
        <v>193.96102673885611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0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-8.5265128291212022E-14</v>
      </c>
      <c r="BZ170" s="14">
        <f>BY170*VLOOKUP('Données projet'!$B$12,Paramètres!$A$1:$I$88,3,0)*VLOOKUP('Données projet'!$B$12,Paramètres!$A$1:$I$88,5,0)</f>
        <v>-8.246843208326026E-14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303.93739496872121</v>
      </c>
      <c r="CE170" s="62">
        <f t="shared" si="148"/>
        <v>210.36431469568754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0</v>
      </c>
      <c r="CL170" s="23">
        <f>EXP(-LN(2)/25)*CL169+(1-EXP(-LN(2)/25))/(LN(2)/25)*Calculateur!CG170*Calculateur!CI170*VLOOKUP('Données projet'!$B$12,Paramètres!$A$1:$I$88,3,0)*0.475*44/12</f>
        <v>0</v>
      </c>
      <c r="CM170" s="23">
        <f>EXP(-LN(2)/2)*CM169+(1-EXP(-LN(2)/2))/(LN(2)/2)*CG170*CJ170*VLOOKUP('Données projet'!$B$12,Paramètres!$A$1:$I$88,3,0)*0.475*44/12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projet'!$B$13,Paramètres!$A$1:$I$88,3,0)*VLOOKUP('Données projet'!$B$13,Paramètres!$A$1:$I$88,5,0)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57.812812891099895</v>
      </c>
      <c r="CZ170" s="62">
        <f t="shared" si="150"/>
        <v>244.79885157604684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projet'!$B$13,Paramètres!$A$1:$I$88,3,0)*0.475*44/12</f>
        <v>2.5518235519392585</v>
      </c>
      <c r="DG170" s="23">
        <f>EXP(-LN(2)/25)*DG169+(1-EXP(-LN(2)/25))/(LN(2)/25)*Calculateur!DB170*Calculateur!DD170*VLOOKUP('Données projet'!$B$13,Paramètres!$A$1:$I$88,3,0)*0.475*44/12</f>
        <v>0</v>
      </c>
      <c r="DH170" s="23">
        <f>EXP(-LN(2)/2)*DH169+(1-EXP(-LN(2)/2))/(LN(2)/2)*DB170*DE170*VLOOKUP('Données projet'!$B$13,Paramètres!$A$1:$I$88,3,0)*0.475*44/12</f>
        <v>9.6103785934124012E-22</v>
      </c>
      <c r="DI170" s="24">
        <f t="shared" si="175"/>
        <v>2.5518235519392585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-8.5265128291212022E-14</v>
      </c>
      <c r="O171" s="14">
        <f>N171*VLOOKUP('Données projet'!$B$9,Paramètres!$A$1:$I$88,3,0)*VLOOKUP('Données projet'!$B$9,Paramètres!$A$1:$I$88,5,0)</f>
        <v>-7.7147888077888636E-14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286.81278534843665</v>
      </c>
      <c r="T171" s="62">
        <f t="shared" si="142"/>
        <v>199.43308683696642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-8.5265128291212022E-14</v>
      </c>
      <c r="AJ171" s="14">
        <f>AI171*VLOOKUP('Données projet'!$B$10,Paramètres!$A$1:$I$88,3,0)*VLOOKUP('Données projet'!$B$10,Paramètres!$A$1:$I$88,5,0)</f>
        <v>-8.6458840087288998E-14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316.76504852082684</v>
      </c>
      <c r="AO171" s="62">
        <f t="shared" si="144"/>
        <v>218.5520645293999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0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-8.5265128291212022E-14</v>
      </c>
      <c r="BE171" s="14">
        <f>BD171*VLOOKUP('Données projet'!$B$11,Paramètres!$A$1:$I$88,3,0)*VLOOKUP('Données projet'!$B$11,Paramètres!$A$1:$I$88,5,0)</f>
        <v>-7.4487616075202836E-14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278.24093386944304</v>
      </c>
      <c r="BJ171" s="62">
        <f t="shared" si="146"/>
        <v>193.96102673885611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0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-8.5265128291212022E-14</v>
      </c>
      <c r="BZ171" s="14">
        <f>BY171*VLOOKUP('Données projet'!$B$12,Paramètres!$A$1:$I$88,3,0)*VLOOKUP('Données projet'!$B$12,Paramètres!$A$1:$I$88,5,0)</f>
        <v>-8.246843208326026E-14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303.93739496872121</v>
      </c>
      <c r="CE171" s="62">
        <f t="shared" si="148"/>
        <v>210.36431469568754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0</v>
      </c>
      <c r="CL171" s="23">
        <f>EXP(-LN(2)/25)*CL170+(1-EXP(-LN(2)/25))/(LN(2)/25)*Calculateur!CG171*Calculateur!CI171*VLOOKUP('Données projet'!$B$12,Paramètres!$A$1:$I$88,3,0)*0.475*44/12</f>
        <v>0</v>
      </c>
      <c r="CM171" s="23">
        <f>EXP(-LN(2)/2)*CM170+(1-EXP(-LN(2)/2))/(LN(2)/2)*CG171*CJ171*VLOOKUP('Données projet'!$B$12,Paramètres!$A$1:$I$88,3,0)*0.475*44/12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projet'!$B$13,Paramètres!$A$1:$I$88,3,0)*VLOOKUP('Données projet'!$B$13,Paramètres!$A$1:$I$88,5,0)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57.812812891099895</v>
      </c>
      <c r="CZ171" s="62">
        <f t="shared" si="150"/>
        <v>244.79885157604684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projet'!$B$13,Paramètres!$A$1:$I$88,3,0)*0.475*44/12</f>
        <v>2.5017838485444086</v>
      </c>
      <c r="DG171" s="23">
        <f>EXP(-LN(2)/25)*DG170+(1-EXP(-LN(2)/25))/(LN(2)/25)*Calculateur!DB171*Calculateur!DD171*VLOOKUP('Données projet'!$B$13,Paramètres!$A$1:$I$88,3,0)*0.475*44/12</f>
        <v>0</v>
      </c>
      <c r="DH171" s="23">
        <f>EXP(-LN(2)/2)*DH170+(1-EXP(-LN(2)/2))/(LN(2)/2)*DB171*DE171*VLOOKUP('Données projet'!$B$13,Paramètres!$A$1:$I$88,3,0)*0.475*44/12</f>
        <v>6.7955638731719434E-22</v>
      </c>
      <c r="DI171" s="24">
        <f t="shared" si="175"/>
        <v>2.5017838485444086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-8.5265128291212022E-14</v>
      </c>
      <c r="O172" s="14">
        <f>N172*VLOOKUP('Données projet'!$B$9,Paramètres!$A$1:$I$88,3,0)*VLOOKUP('Données projet'!$B$9,Paramètres!$A$1:$I$88,5,0)</f>
        <v>-7.7147888077888636E-14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286.81278534843665</v>
      </c>
      <c r="T172" s="62">
        <f t="shared" si="142"/>
        <v>199.43308683696642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-8.5265128291212022E-14</v>
      </c>
      <c r="AJ172" s="14">
        <f>AI172*VLOOKUP('Données projet'!$B$10,Paramètres!$A$1:$I$88,3,0)*VLOOKUP('Données projet'!$B$10,Paramètres!$A$1:$I$88,5,0)</f>
        <v>-8.6458840087288998E-14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316.76504852082684</v>
      </c>
      <c r="AO172" s="62">
        <f t="shared" si="144"/>
        <v>218.5520645293999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0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-8.5265128291212022E-14</v>
      </c>
      <c r="BE172" s="14">
        <f>BD172*VLOOKUP('Données projet'!$B$11,Paramètres!$A$1:$I$88,3,0)*VLOOKUP('Données projet'!$B$11,Paramètres!$A$1:$I$88,5,0)</f>
        <v>-7.4487616075202836E-14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278.24093386944304</v>
      </c>
      <c r="BJ172" s="62">
        <f t="shared" si="146"/>
        <v>193.96102673885611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0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-8.5265128291212022E-14</v>
      </c>
      <c r="BZ172" s="14">
        <f>BY172*VLOOKUP('Données projet'!$B$12,Paramètres!$A$1:$I$88,3,0)*VLOOKUP('Données projet'!$B$12,Paramètres!$A$1:$I$88,5,0)</f>
        <v>-8.246843208326026E-14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303.93739496872121</v>
      </c>
      <c r="CE172" s="62">
        <f t="shared" si="148"/>
        <v>210.36431469568754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0</v>
      </c>
      <c r="CL172" s="23">
        <f>EXP(-LN(2)/25)*CL171+(1-EXP(-LN(2)/25))/(LN(2)/25)*Calculateur!CG172*Calculateur!CI172*VLOOKUP('Données projet'!$B$12,Paramètres!$A$1:$I$88,3,0)*0.475*44/12</f>
        <v>0</v>
      </c>
      <c r="CM172" s="23">
        <f>EXP(-LN(2)/2)*CM171+(1-EXP(-LN(2)/2))/(LN(2)/2)*CG172*CJ172*VLOOKUP('Données projet'!$B$12,Paramètres!$A$1:$I$88,3,0)*0.475*44/12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projet'!$B$13,Paramètres!$A$1:$I$88,3,0)*VLOOKUP('Données projet'!$B$13,Paramètres!$A$1:$I$88,5,0)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57.812812891099895</v>
      </c>
      <c r="CZ172" s="62">
        <f t="shared" si="150"/>
        <v>244.79885157604684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projet'!$B$13,Paramètres!$A$1:$I$88,3,0)*0.475*44/12</f>
        <v>2.4527253932119266</v>
      </c>
      <c r="DG172" s="23">
        <f>EXP(-LN(2)/25)*DG171+(1-EXP(-LN(2)/25))/(LN(2)/25)*Calculateur!DB172*Calculateur!DD172*VLOOKUP('Données projet'!$B$13,Paramètres!$A$1:$I$88,3,0)*0.475*44/12</f>
        <v>0</v>
      </c>
      <c r="DH172" s="23">
        <f>EXP(-LN(2)/2)*DH171+(1-EXP(-LN(2)/2))/(LN(2)/2)*DB172*DE172*VLOOKUP('Données projet'!$B$13,Paramètres!$A$1:$I$88,3,0)*0.475*44/12</f>
        <v>4.8051892967062006E-22</v>
      </c>
      <c r="DI172" s="24">
        <f t="shared" si="175"/>
        <v>2.4527253932119266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-8.5265128291212022E-14</v>
      </c>
      <c r="O173" s="14">
        <f>N173*VLOOKUP('Données projet'!$B$9,Paramètres!$A$1:$I$88,3,0)*VLOOKUP('Données projet'!$B$9,Paramètres!$A$1:$I$88,5,0)</f>
        <v>-7.7147888077888636E-14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286.81278534843665</v>
      </c>
      <c r="T173" s="62">
        <f t="shared" si="142"/>
        <v>199.43308683696642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-8.5265128291212022E-14</v>
      </c>
      <c r="AJ173" s="14">
        <f>AI173*VLOOKUP('Données projet'!$B$10,Paramètres!$A$1:$I$88,3,0)*VLOOKUP('Données projet'!$B$10,Paramètres!$A$1:$I$88,5,0)</f>
        <v>-8.6458840087288998E-14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316.76504852082684</v>
      </c>
      <c r="AO173" s="62">
        <f t="shared" si="144"/>
        <v>218.5520645293999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0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-8.5265128291212022E-14</v>
      </c>
      <c r="BE173" s="14">
        <f>BD173*VLOOKUP('Données projet'!$B$11,Paramètres!$A$1:$I$88,3,0)*VLOOKUP('Données projet'!$B$11,Paramètres!$A$1:$I$88,5,0)</f>
        <v>-7.4487616075202836E-14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278.24093386944304</v>
      </c>
      <c r="BJ173" s="62">
        <f t="shared" si="146"/>
        <v>193.96102673885611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0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-8.5265128291212022E-14</v>
      </c>
      <c r="BZ173" s="14">
        <f>BY173*VLOOKUP('Données projet'!$B$12,Paramètres!$A$1:$I$88,3,0)*VLOOKUP('Données projet'!$B$12,Paramètres!$A$1:$I$88,5,0)</f>
        <v>-8.246843208326026E-14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303.93739496872121</v>
      </c>
      <c r="CE173" s="62">
        <f t="shared" si="148"/>
        <v>210.36431469568754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0</v>
      </c>
      <c r="CL173" s="23">
        <f>EXP(-LN(2)/25)*CL172+(1-EXP(-LN(2)/25))/(LN(2)/25)*Calculateur!CG173*Calculateur!CI173*VLOOKUP('Données projet'!$B$12,Paramètres!$A$1:$I$88,3,0)*0.475*44/12</f>
        <v>0</v>
      </c>
      <c r="CM173" s="23">
        <f>EXP(-LN(2)/2)*CM172+(1-EXP(-LN(2)/2))/(LN(2)/2)*CG173*CJ173*VLOOKUP('Données projet'!$B$12,Paramètres!$A$1:$I$88,3,0)*0.475*44/12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projet'!$B$13,Paramètres!$A$1:$I$88,3,0)*VLOOKUP('Données projet'!$B$13,Paramètres!$A$1:$I$88,5,0)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57.812812891099895</v>
      </c>
      <c r="CZ173" s="62">
        <f t="shared" si="150"/>
        <v>244.79885157604684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projet'!$B$13,Paramètres!$A$1:$I$88,3,0)*0.475*44/12</f>
        <v>2.4046289442658115</v>
      </c>
      <c r="DG173" s="23">
        <f>EXP(-LN(2)/25)*DG172+(1-EXP(-LN(2)/25))/(LN(2)/25)*Calculateur!DB173*Calculateur!DD173*VLOOKUP('Données projet'!$B$13,Paramètres!$A$1:$I$88,3,0)*0.475*44/12</f>
        <v>0</v>
      </c>
      <c r="DH173" s="23">
        <f>EXP(-LN(2)/2)*DH172+(1-EXP(-LN(2)/2))/(LN(2)/2)*DB173*DE173*VLOOKUP('Données projet'!$B$13,Paramètres!$A$1:$I$88,3,0)*0.475*44/12</f>
        <v>3.3977819365859717E-22</v>
      </c>
      <c r="DI173" s="24">
        <f t="shared" si="175"/>
        <v>2.4046289442658115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-8.5265128291212022E-14</v>
      </c>
      <c r="O174" s="14">
        <f>N174*VLOOKUP('Données projet'!$B$9,Paramètres!$A$1:$I$88,3,0)*VLOOKUP('Données projet'!$B$9,Paramètres!$A$1:$I$88,5,0)</f>
        <v>-7.7147888077888636E-14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286.81278534843665</v>
      </c>
      <c r="T174" s="62">
        <f t="shared" si="142"/>
        <v>199.43308683696642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-8.5265128291212022E-14</v>
      </c>
      <c r="AJ174" s="14">
        <f>AI174*VLOOKUP('Données projet'!$B$10,Paramètres!$A$1:$I$88,3,0)*VLOOKUP('Données projet'!$B$10,Paramètres!$A$1:$I$88,5,0)</f>
        <v>-8.6458840087288998E-14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316.76504852082684</v>
      </c>
      <c r="AO174" s="62">
        <f t="shared" si="144"/>
        <v>218.5520645293999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0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-8.5265128291212022E-14</v>
      </c>
      <c r="BE174" s="14">
        <f>BD174*VLOOKUP('Données projet'!$B$11,Paramètres!$A$1:$I$88,3,0)*VLOOKUP('Données projet'!$B$11,Paramètres!$A$1:$I$88,5,0)</f>
        <v>-7.4487616075202836E-14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278.24093386944304</v>
      </c>
      <c r="BJ174" s="62">
        <f t="shared" si="146"/>
        <v>193.96102673885611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0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-8.5265128291212022E-14</v>
      </c>
      <c r="BZ174" s="14">
        <f>BY174*VLOOKUP('Données projet'!$B$12,Paramètres!$A$1:$I$88,3,0)*VLOOKUP('Données projet'!$B$12,Paramètres!$A$1:$I$88,5,0)</f>
        <v>-8.246843208326026E-14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303.93739496872121</v>
      </c>
      <c r="CE174" s="62">
        <f t="shared" si="148"/>
        <v>210.36431469568754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0</v>
      </c>
      <c r="CL174" s="23">
        <f>EXP(-LN(2)/25)*CL173+(1-EXP(-LN(2)/25))/(LN(2)/25)*Calculateur!CG174*Calculateur!CI174*VLOOKUP('Données projet'!$B$12,Paramètres!$A$1:$I$88,3,0)*0.475*44/12</f>
        <v>0</v>
      </c>
      <c r="CM174" s="23">
        <f>EXP(-LN(2)/2)*CM173+(1-EXP(-LN(2)/2))/(LN(2)/2)*CG174*CJ174*VLOOKUP('Données projet'!$B$12,Paramètres!$A$1:$I$88,3,0)*0.475*44/12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projet'!$B$13,Paramètres!$A$1:$I$88,3,0)*VLOOKUP('Données projet'!$B$13,Paramètres!$A$1:$I$88,5,0)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57.812812891099895</v>
      </c>
      <c r="CZ174" s="62">
        <f t="shared" si="150"/>
        <v>244.79885157604684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projet'!$B$13,Paramètres!$A$1:$I$88,3,0)*0.475*44/12</f>
        <v>2.3574756373475925</v>
      </c>
      <c r="DG174" s="23">
        <f>EXP(-LN(2)/25)*DG173+(1-EXP(-LN(2)/25))/(LN(2)/25)*Calculateur!DB174*Calculateur!DD174*VLOOKUP('Données projet'!$B$13,Paramètres!$A$1:$I$88,3,0)*0.475*44/12</f>
        <v>0</v>
      </c>
      <c r="DH174" s="23">
        <f>EXP(-LN(2)/2)*DH173+(1-EXP(-LN(2)/2))/(LN(2)/2)*DB174*DE174*VLOOKUP('Données projet'!$B$13,Paramètres!$A$1:$I$88,3,0)*0.475*44/12</f>
        <v>2.4025946483531003E-22</v>
      </c>
      <c r="DI174" s="24">
        <f t="shared" si="175"/>
        <v>2.3574756373475925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-8.5265128291212022E-14</v>
      </c>
      <c r="O175" s="14">
        <f>N175*VLOOKUP('Données projet'!$B$9,Paramètres!$A$1:$I$88,3,0)*VLOOKUP('Données projet'!$B$9,Paramètres!$A$1:$I$88,5,0)</f>
        <v>-7.7147888077888636E-14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286.81278534843665</v>
      </c>
      <c r="T175" s="62">
        <f t="shared" si="142"/>
        <v>199.43308683696642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-8.5265128291212022E-14</v>
      </c>
      <c r="AJ175" s="14">
        <f>AI175*VLOOKUP('Données projet'!$B$10,Paramètres!$A$1:$I$88,3,0)*VLOOKUP('Données projet'!$B$10,Paramètres!$A$1:$I$88,5,0)</f>
        <v>-8.6458840087288998E-14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316.76504852082684</v>
      </c>
      <c r="AO175" s="62">
        <f t="shared" si="144"/>
        <v>218.5520645293999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0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-8.5265128291212022E-14</v>
      </c>
      <c r="BE175" s="14">
        <f>BD175*VLOOKUP('Données projet'!$B$11,Paramètres!$A$1:$I$88,3,0)*VLOOKUP('Données projet'!$B$11,Paramètres!$A$1:$I$88,5,0)</f>
        <v>-7.4487616075202836E-14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278.24093386944304</v>
      </c>
      <c r="BJ175" s="62">
        <f t="shared" si="146"/>
        <v>193.96102673885611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0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-8.5265128291212022E-14</v>
      </c>
      <c r="BZ175" s="14">
        <f>BY175*VLOOKUP('Données projet'!$B$12,Paramètres!$A$1:$I$88,3,0)*VLOOKUP('Données projet'!$B$12,Paramètres!$A$1:$I$88,5,0)</f>
        <v>-8.246843208326026E-14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303.93739496872121</v>
      </c>
      <c r="CE175" s="62">
        <f t="shared" si="148"/>
        <v>210.36431469568754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0</v>
      </c>
      <c r="CL175" s="23">
        <f>EXP(-LN(2)/25)*CL174+(1-EXP(-LN(2)/25))/(LN(2)/25)*Calculateur!CG175*Calculateur!CI175*VLOOKUP('Données projet'!$B$12,Paramètres!$A$1:$I$88,3,0)*0.475*44/12</f>
        <v>0</v>
      </c>
      <c r="CM175" s="23">
        <f>EXP(-LN(2)/2)*CM174+(1-EXP(-LN(2)/2))/(LN(2)/2)*CG175*CJ175*VLOOKUP('Données projet'!$B$12,Paramètres!$A$1:$I$88,3,0)*0.475*44/12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projet'!$B$13,Paramètres!$A$1:$I$88,3,0)*VLOOKUP('Données projet'!$B$13,Paramètres!$A$1:$I$88,5,0)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57.812812891099895</v>
      </c>
      <c r="CZ175" s="62">
        <f t="shared" si="150"/>
        <v>244.79885157604684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projet'!$B$13,Paramètres!$A$1:$I$88,3,0)*0.475*44/12</f>
        <v>2.3112469780173623</v>
      </c>
      <c r="DG175" s="23">
        <f>EXP(-LN(2)/25)*DG174+(1-EXP(-LN(2)/25))/(LN(2)/25)*Calculateur!DB175*Calculateur!DD175*VLOOKUP('Données projet'!$B$13,Paramètres!$A$1:$I$88,3,0)*0.475*44/12</f>
        <v>0</v>
      </c>
      <c r="DH175" s="23">
        <f>EXP(-LN(2)/2)*DH174+(1-EXP(-LN(2)/2))/(LN(2)/2)*DB175*DE175*VLOOKUP('Données projet'!$B$13,Paramètres!$A$1:$I$88,3,0)*0.475*44/12</f>
        <v>1.6988909682929858E-22</v>
      </c>
      <c r="DI175" s="24">
        <f t="shared" si="175"/>
        <v>2.3112469780173623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-8.5265128291212022E-14</v>
      </c>
      <c r="O176" s="14">
        <f>N176*VLOOKUP('Données projet'!$B$9,Paramètres!$A$1:$I$88,3,0)*VLOOKUP('Données projet'!$B$9,Paramètres!$A$1:$I$88,5,0)</f>
        <v>-7.7147888077888636E-14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286.81278534843665</v>
      </c>
      <c r="T176" s="62">
        <f t="shared" si="142"/>
        <v>199.43308683696642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-8.5265128291212022E-14</v>
      </c>
      <c r="AJ176" s="14">
        <f>AI176*VLOOKUP('Données projet'!$B$10,Paramètres!$A$1:$I$88,3,0)*VLOOKUP('Données projet'!$B$10,Paramètres!$A$1:$I$88,5,0)</f>
        <v>-8.6458840087288998E-14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316.76504852082684</v>
      </c>
      <c r="AO176" s="62">
        <f t="shared" si="144"/>
        <v>218.5520645293999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0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-8.5265128291212022E-14</v>
      </c>
      <c r="BE176" s="14">
        <f>BD176*VLOOKUP('Données projet'!$B$11,Paramètres!$A$1:$I$88,3,0)*VLOOKUP('Données projet'!$B$11,Paramètres!$A$1:$I$88,5,0)</f>
        <v>-7.4487616075202836E-14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278.24093386944304</v>
      </c>
      <c r="BJ176" s="62">
        <f t="shared" si="146"/>
        <v>193.96102673885611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0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-8.5265128291212022E-14</v>
      </c>
      <c r="BZ176" s="14">
        <f>BY176*VLOOKUP('Données projet'!$B$12,Paramètres!$A$1:$I$88,3,0)*VLOOKUP('Données projet'!$B$12,Paramètres!$A$1:$I$88,5,0)</f>
        <v>-8.246843208326026E-14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303.93739496872121</v>
      </c>
      <c r="CE176" s="62">
        <f t="shared" si="148"/>
        <v>210.36431469568754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0</v>
      </c>
      <c r="CL176" s="23">
        <f>EXP(-LN(2)/25)*CL175+(1-EXP(-LN(2)/25))/(LN(2)/25)*Calculateur!CG176*Calculateur!CI176*VLOOKUP('Données projet'!$B$12,Paramètres!$A$1:$I$88,3,0)*0.475*44/12</f>
        <v>0</v>
      </c>
      <c r="CM176" s="23">
        <f>EXP(-LN(2)/2)*CM175+(1-EXP(-LN(2)/2))/(LN(2)/2)*CG176*CJ176*VLOOKUP('Données projet'!$B$12,Paramètres!$A$1:$I$88,3,0)*0.475*44/12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projet'!$B$13,Paramètres!$A$1:$I$88,3,0)*VLOOKUP('Données projet'!$B$13,Paramètres!$A$1:$I$88,5,0)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57.812812891099895</v>
      </c>
      <c r="CZ176" s="62">
        <f t="shared" si="150"/>
        <v>244.79885157604684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projet'!$B$13,Paramètres!$A$1:$I$88,3,0)*0.475*44/12</f>
        <v>2.2659248344998999</v>
      </c>
      <c r="DG176" s="23">
        <f>EXP(-LN(2)/25)*DG175+(1-EXP(-LN(2)/25))/(LN(2)/25)*Calculateur!DB176*Calculateur!DD176*VLOOKUP('Données projet'!$B$13,Paramètres!$A$1:$I$88,3,0)*0.475*44/12</f>
        <v>0</v>
      </c>
      <c r="DH176" s="23">
        <f>EXP(-LN(2)/2)*DH175+(1-EXP(-LN(2)/2))/(LN(2)/2)*DB176*DE176*VLOOKUP('Données projet'!$B$13,Paramètres!$A$1:$I$88,3,0)*0.475*44/12</f>
        <v>1.2012973241765502E-22</v>
      </c>
      <c r="DI176" s="24">
        <f t="shared" si="175"/>
        <v>2.2659248344998999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-8.5265128291212022E-14</v>
      </c>
      <c r="O177" s="14">
        <f>N177*VLOOKUP('Données projet'!$B$9,Paramètres!$A$1:$I$88,3,0)*VLOOKUP('Données projet'!$B$9,Paramètres!$A$1:$I$88,5,0)</f>
        <v>-7.7147888077888636E-14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286.81278534843665</v>
      </c>
      <c r="T177" s="62">
        <f t="shared" si="142"/>
        <v>199.43308683696642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-8.5265128291212022E-14</v>
      </c>
      <c r="AJ177" s="14">
        <f>AI177*VLOOKUP('Données projet'!$B$10,Paramètres!$A$1:$I$88,3,0)*VLOOKUP('Données projet'!$B$10,Paramètres!$A$1:$I$88,5,0)</f>
        <v>-8.6458840087288998E-14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316.76504852082684</v>
      </c>
      <c r="AO177" s="62">
        <f t="shared" si="144"/>
        <v>218.5520645293999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0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-8.5265128291212022E-14</v>
      </c>
      <c r="BE177" s="14">
        <f>BD177*VLOOKUP('Données projet'!$B$11,Paramètres!$A$1:$I$88,3,0)*VLOOKUP('Données projet'!$B$11,Paramètres!$A$1:$I$88,5,0)</f>
        <v>-7.4487616075202836E-14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278.24093386944304</v>
      </c>
      <c r="BJ177" s="62">
        <f t="shared" si="146"/>
        <v>193.96102673885611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0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-8.5265128291212022E-14</v>
      </c>
      <c r="BZ177" s="14">
        <f>BY177*VLOOKUP('Données projet'!$B$12,Paramètres!$A$1:$I$88,3,0)*VLOOKUP('Données projet'!$B$12,Paramètres!$A$1:$I$88,5,0)</f>
        <v>-8.246843208326026E-14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303.93739496872121</v>
      </c>
      <c r="CE177" s="62">
        <f t="shared" si="148"/>
        <v>210.36431469568754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0</v>
      </c>
      <c r="CL177" s="23">
        <f>EXP(-LN(2)/25)*CL176+(1-EXP(-LN(2)/25))/(LN(2)/25)*Calculateur!CG177*Calculateur!CI177*VLOOKUP('Données projet'!$B$12,Paramètres!$A$1:$I$88,3,0)*0.475*44/12</f>
        <v>0</v>
      </c>
      <c r="CM177" s="23">
        <f>EXP(-LN(2)/2)*CM176+(1-EXP(-LN(2)/2))/(LN(2)/2)*CG177*CJ177*VLOOKUP('Données projet'!$B$12,Paramètres!$A$1:$I$88,3,0)*0.475*44/12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projet'!$B$13,Paramètres!$A$1:$I$88,3,0)*VLOOKUP('Données projet'!$B$13,Paramètres!$A$1:$I$88,5,0)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57.812812891099895</v>
      </c>
      <c r="CZ177" s="62">
        <f t="shared" si="150"/>
        <v>244.79885157604684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projet'!$B$13,Paramètres!$A$1:$I$88,3,0)*0.475*44/12</f>
        <v>2.2214914305730371</v>
      </c>
      <c r="DG177" s="23">
        <f>EXP(-LN(2)/25)*DG176+(1-EXP(-LN(2)/25))/(LN(2)/25)*Calculateur!DB177*Calculateur!DD177*VLOOKUP('Données projet'!$B$13,Paramètres!$A$1:$I$88,3,0)*0.475*44/12</f>
        <v>0</v>
      </c>
      <c r="DH177" s="23">
        <f>EXP(-LN(2)/2)*DH176+(1-EXP(-LN(2)/2))/(LN(2)/2)*DB177*DE177*VLOOKUP('Données projet'!$B$13,Paramètres!$A$1:$I$88,3,0)*0.475*44/12</f>
        <v>8.4944548414649292E-23</v>
      </c>
      <c r="DI177" s="24">
        <f t="shared" si="175"/>
        <v>2.2214914305730371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-8.5265128291212022E-14</v>
      </c>
      <c r="O178" s="14">
        <f>N178*VLOOKUP('Données projet'!$B$9,Paramètres!$A$1:$I$88,3,0)*VLOOKUP('Données projet'!$B$9,Paramètres!$A$1:$I$88,5,0)</f>
        <v>-7.7147888077888636E-14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286.81278534843665</v>
      </c>
      <c r="T178" s="62">
        <f t="shared" si="142"/>
        <v>199.43308683696642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-8.5265128291212022E-14</v>
      </c>
      <c r="AJ178" s="14">
        <f>AI178*VLOOKUP('Données projet'!$B$10,Paramètres!$A$1:$I$88,3,0)*VLOOKUP('Données projet'!$B$10,Paramètres!$A$1:$I$88,5,0)</f>
        <v>-8.6458840087288998E-14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316.76504852082684</v>
      </c>
      <c r="AO178" s="62">
        <f t="shared" si="144"/>
        <v>218.5520645293999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0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-8.5265128291212022E-14</v>
      </c>
      <c r="BE178" s="14">
        <f>BD178*VLOOKUP('Données projet'!$B$11,Paramètres!$A$1:$I$88,3,0)*VLOOKUP('Données projet'!$B$11,Paramètres!$A$1:$I$88,5,0)</f>
        <v>-7.4487616075202836E-14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278.24093386944304</v>
      </c>
      <c r="BJ178" s="62">
        <f t="shared" si="146"/>
        <v>193.96102673885611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0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-8.5265128291212022E-14</v>
      </c>
      <c r="BZ178" s="14">
        <f>BY178*VLOOKUP('Données projet'!$B$12,Paramètres!$A$1:$I$88,3,0)*VLOOKUP('Données projet'!$B$12,Paramètres!$A$1:$I$88,5,0)</f>
        <v>-8.246843208326026E-14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303.93739496872121</v>
      </c>
      <c r="CE178" s="62">
        <f t="shared" si="148"/>
        <v>210.36431469568754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0</v>
      </c>
      <c r="CL178" s="23">
        <f>EXP(-LN(2)/25)*CL177+(1-EXP(-LN(2)/25))/(LN(2)/25)*Calculateur!CG178*Calculateur!CI178*VLOOKUP('Données projet'!$B$12,Paramètres!$A$1:$I$88,3,0)*0.475*44/12</f>
        <v>0</v>
      </c>
      <c r="CM178" s="23">
        <f>EXP(-LN(2)/2)*CM177+(1-EXP(-LN(2)/2))/(LN(2)/2)*CG178*CJ178*VLOOKUP('Données projet'!$B$12,Paramètres!$A$1:$I$88,3,0)*0.475*44/12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projet'!$B$13,Paramètres!$A$1:$I$88,3,0)*VLOOKUP('Données projet'!$B$13,Paramètres!$A$1:$I$88,5,0)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57.812812891099895</v>
      </c>
      <c r="CZ178" s="62">
        <f t="shared" si="150"/>
        <v>244.79885157604684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projet'!$B$13,Paramètres!$A$1:$I$88,3,0)*0.475*44/12</f>
        <v>2.1779293385954799</v>
      </c>
      <c r="DG178" s="23">
        <f>EXP(-LN(2)/25)*DG177+(1-EXP(-LN(2)/25))/(LN(2)/25)*Calculateur!DB178*Calculateur!DD178*VLOOKUP('Données projet'!$B$13,Paramètres!$A$1:$I$88,3,0)*0.475*44/12</f>
        <v>0</v>
      </c>
      <c r="DH178" s="23">
        <f>EXP(-LN(2)/2)*DH177+(1-EXP(-LN(2)/2))/(LN(2)/2)*DB178*DE178*VLOOKUP('Données projet'!$B$13,Paramètres!$A$1:$I$88,3,0)*0.475*44/12</f>
        <v>6.0064866208827508E-23</v>
      </c>
      <c r="DI178" s="24">
        <f t="shared" si="175"/>
        <v>2.1779293385954799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-8.5265128291212022E-14</v>
      </c>
      <c r="O179" s="14">
        <f>N179*VLOOKUP('Données projet'!$B$9,Paramètres!$A$1:$I$88,3,0)*VLOOKUP('Données projet'!$B$9,Paramètres!$A$1:$I$88,5,0)</f>
        <v>-7.7147888077888636E-14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286.81278534843665</v>
      </c>
      <c r="T179" s="62">
        <f t="shared" si="142"/>
        <v>199.43308683696642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-8.5265128291212022E-14</v>
      </c>
      <c r="AJ179" s="14">
        <f>AI179*VLOOKUP('Données projet'!$B$10,Paramètres!$A$1:$I$88,3,0)*VLOOKUP('Données projet'!$B$10,Paramètres!$A$1:$I$88,5,0)</f>
        <v>-8.6458840087288998E-14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316.76504852082684</v>
      </c>
      <c r="AO179" s="62">
        <f t="shared" si="144"/>
        <v>218.5520645293999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0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-8.5265128291212022E-14</v>
      </c>
      <c r="BE179" s="14">
        <f>BD179*VLOOKUP('Données projet'!$B$11,Paramètres!$A$1:$I$88,3,0)*VLOOKUP('Données projet'!$B$11,Paramètres!$A$1:$I$88,5,0)</f>
        <v>-7.4487616075202836E-14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278.24093386944304</v>
      </c>
      <c r="BJ179" s="62">
        <f t="shared" si="146"/>
        <v>193.96102673885611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0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-8.5265128291212022E-14</v>
      </c>
      <c r="BZ179" s="14">
        <f>BY179*VLOOKUP('Données projet'!$B$12,Paramètres!$A$1:$I$88,3,0)*VLOOKUP('Données projet'!$B$12,Paramètres!$A$1:$I$88,5,0)</f>
        <v>-8.246843208326026E-14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303.93739496872121</v>
      </c>
      <c r="CE179" s="62">
        <f t="shared" si="148"/>
        <v>210.36431469568754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0</v>
      </c>
      <c r="CL179" s="23">
        <f>EXP(-LN(2)/25)*CL178+(1-EXP(-LN(2)/25))/(LN(2)/25)*Calculateur!CG179*Calculateur!CI179*VLOOKUP('Données projet'!$B$12,Paramètres!$A$1:$I$88,3,0)*0.475*44/12</f>
        <v>0</v>
      </c>
      <c r="CM179" s="23">
        <f>EXP(-LN(2)/2)*CM178+(1-EXP(-LN(2)/2))/(LN(2)/2)*CG179*CJ179*VLOOKUP('Données projet'!$B$12,Paramètres!$A$1:$I$88,3,0)*0.475*44/12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projet'!$B$13,Paramètres!$A$1:$I$88,3,0)*VLOOKUP('Données projet'!$B$13,Paramètres!$A$1:$I$88,5,0)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57.812812891099895</v>
      </c>
      <c r="CZ179" s="62">
        <f t="shared" si="150"/>
        <v>244.79885157604684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projet'!$B$13,Paramètres!$A$1:$I$88,3,0)*0.475*44/12</f>
        <v>2.1352214726713501</v>
      </c>
      <c r="DG179" s="23">
        <f>EXP(-LN(2)/25)*DG178+(1-EXP(-LN(2)/25))/(LN(2)/25)*Calculateur!DB179*Calculateur!DD179*VLOOKUP('Données projet'!$B$13,Paramètres!$A$1:$I$88,3,0)*0.475*44/12</f>
        <v>0</v>
      </c>
      <c r="DH179" s="23">
        <f>EXP(-LN(2)/2)*DH178+(1-EXP(-LN(2)/2))/(LN(2)/2)*DB179*DE179*VLOOKUP('Données projet'!$B$13,Paramètres!$A$1:$I$88,3,0)*0.475*44/12</f>
        <v>4.2472274207324646E-23</v>
      </c>
      <c r="DI179" s="24">
        <f t="shared" si="175"/>
        <v>2.1352214726713501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-8.5265128291212022E-14</v>
      </c>
      <c r="O180" s="14">
        <f>N180*VLOOKUP('Données projet'!$B$9,Paramètres!$A$1:$I$88,3,0)*VLOOKUP('Données projet'!$B$9,Paramètres!$A$1:$I$88,5,0)</f>
        <v>-7.7147888077888636E-14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286.81278534843665</v>
      </c>
      <c r="T180" s="62">
        <f t="shared" si="142"/>
        <v>199.43308683696642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-8.5265128291212022E-14</v>
      </c>
      <c r="AJ180" s="14">
        <f>AI180*VLOOKUP('Données projet'!$B$10,Paramètres!$A$1:$I$88,3,0)*VLOOKUP('Données projet'!$B$10,Paramètres!$A$1:$I$88,5,0)</f>
        <v>-8.6458840087288998E-14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316.76504852082684</v>
      </c>
      <c r="AO180" s="62">
        <f t="shared" si="144"/>
        <v>218.5520645293999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0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-8.5265128291212022E-14</v>
      </c>
      <c r="BE180" s="14">
        <f>BD180*VLOOKUP('Données projet'!$B$11,Paramètres!$A$1:$I$88,3,0)*VLOOKUP('Données projet'!$B$11,Paramètres!$A$1:$I$88,5,0)</f>
        <v>-7.4487616075202836E-14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278.24093386944304</v>
      </c>
      <c r="BJ180" s="62">
        <f t="shared" si="146"/>
        <v>193.96102673885611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0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-8.5265128291212022E-14</v>
      </c>
      <c r="BZ180" s="14">
        <f>BY180*VLOOKUP('Données projet'!$B$12,Paramètres!$A$1:$I$88,3,0)*VLOOKUP('Données projet'!$B$12,Paramètres!$A$1:$I$88,5,0)</f>
        <v>-8.246843208326026E-14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303.93739496872121</v>
      </c>
      <c r="CE180" s="62">
        <f t="shared" si="148"/>
        <v>210.36431469568754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0</v>
      </c>
      <c r="CL180" s="23">
        <f>EXP(-LN(2)/25)*CL179+(1-EXP(-LN(2)/25))/(LN(2)/25)*Calculateur!CG180*Calculateur!CI180*VLOOKUP('Données projet'!$B$12,Paramètres!$A$1:$I$88,3,0)*0.475*44/12</f>
        <v>0</v>
      </c>
      <c r="CM180" s="23">
        <f>EXP(-LN(2)/2)*CM179+(1-EXP(-LN(2)/2))/(LN(2)/2)*CG180*CJ180*VLOOKUP('Données projet'!$B$12,Paramètres!$A$1:$I$88,3,0)*0.475*44/12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projet'!$B$13,Paramètres!$A$1:$I$88,3,0)*VLOOKUP('Données projet'!$B$13,Paramètres!$A$1:$I$88,5,0)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57.812812891099895</v>
      </c>
      <c r="CZ180" s="62">
        <f t="shared" si="150"/>
        <v>244.79885157604684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projet'!$B$13,Paramètres!$A$1:$I$88,3,0)*0.475*44/12</f>
        <v>2.0933510819487662</v>
      </c>
      <c r="DG180" s="23">
        <f>EXP(-LN(2)/25)*DG179+(1-EXP(-LN(2)/25))/(LN(2)/25)*Calculateur!DB180*Calculateur!DD180*VLOOKUP('Données projet'!$B$13,Paramètres!$A$1:$I$88,3,0)*0.475*44/12</f>
        <v>0</v>
      </c>
      <c r="DH180" s="23">
        <f>EXP(-LN(2)/2)*DH179+(1-EXP(-LN(2)/2))/(LN(2)/2)*DB180*DE180*VLOOKUP('Données projet'!$B$13,Paramètres!$A$1:$I$88,3,0)*0.475*44/12</f>
        <v>3.0032433104413754E-23</v>
      </c>
      <c r="DI180" s="24">
        <f t="shared" si="175"/>
        <v>2.0933510819487662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-8.5265128291212022E-14</v>
      </c>
      <c r="O181" s="14">
        <f>N181*VLOOKUP('Données projet'!$B$9,Paramètres!$A$1:$I$88,3,0)*VLOOKUP('Données projet'!$B$9,Paramètres!$A$1:$I$88,5,0)</f>
        <v>-7.7147888077888636E-14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286.81278534843665</v>
      </c>
      <c r="T181" s="62">
        <f t="shared" si="142"/>
        <v>199.43308683696642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-8.5265128291212022E-14</v>
      </c>
      <c r="AJ181" s="14">
        <f>AI181*VLOOKUP('Données projet'!$B$10,Paramètres!$A$1:$I$88,3,0)*VLOOKUP('Données projet'!$B$10,Paramètres!$A$1:$I$88,5,0)</f>
        <v>-8.6458840087288998E-14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316.76504852082684</v>
      </c>
      <c r="AO181" s="62">
        <f t="shared" si="144"/>
        <v>218.5520645293999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0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-8.5265128291212022E-14</v>
      </c>
      <c r="BE181" s="14">
        <f>BD181*VLOOKUP('Données projet'!$B$11,Paramètres!$A$1:$I$88,3,0)*VLOOKUP('Données projet'!$B$11,Paramètres!$A$1:$I$88,5,0)</f>
        <v>-7.4487616075202836E-14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278.24093386944304</v>
      </c>
      <c r="BJ181" s="62">
        <f t="shared" si="146"/>
        <v>193.96102673885611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0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-8.5265128291212022E-14</v>
      </c>
      <c r="BZ181" s="14">
        <f>BY181*VLOOKUP('Données projet'!$B$12,Paramètres!$A$1:$I$88,3,0)*VLOOKUP('Données projet'!$B$12,Paramètres!$A$1:$I$88,5,0)</f>
        <v>-8.246843208326026E-14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303.93739496872121</v>
      </c>
      <c r="CE181" s="62">
        <f t="shared" si="148"/>
        <v>210.36431469568754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0</v>
      </c>
      <c r="CL181" s="23">
        <f>EXP(-LN(2)/25)*CL180+(1-EXP(-LN(2)/25))/(LN(2)/25)*Calculateur!CG181*Calculateur!CI181*VLOOKUP('Données projet'!$B$12,Paramètres!$A$1:$I$88,3,0)*0.475*44/12</f>
        <v>0</v>
      </c>
      <c r="CM181" s="23">
        <f>EXP(-LN(2)/2)*CM180+(1-EXP(-LN(2)/2))/(LN(2)/2)*CG181*CJ181*VLOOKUP('Données projet'!$B$12,Paramètres!$A$1:$I$88,3,0)*0.475*44/12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projet'!$B$13,Paramètres!$A$1:$I$88,3,0)*VLOOKUP('Données projet'!$B$13,Paramètres!$A$1:$I$88,5,0)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57.812812891099895</v>
      </c>
      <c r="CZ181" s="62">
        <f t="shared" si="150"/>
        <v>244.79885157604684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projet'!$B$13,Paramètres!$A$1:$I$88,3,0)*0.475*44/12</f>
        <v>2.0523017440498355</v>
      </c>
      <c r="DG181" s="23">
        <f>EXP(-LN(2)/25)*DG180+(1-EXP(-LN(2)/25))/(LN(2)/25)*Calculateur!DB181*Calculateur!DD181*VLOOKUP('Données projet'!$B$13,Paramètres!$A$1:$I$88,3,0)*0.475*44/12</f>
        <v>0</v>
      </c>
      <c r="DH181" s="23">
        <f>EXP(-LN(2)/2)*DH180+(1-EXP(-LN(2)/2))/(LN(2)/2)*DB181*DE181*VLOOKUP('Données projet'!$B$13,Paramètres!$A$1:$I$88,3,0)*0.475*44/12</f>
        <v>2.1236137103662323E-23</v>
      </c>
      <c r="DI181" s="24">
        <f t="shared" si="175"/>
        <v>2.0523017440498355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-8.5265128291212022E-14</v>
      </c>
      <c r="O182" s="14">
        <f>N182*VLOOKUP('Données projet'!$B$9,Paramètres!$A$1:$I$88,3,0)*VLOOKUP('Données projet'!$B$9,Paramètres!$A$1:$I$88,5,0)</f>
        <v>-7.7147888077888636E-14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286.81278534843665</v>
      </c>
      <c r="T182" s="62">
        <f t="shared" si="142"/>
        <v>199.43308683696642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-8.5265128291212022E-14</v>
      </c>
      <c r="AJ182" s="14">
        <f>AI182*VLOOKUP('Données projet'!$B$10,Paramètres!$A$1:$I$88,3,0)*VLOOKUP('Données projet'!$B$10,Paramètres!$A$1:$I$88,5,0)</f>
        <v>-8.6458840087288998E-14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316.76504852082684</v>
      </c>
      <c r="AO182" s="62">
        <f t="shared" si="144"/>
        <v>218.5520645293999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0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-8.5265128291212022E-14</v>
      </c>
      <c r="BE182" s="14">
        <f>BD182*VLOOKUP('Données projet'!$B$11,Paramètres!$A$1:$I$88,3,0)*VLOOKUP('Données projet'!$B$11,Paramètres!$A$1:$I$88,5,0)</f>
        <v>-7.4487616075202836E-14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278.24093386944304</v>
      </c>
      <c r="BJ182" s="62">
        <f t="shared" si="146"/>
        <v>193.96102673885611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0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-8.5265128291212022E-14</v>
      </c>
      <c r="BZ182" s="14">
        <f>BY182*VLOOKUP('Données projet'!$B$12,Paramètres!$A$1:$I$88,3,0)*VLOOKUP('Données projet'!$B$12,Paramètres!$A$1:$I$88,5,0)</f>
        <v>-8.246843208326026E-14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303.93739496872121</v>
      </c>
      <c r="CE182" s="62">
        <f t="shared" si="148"/>
        <v>210.36431469568754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0</v>
      </c>
      <c r="CL182" s="23">
        <f>EXP(-LN(2)/25)*CL181+(1-EXP(-LN(2)/25))/(LN(2)/25)*Calculateur!CG182*Calculateur!CI182*VLOOKUP('Données projet'!$B$12,Paramètres!$A$1:$I$88,3,0)*0.475*44/12</f>
        <v>0</v>
      </c>
      <c r="CM182" s="23">
        <f>EXP(-LN(2)/2)*CM181+(1-EXP(-LN(2)/2))/(LN(2)/2)*CG182*CJ182*VLOOKUP('Données projet'!$B$12,Paramètres!$A$1:$I$88,3,0)*0.475*44/12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projet'!$B$13,Paramètres!$A$1:$I$88,3,0)*VLOOKUP('Données projet'!$B$13,Paramètres!$A$1:$I$88,5,0)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57.812812891099895</v>
      </c>
      <c r="CZ182" s="62">
        <f t="shared" si="150"/>
        <v>244.79885157604684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projet'!$B$13,Paramètres!$A$1:$I$88,3,0)*0.475*44/12</f>
        <v>2.012057358629479</v>
      </c>
      <c r="DG182" s="23">
        <f>EXP(-LN(2)/25)*DG181+(1-EXP(-LN(2)/25))/(LN(2)/25)*Calculateur!DB182*Calculateur!DD182*VLOOKUP('Données projet'!$B$13,Paramètres!$A$1:$I$88,3,0)*0.475*44/12</f>
        <v>0</v>
      </c>
      <c r="DH182" s="23">
        <f>EXP(-LN(2)/2)*DH181+(1-EXP(-LN(2)/2))/(LN(2)/2)*DB182*DE182*VLOOKUP('Données projet'!$B$13,Paramètres!$A$1:$I$88,3,0)*0.475*44/12</f>
        <v>1.5016216552206877E-23</v>
      </c>
      <c r="DI182" s="24">
        <f t="shared" si="175"/>
        <v>2.012057358629479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-8.5265128291212022E-14</v>
      </c>
      <c r="O183" s="14">
        <f>N183*VLOOKUP('Données projet'!$B$9,Paramètres!$A$1:$I$88,3,0)*VLOOKUP('Données projet'!$B$9,Paramètres!$A$1:$I$88,5,0)</f>
        <v>-7.7147888077888636E-14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286.81278534843665</v>
      </c>
      <c r="T183" s="62">
        <f t="shared" si="142"/>
        <v>199.43308683696642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-8.5265128291212022E-14</v>
      </c>
      <c r="AJ183" s="14">
        <f>AI183*VLOOKUP('Données projet'!$B$10,Paramètres!$A$1:$I$88,3,0)*VLOOKUP('Données projet'!$B$10,Paramètres!$A$1:$I$88,5,0)</f>
        <v>-8.6458840087288998E-14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316.76504852082684</v>
      </c>
      <c r="AO183" s="62">
        <f t="shared" si="144"/>
        <v>218.5520645293999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0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-8.5265128291212022E-14</v>
      </c>
      <c r="BE183" s="14">
        <f>BD183*VLOOKUP('Données projet'!$B$11,Paramètres!$A$1:$I$88,3,0)*VLOOKUP('Données projet'!$B$11,Paramètres!$A$1:$I$88,5,0)</f>
        <v>-7.4487616075202836E-14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278.24093386944304</v>
      </c>
      <c r="BJ183" s="62">
        <f t="shared" si="146"/>
        <v>193.96102673885611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0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-8.5265128291212022E-14</v>
      </c>
      <c r="BZ183" s="14">
        <f>BY183*VLOOKUP('Données projet'!$B$12,Paramètres!$A$1:$I$88,3,0)*VLOOKUP('Données projet'!$B$12,Paramètres!$A$1:$I$88,5,0)</f>
        <v>-8.246843208326026E-14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303.93739496872121</v>
      </c>
      <c r="CE183" s="62">
        <f t="shared" si="148"/>
        <v>210.36431469568754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0</v>
      </c>
      <c r="CL183" s="23">
        <f>EXP(-LN(2)/25)*CL182+(1-EXP(-LN(2)/25))/(LN(2)/25)*Calculateur!CG183*Calculateur!CI183*VLOOKUP('Données projet'!$B$12,Paramètres!$A$1:$I$88,3,0)*0.475*44/12</f>
        <v>0</v>
      </c>
      <c r="CM183" s="23">
        <f>EXP(-LN(2)/2)*CM182+(1-EXP(-LN(2)/2))/(LN(2)/2)*CG183*CJ183*VLOOKUP('Données projet'!$B$12,Paramètres!$A$1:$I$88,3,0)*0.475*44/12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projet'!$B$13,Paramètres!$A$1:$I$88,3,0)*VLOOKUP('Données projet'!$B$13,Paramètres!$A$1:$I$88,5,0)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57.812812891099895</v>
      </c>
      <c r="CZ183" s="62">
        <f t="shared" si="150"/>
        <v>244.79885157604684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projet'!$B$13,Paramètres!$A$1:$I$88,3,0)*0.475*44/12</f>
        <v>1.9726021410605643</v>
      </c>
      <c r="DG183" s="23">
        <f>EXP(-LN(2)/25)*DG182+(1-EXP(-LN(2)/25))/(LN(2)/25)*Calculateur!DB183*Calculateur!DD183*VLOOKUP('Données projet'!$B$13,Paramètres!$A$1:$I$88,3,0)*0.475*44/12</f>
        <v>0</v>
      </c>
      <c r="DH183" s="23">
        <f>EXP(-LN(2)/2)*DH182+(1-EXP(-LN(2)/2))/(LN(2)/2)*DB183*DE183*VLOOKUP('Données projet'!$B$13,Paramètres!$A$1:$I$88,3,0)*0.475*44/12</f>
        <v>1.0618068551831161E-23</v>
      </c>
      <c r="DI183" s="24">
        <f t="shared" si="175"/>
        <v>1.9726021410605643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-8.5265128291212022E-14</v>
      </c>
      <c r="O184" s="14">
        <f>N184*VLOOKUP('Données projet'!$B$9,Paramètres!$A$1:$I$88,3,0)*VLOOKUP('Données projet'!$B$9,Paramètres!$A$1:$I$88,5,0)</f>
        <v>-7.7147888077888636E-14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286.81278534843665</v>
      </c>
      <c r="T184" s="62">
        <f t="shared" si="142"/>
        <v>199.43308683696642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-8.5265128291212022E-14</v>
      </c>
      <c r="AJ184" s="14">
        <f>AI184*VLOOKUP('Données projet'!$B$10,Paramètres!$A$1:$I$88,3,0)*VLOOKUP('Données projet'!$B$10,Paramètres!$A$1:$I$88,5,0)</f>
        <v>-8.6458840087288998E-14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316.76504852082684</v>
      </c>
      <c r="AO184" s="62">
        <f t="shared" si="144"/>
        <v>218.5520645293999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0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-8.5265128291212022E-14</v>
      </c>
      <c r="BE184" s="14">
        <f>BD184*VLOOKUP('Données projet'!$B$11,Paramètres!$A$1:$I$88,3,0)*VLOOKUP('Données projet'!$B$11,Paramètres!$A$1:$I$88,5,0)</f>
        <v>-7.4487616075202836E-14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278.24093386944304</v>
      </c>
      <c r="BJ184" s="62">
        <f t="shared" si="146"/>
        <v>193.96102673885611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0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-8.5265128291212022E-14</v>
      </c>
      <c r="BZ184" s="14">
        <f>BY184*VLOOKUP('Données projet'!$B$12,Paramètres!$A$1:$I$88,3,0)*VLOOKUP('Données projet'!$B$12,Paramètres!$A$1:$I$88,5,0)</f>
        <v>-8.246843208326026E-14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303.93739496872121</v>
      </c>
      <c r="CE184" s="62">
        <f t="shared" si="148"/>
        <v>210.36431469568754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0</v>
      </c>
      <c r="CL184" s="23">
        <f>EXP(-LN(2)/25)*CL183+(1-EXP(-LN(2)/25))/(LN(2)/25)*Calculateur!CG184*Calculateur!CI184*VLOOKUP('Données projet'!$B$12,Paramètres!$A$1:$I$88,3,0)*0.475*44/12</f>
        <v>0</v>
      </c>
      <c r="CM184" s="23">
        <f>EXP(-LN(2)/2)*CM183+(1-EXP(-LN(2)/2))/(LN(2)/2)*CG184*CJ184*VLOOKUP('Données projet'!$B$12,Paramètres!$A$1:$I$88,3,0)*0.475*44/12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projet'!$B$13,Paramètres!$A$1:$I$88,3,0)*VLOOKUP('Données projet'!$B$13,Paramètres!$A$1:$I$88,5,0)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57.812812891099895</v>
      </c>
      <c r="CZ184" s="62">
        <f t="shared" si="150"/>
        <v>244.79885157604684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projet'!$B$13,Paramètres!$A$1:$I$88,3,0)*0.475*44/12</f>
        <v>1.9339206162428697</v>
      </c>
      <c r="DG184" s="23">
        <f>EXP(-LN(2)/25)*DG183+(1-EXP(-LN(2)/25))/(LN(2)/25)*Calculateur!DB184*Calculateur!DD184*VLOOKUP('Données projet'!$B$13,Paramètres!$A$1:$I$88,3,0)*0.475*44/12</f>
        <v>0</v>
      </c>
      <c r="DH184" s="23">
        <f>EXP(-LN(2)/2)*DH183+(1-EXP(-LN(2)/2))/(LN(2)/2)*DB184*DE184*VLOOKUP('Données projet'!$B$13,Paramètres!$A$1:$I$88,3,0)*0.475*44/12</f>
        <v>7.5081082761034385E-24</v>
      </c>
      <c r="DI184" s="24">
        <f t="shared" si="175"/>
        <v>1.9339206162428697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-8.5265128291212022E-14</v>
      </c>
      <c r="O185" s="14">
        <f>N185*VLOOKUP('Données projet'!$B$9,Paramètres!$A$1:$I$88,3,0)*VLOOKUP('Données projet'!$B$9,Paramètres!$A$1:$I$88,5,0)</f>
        <v>-7.7147888077888636E-14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286.81278534843665</v>
      </c>
      <c r="T185" s="62">
        <f t="shared" si="142"/>
        <v>199.43308683696642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-8.5265128291212022E-14</v>
      </c>
      <c r="AJ185" s="14">
        <f>AI185*VLOOKUP('Données projet'!$B$10,Paramètres!$A$1:$I$88,3,0)*VLOOKUP('Données projet'!$B$10,Paramètres!$A$1:$I$88,5,0)</f>
        <v>-8.6458840087288998E-14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316.76504852082684</v>
      </c>
      <c r="AO185" s="62">
        <f t="shared" si="144"/>
        <v>218.5520645293999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0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-8.5265128291212022E-14</v>
      </c>
      <c r="BE185" s="14">
        <f>BD185*VLOOKUP('Données projet'!$B$11,Paramètres!$A$1:$I$88,3,0)*VLOOKUP('Données projet'!$B$11,Paramètres!$A$1:$I$88,5,0)</f>
        <v>-7.4487616075202836E-14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278.24093386944304</v>
      </c>
      <c r="BJ185" s="62">
        <f t="shared" si="146"/>
        <v>193.96102673885611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0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-8.5265128291212022E-14</v>
      </c>
      <c r="BZ185" s="14">
        <f>BY185*VLOOKUP('Données projet'!$B$12,Paramètres!$A$1:$I$88,3,0)*VLOOKUP('Données projet'!$B$12,Paramètres!$A$1:$I$88,5,0)</f>
        <v>-8.246843208326026E-14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303.93739496872121</v>
      </c>
      <c r="CE185" s="62">
        <f t="shared" si="148"/>
        <v>210.36431469568754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0</v>
      </c>
      <c r="CL185" s="23">
        <f>EXP(-LN(2)/25)*CL184+(1-EXP(-LN(2)/25))/(LN(2)/25)*Calculateur!CG185*Calculateur!CI185*VLOOKUP('Données projet'!$B$12,Paramètres!$A$1:$I$88,3,0)*0.475*44/12</f>
        <v>0</v>
      </c>
      <c r="CM185" s="23">
        <f>EXP(-LN(2)/2)*CM184+(1-EXP(-LN(2)/2))/(LN(2)/2)*CG185*CJ185*VLOOKUP('Données projet'!$B$12,Paramètres!$A$1:$I$88,3,0)*0.475*44/12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projet'!$B$13,Paramètres!$A$1:$I$88,3,0)*VLOOKUP('Données projet'!$B$13,Paramètres!$A$1:$I$88,5,0)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57.812812891099895</v>
      </c>
      <c r="CZ185" s="62">
        <f t="shared" si="150"/>
        <v>244.79885157604684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projet'!$B$13,Paramètres!$A$1:$I$88,3,0)*0.475*44/12</f>
        <v>1.8959976125334497</v>
      </c>
      <c r="DG185" s="23">
        <f>EXP(-LN(2)/25)*DG184+(1-EXP(-LN(2)/25))/(LN(2)/25)*Calculateur!DB185*Calculateur!DD185*VLOOKUP('Données projet'!$B$13,Paramètres!$A$1:$I$88,3,0)*0.475*44/12</f>
        <v>0</v>
      </c>
      <c r="DH185" s="23">
        <f>EXP(-LN(2)/2)*DH184+(1-EXP(-LN(2)/2))/(LN(2)/2)*DB185*DE185*VLOOKUP('Données projet'!$B$13,Paramètres!$A$1:$I$88,3,0)*0.475*44/12</f>
        <v>5.3090342759155807E-24</v>
      </c>
      <c r="DI185" s="24">
        <f t="shared" si="175"/>
        <v>1.8959976125334497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-8.5265128291212022E-14</v>
      </c>
      <c r="O186" s="14">
        <f>N186*VLOOKUP('Données projet'!$B$9,Paramètres!$A$1:$I$88,3,0)*VLOOKUP('Données projet'!$B$9,Paramètres!$A$1:$I$88,5,0)</f>
        <v>-7.7147888077888636E-14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286.81278534843665</v>
      </c>
      <c r="T186" s="62">
        <f t="shared" si="142"/>
        <v>199.43308683696642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-8.5265128291212022E-14</v>
      </c>
      <c r="AJ186" s="14">
        <f>AI186*VLOOKUP('Données projet'!$B$10,Paramètres!$A$1:$I$88,3,0)*VLOOKUP('Données projet'!$B$10,Paramètres!$A$1:$I$88,5,0)</f>
        <v>-8.6458840087288998E-14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316.76504852082684</v>
      </c>
      <c r="AO186" s="62">
        <f t="shared" si="144"/>
        <v>218.5520645293999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0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-8.5265128291212022E-14</v>
      </c>
      <c r="BE186" s="14">
        <f>BD186*VLOOKUP('Données projet'!$B$11,Paramètres!$A$1:$I$88,3,0)*VLOOKUP('Données projet'!$B$11,Paramètres!$A$1:$I$88,5,0)</f>
        <v>-7.4487616075202836E-14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278.24093386944304</v>
      </c>
      <c r="BJ186" s="62">
        <f t="shared" si="146"/>
        <v>193.96102673885611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0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-8.5265128291212022E-14</v>
      </c>
      <c r="BZ186" s="14">
        <f>BY186*VLOOKUP('Données projet'!$B$12,Paramètres!$A$1:$I$88,3,0)*VLOOKUP('Données projet'!$B$12,Paramètres!$A$1:$I$88,5,0)</f>
        <v>-8.246843208326026E-14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303.93739496872121</v>
      </c>
      <c r="CE186" s="62">
        <f t="shared" si="148"/>
        <v>210.36431469568754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0</v>
      </c>
      <c r="CL186" s="23">
        <f>EXP(-LN(2)/25)*CL185+(1-EXP(-LN(2)/25))/(LN(2)/25)*Calculateur!CG186*Calculateur!CI186*VLOOKUP('Données projet'!$B$12,Paramètres!$A$1:$I$88,3,0)*0.475*44/12</f>
        <v>0</v>
      </c>
      <c r="CM186" s="23">
        <f>EXP(-LN(2)/2)*CM185+(1-EXP(-LN(2)/2))/(LN(2)/2)*CG186*CJ186*VLOOKUP('Données projet'!$B$12,Paramètres!$A$1:$I$88,3,0)*0.475*44/12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projet'!$B$13,Paramètres!$A$1:$I$88,3,0)*VLOOKUP('Données projet'!$B$13,Paramètres!$A$1:$I$88,5,0)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57.812812891099895</v>
      </c>
      <c r="CZ186" s="62">
        <f t="shared" si="150"/>
        <v>244.79885157604684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projet'!$B$13,Paramètres!$A$1:$I$88,3,0)*0.475*44/12</f>
        <v>1.8588182557960229</v>
      </c>
      <c r="DG186" s="23">
        <f>EXP(-LN(2)/25)*DG185+(1-EXP(-LN(2)/25))/(LN(2)/25)*Calculateur!DB186*Calculateur!DD186*VLOOKUP('Données projet'!$B$13,Paramètres!$A$1:$I$88,3,0)*0.475*44/12</f>
        <v>0</v>
      </c>
      <c r="DH186" s="23">
        <f>EXP(-LN(2)/2)*DH185+(1-EXP(-LN(2)/2))/(LN(2)/2)*DB186*DE186*VLOOKUP('Données projet'!$B$13,Paramètres!$A$1:$I$88,3,0)*0.475*44/12</f>
        <v>3.7540541380517192E-24</v>
      </c>
      <c r="DI186" s="24">
        <f t="shared" si="175"/>
        <v>1.8588182557960229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-8.5265128291212022E-14</v>
      </c>
      <c r="O187" s="14">
        <f>N187*VLOOKUP('Données projet'!$B$9,Paramètres!$A$1:$I$88,3,0)*VLOOKUP('Données projet'!$B$9,Paramètres!$A$1:$I$88,5,0)</f>
        <v>-7.7147888077888636E-14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286.81278534843665</v>
      </c>
      <c r="T187" s="62">
        <f t="shared" si="142"/>
        <v>199.43308683696642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-8.5265128291212022E-14</v>
      </c>
      <c r="AJ187" s="14">
        <f>AI187*VLOOKUP('Données projet'!$B$10,Paramètres!$A$1:$I$88,3,0)*VLOOKUP('Données projet'!$B$10,Paramètres!$A$1:$I$88,5,0)</f>
        <v>-8.6458840087288998E-14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316.76504852082684</v>
      </c>
      <c r="AO187" s="62">
        <f t="shared" si="144"/>
        <v>218.5520645293999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0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-8.5265128291212022E-14</v>
      </c>
      <c r="BE187" s="14">
        <f>BD187*VLOOKUP('Données projet'!$B$11,Paramètres!$A$1:$I$88,3,0)*VLOOKUP('Données projet'!$B$11,Paramètres!$A$1:$I$88,5,0)</f>
        <v>-7.4487616075202836E-14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278.24093386944304</v>
      </c>
      <c r="BJ187" s="62">
        <f t="shared" si="146"/>
        <v>193.96102673885611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0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-8.5265128291212022E-14</v>
      </c>
      <c r="BZ187" s="14">
        <f>BY187*VLOOKUP('Données projet'!$B$12,Paramètres!$A$1:$I$88,3,0)*VLOOKUP('Données projet'!$B$12,Paramètres!$A$1:$I$88,5,0)</f>
        <v>-8.246843208326026E-14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303.93739496872121</v>
      </c>
      <c r="CE187" s="62">
        <f t="shared" si="148"/>
        <v>210.36431469568754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0</v>
      </c>
      <c r="CL187" s="23">
        <f>EXP(-LN(2)/25)*CL186+(1-EXP(-LN(2)/25))/(LN(2)/25)*Calculateur!CG187*Calculateur!CI187*VLOOKUP('Données projet'!$B$12,Paramètres!$A$1:$I$88,3,0)*0.475*44/12</f>
        <v>0</v>
      </c>
      <c r="CM187" s="23">
        <f>EXP(-LN(2)/2)*CM186+(1-EXP(-LN(2)/2))/(LN(2)/2)*CG187*CJ187*VLOOKUP('Données projet'!$B$12,Paramètres!$A$1:$I$88,3,0)*0.475*44/12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projet'!$B$13,Paramètres!$A$1:$I$88,3,0)*VLOOKUP('Données projet'!$B$13,Paramètres!$A$1:$I$88,5,0)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57.812812891099895</v>
      </c>
      <c r="CZ187" s="62">
        <f t="shared" si="150"/>
        <v>244.79885157604684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projet'!$B$13,Paramètres!$A$1:$I$88,3,0)*0.475*44/12</f>
        <v>1.8223679635670487</v>
      </c>
      <c r="DG187" s="23">
        <f>EXP(-LN(2)/25)*DG186+(1-EXP(-LN(2)/25))/(LN(2)/25)*Calculateur!DB187*Calculateur!DD187*VLOOKUP('Données projet'!$B$13,Paramètres!$A$1:$I$88,3,0)*0.475*44/12</f>
        <v>0</v>
      </c>
      <c r="DH187" s="23">
        <f>EXP(-LN(2)/2)*DH186+(1-EXP(-LN(2)/2))/(LN(2)/2)*DB187*DE187*VLOOKUP('Données projet'!$B$13,Paramètres!$A$1:$I$88,3,0)*0.475*44/12</f>
        <v>2.6545171379577904E-24</v>
      </c>
      <c r="DI187" s="24">
        <f t="shared" si="175"/>
        <v>1.8223679635670487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-8.5265128291212022E-14</v>
      </c>
      <c r="O188" s="14">
        <f>N188*VLOOKUP('Données projet'!$B$9,Paramètres!$A$1:$I$88,3,0)*VLOOKUP('Données projet'!$B$9,Paramètres!$A$1:$I$88,5,0)</f>
        <v>-7.7147888077888636E-14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286.81278534843665</v>
      </c>
      <c r="T188" s="62">
        <f t="shared" si="142"/>
        <v>199.43308683696642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-8.5265128291212022E-14</v>
      </c>
      <c r="AJ188" s="14">
        <f>AI188*VLOOKUP('Données projet'!$B$10,Paramètres!$A$1:$I$88,3,0)*VLOOKUP('Données projet'!$B$10,Paramètres!$A$1:$I$88,5,0)</f>
        <v>-8.6458840087288998E-14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316.76504852082684</v>
      </c>
      <c r="AO188" s="62">
        <f t="shared" si="144"/>
        <v>218.5520645293999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0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-8.5265128291212022E-14</v>
      </c>
      <c r="BE188" s="14">
        <f>BD188*VLOOKUP('Données projet'!$B$11,Paramètres!$A$1:$I$88,3,0)*VLOOKUP('Données projet'!$B$11,Paramètres!$A$1:$I$88,5,0)</f>
        <v>-7.4487616075202836E-14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278.24093386944304</v>
      </c>
      <c r="BJ188" s="62">
        <f t="shared" si="146"/>
        <v>193.96102673885611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0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-8.5265128291212022E-14</v>
      </c>
      <c r="BZ188" s="14">
        <f>BY188*VLOOKUP('Données projet'!$B$12,Paramètres!$A$1:$I$88,3,0)*VLOOKUP('Données projet'!$B$12,Paramètres!$A$1:$I$88,5,0)</f>
        <v>-8.246843208326026E-14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303.93739496872121</v>
      </c>
      <c r="CE188" s="62">
        <f t="shared" si="148"/>
        <v>210.36431469568754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0</v>
      </c>
      <c r="CL188" s="23">
        <f>EXP(-LN(2)/25)*CL187+(1-EXP(-LN(2)/25))/(LN(2)/25)*Calculateur!CG188*Calculateur!CI188*VLOOKUP('Données projet'!$B$12,Paramètres!$A$1:$I$88,3,0)*0.475*44/12</f>
        <v>0</v>
      </c>
      <c r="CM188" s="23">
        <f>EXP(-LN(2)/2)*CM187+(1-EXP(-LN(2)/2))/(LN(2)/2)*CG188*CJ188*VLOOKUP('Données projet'!$B$12,Paramètres!$A$1:$I$88,3,0)*0.475*44/12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projet'!$B$13,Paramètres!$A$1:$I$88,3,0)*VLOOKUP('Données projet'!$B$13,Paramètres!$A$1:$I$88,5,0)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57.812812891099895</v>
      </c>
      <c r="CZ188" s="62">
        <f t="shared" si="150"/>
        <v>244.79885157604684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projet'!$B$13,Paramètres!$A$1:$I$88,3,0)*0.475*44/12</f>
        <v>1.7866324393362016</v>
      </c>
      <c r="DG188" s="23">
        <f>EXP(-LN(2)/25)*DG187+(1-EXP(-LN(2)/25))/(LN(2)/25)*Calculateur!DB188*Calculateur!DD188*VLOOKUP('Données projet'!$B$13,Paramètres!$A$1:$I$88,3,0)*0.475*44/12</f>
        <v>0</v>
      </c>
      <c r="DH188" s="23">
        <f>EXP(-LN(2)/2)*DH187+(1-EXP(-LN(2)/2))/(LN(2)/2)*DB188*DE188*VLOOKUP('Données projet'!$B$13,Paramètres!$A$1:$I$88,3,0)*0.475*44/12</f>
        <v>1.8770270690258596E-24</v>
      </c>
      <c r="DI188" s="24">
        <f t="shared" si="175"/>
        <v>1.7866324393362016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-8.5265128291212022E-14</v>
      </c>
      <c r="O189" s="14">
        <f>N189*VLOOKUP('Données projet'!$B$9,Paramètres!$A$1:$I$88,3,0)*VLOOKUP('Données projet'!$B$9,Paramètres!$A$1:$I$88,5,0)</f>
        <v>-7.7147888077888636E-14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286.81278534843665</v>
      </c>
      <c r="T189" s="62">
        <f t="shared" si="142"/>
        <v>199.43308683696642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-8.5265128291212022E-14</v>
      </c>
      <c r="AJ189" s="14">
        <f>AI189*VLOOKUP('Données projet'!$B$10,Paramètres!$A$1:$I$88,3,0)*VLOOKUP('Données projet'!$B$10,Paramètres!$A$1:$I$88,5,0)</f>
        <v>-8.6458840087288998E-14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316.76504852082684</v>
      </c>
      <c r="AO189" s="62">
        <f t="shared" si="144"/>
        <v>218.5520645293999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0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-8.5265128291212022E-14</v>
      </c>
      <c r="BE189" s="14">
        <f>BD189*VLOOKUP('Données projet'!$B$11,Paramètres!$A$1:$I$88,3,0)*VLOOKUP('Données projet'!$B$11,Paramètres!$A$1:$I$88,5,0)</f>
        <v>-7.4487616075202836E-14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278.24093386944304</v>
      </c>
      <c r="BJ189" s="62">
        <f t="shared" si="146"/>
        <v>193.96102673885611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0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-8.5265128291212022E-14</v>
      </c>
      <c r="BZ189" s="14">
        <f>BY189*VLOOKUP('Données projet'!$B$12,Paramètres!$A$1:$I$88,3,0)*VLOOKUP('Données projet'!$B$12,Paramètres!$A$1:$I$88,5,0)</f>
        <v>-8.246843208326026E-14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303.93739496872121</v>
      </c>
      <c r="CE189" s="62">
        <f t="shared" si="148"/>
        <v>210.36431469568754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0</v>
      </c>
      <c r="CL189" s="23">
        <f>EXP(-LN(2)/25)*CL188+(1-EXP(-LN(2)/25))/(LN(2)/25)*Calculateur!CG189*Calculateur!CI189*VLOOKUP('Données projet'!$B$12,Paramètres!$A$1:$I$88,3,0)*0.475*44/12</f>
        <v>0</v>
      </c>
      <c r="CM189" s="23">
        <f>EXP(-LN(2)/2)*CM188+(1-EXP(-LN(2)/2))/(LN(2)/2)*CG189*CJ189*VLOOKUP('Données projet'!$B$12,Paramètres!$A$1:$I$88,3,0)*0.475*44/12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projet'!$B$13,Paramètres!$A$1:$I$88,3,0)*VLOOKUP('Données projet'!$B$13,Paramètres!$A$1:$I$88,5,0)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57.812812891099895</v>
      </c>
      <c r="CZ189" s="62">
        <f t="shared" si="150"/>
        <v>244.79885157604684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projet'!$B$13,Paramètres!$A$1:$I$88,3,0)*0.475*44/12</f>
        <v>1.7515976669390041</v>
      </c>
      <c r="DG189" s="23">
        <f>EXP(-LN(2)/25)*DG188+(1-EXP(-LN(2)/25))/(LN(2)/25)*Calculateur!DB189*Calculateur!DD189*VLOOKUP('Données projet'!$B$13,Paramètres!$A$1:$I$88,3,0)*0.475*44/12</f>
        <v>0</v>
      </c>
      <c r="DH189" s="23">
        <f>EXP(-LN(2)/2)*DH188+(1-EXP(-LN(2)/2))/(LN(2)/2)*DB189*DE189*VLOOKUP('Données projet'!$B$13,Paramètres!$A$1:$I$88,3,0)*0.475*44/12</f>
        <v>1.3272585689788952E-24</v>
      </c>
      <c r="DI189" s="24">
        <f t="shared" si="175"/>
        <v>1.7515976669390041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-8.5265128291212022E-14</v>
      </c>
      <c r="O190" s="14">
        <f>N190*VLOOKUP('Données projet'!$B$9,Paramètres!$A$1:$I$88,3,0)*VLOOKUP('Données projet'!$B$9,Paramètres!$A$1:$I$88,5,0)</f>
        <v>-7.7147888077888636E-14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286.81278534843665</v>
      </c>
      <c r="T190" s="62">
        <f t="shared" si="142"/>
        <v>199.43308683696642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-8.5265128291212022E-14</v>
      </c>
      <c r="AJ190" s="14">
        <f>AI190*VLOOKUP('Données projet'!$B$10,Paramètres!$A$1:$I$88,3,0)*VLOOKUP('Données projet'!$B$10,Paramètres!$A$1:$I$88,5,0)</f>
        <v>-8.6458840087288998E-14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316.76504852082684</v>
      </c>
      <c r="AO190" s="62">
        <f t="shared" si="144"/>
        <v>218.5520645293999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0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-8.5265128291212022E-14</v>
      </c>
      <c r="BE190" s="14">
        <f>BD190*VLOOKUP('Données projet'!$B$11,Paramètres!$A$1:$I$88,3,0)*VLOOKUP('Données projet'!$B$11,Paramètres!$A$1:$I$88,5,0)</f>
        <v>-7.4487616075202836E-14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278.24093386944304</v>
      </c>
      <c r="BJ190" s="62">
        <f t="shared" si="146"/>
        <v>193.96102673885611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0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-8.5265128291212022E-14</v>
      </c>
      <c r="BZ190" s="14">
        <f>BY190*VLOOKUP('Données projet'!$B$12,Paramètres!$A$1:$I$88,3,0)*VLOOKUP('Données projet'!$B$12,Paramètres!$A$1:$I$88,5,0)</f>
        <v>-8.246843208326026E-14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303.93739496872121</v>
      </c>
      <c r="CE190" s="62">
        <f t="shared" si="148"/>
        <v>210.36431469568754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0</v>
      </c>
      <c r="CL190" s="23">
        <f>EXP(-LN(2)/25)*CL189+(1-EXP(-LN(2)/25))/(LN(2)/25)*Calculateur!CG190*Calculateur!CI190*VLOOKUP('Données projet'!$B$12,Paramètres!$A$1:$I$88,3,0)*0.475*44/12</f>
        <v>0</v>
      </c>
      <c r="CM190" s="23">
        <f>EXP(-LN(2)/2)*CM189+(1-EXP(-LN(2)/2))/(LN(2)/2)*CG190*CJ190*VLOOKUP('Données projet'!$B$12,Paramètres!$A$1:$I$88,3,0)*0.475*44/12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projet'!$B$13,Paramètres!$A$1:$I$88,3,0)*VLOOKUP('Données projet'!$B$13,Paramètres!$A$1:$I$88,5,0)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57.812812891099895</v>
      </c>
      <c r="CZ190" s="62">
        <f t="shared" si="150"/>
        <v>244.79885157604684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projet'!$B$13,Paramètres!$A$1:$I$88,3,0)*0.475*44/12</f>
        <v>1.7172499050594143</v>
      </c>
      <c r="DG190" s="23">
        <f>EXP(-LN(2)/25)*DG189+(1-EXP(-LN(2)/25))/(LN(2)/25)*Calculateur!DB190*Calculateur!DD190*VLOOKUP('Données projet'!$B$13,Paramètres!$A$1:$I$88,3,0)*0.475*44/12</f>
        <v>0</v>
      </c>
      <c r="DH190" s="23">
        <f>EXP(-LN(2)/2)*DH189+(1-EXP(-LN(2)/2))/(LN(2)/2)*DB190*DE190*VLOOKUP('Données projet'!$B$13,Paramètres!$A$1:$I$88,3,0)*0.475*44/12</f>
        <v>9.3851353451292981E-25</v>
      </c>
      <c r="DI190" s="24">
        <f t="shared" si="175"/>
        <v>1.7172499050594143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-8.5265128291212022E-14</v>
      </c>
      <c r="O191" s="14">
        <f>N191*VLOOKUP('Données projet'!$B$9,Paramètres!$A$1:$I$88,3,0)*VLOOKUP('Données projet'!$B$9,Paramètres!$A$1:$I$88,5,0)</f>
        <v>-7.7147888077888636E-14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286.81278534843665</v>
      </c>
      <c r="T191" s="62">
        <f t="shared" si="142"/>
        <v>199.43308683696642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-8.5265128291212022E-14</v>
      </c>
      <c r="AJ191" s="14">
        <f>AI191*VLOOKUP('Données projet'!$B$10,Paramètres!$A$1:$I$88,3,0)*VLOOKUP('Données projet'!$B$10,Paramètres!$A$1:$I$88,5,0)</f>
        <v>-8.6458840087288998E-14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316.76504852082684</v>
      </c>
      <c r="AO191" s="62">
        <f t="shared" si="144"/>
        <v>218.5520645293999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0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-8.5265128291212022E-14</v>
      </c>
      <c r="BE191" s="14">
        <f>BD191*VLOOKUP('Données projet'!$B$11,Paramètres!$A$1:$I$88,3,0)*VLOOKUP('Données projet'!$B$11,Paramètres!$A$1:$I$88,5,0)</f>
        <v>-7.4487616075202836E-14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278.24093386944304</v>
      </c>
      <c r="BJ191" s="62">
        <f t="shared" si="146"/>
        <v>193.96102673885611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0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-8.5265128291212022E-14</v>
      </c>
      <c r="BZ191" s="14">
        <f>BY191*VLOOKUP('Données projet'!$B$12,Paramètres!$A$1:$I$88,3,0)*VLOOKUP('Données projet'!$B$12,Paramètres!$A$1:$I$88,5,0)</f>
        <v>-8.246843208326026E-14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303.93739496872121</v>
      </c>
      <c r="CE191" s="62">
        <f t="shared" si="148"/>
        <v>210.36431469568754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0</v>
      </c>
      <c r="CL191" s="23">
        <f>EXP(-LN(2)/25)*CL190+(1-EXP(-LN(2)/25))/(LN(2)/25)*Calculateur!CG191*Calculateur!CI191*VLOOKUP('Données projet'!$B$12,Paramètres!$A$1:$I$88,3,0)*0.475*44/12</f>
        <v>0</v>
      </c>
      <c r="CM191" s="23">
        <f>EXP(-LN(2)/2)*CM190+(1-EXP(-LN(2)/2))/(LN(2)/2)*CG191*CJ191*VLOOKUP('Données projet'!$B$12,Paramètres!$A$1:$I$88,3,0)*0.475*44/12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projet'!$B$13,Paramètres!$A$1:$I$88,3,0)*VLOOKUP('Données projet'!$B$13,Paramètres!$A$1:$I$88,5,0)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57.812812891099895</v>
      </c>
      <c r="CZ191" s="62">
        <f t="shared" si="150"/>
        <v>244.79885157604684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projet'!$B$13,Paramètres!$A$1:$I$88,3,0)*0.475*44/12</f>
        <v>1.6835756818402172</v>
      </c>
      <c r="DG191" s="23">
        <f>EXP(-LN(2)/25)*DG190+(1-EXP(-LN(2)/25))/(LN(2)/25)*Calculateur!DB191*Calculateur!DD191*VLOOKUP('Données projet'!$B$13,Paramètres!$A$1:$I$88,3,0)*0.475*44/12</f>
        <v>0</v>
      </c>
      <c r="DH191" s="23">
        <f>EXP(-LN(2)/2)*DH190+(1-EXP(-LN(2)/2))/(LN(2)/2)*DB191*DE191*VLOOKUP('Données projet'!$B$13,Paramètres!$A$1:$I$88,3,0)*0.475*44/12</f>
        <v>6.6362928448944759E-25</v>
      </c>
      <c r="DI191" s="24">
        <f t="shared" si="175"/>
        <v>1.6835756818402172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-8.5265128291212022E-14</v>
      </c>
      <c r="O192" s="14">
        <f>N192*VLOOKUP('Données projet'!$B$9,Paramètres!$A$1:$I$88,3,0)*VLOOKUP('Données projet'!$B$9,Paramètres!$A$1:$I$88,5,0)</f>
        <v>-7.7147888077888636E-14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286.81278534843665</v>
      </c>
      <c r="T192" s="62">
        <f t="shared" si="142"/>
        <v>199.43308683696642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-8.5265128291212022E-14</v>
      </c>
      <c r="AJ192" s="14">
        <f>AI192*VLOOKUP('Données projet'!$B$10,Paramètres!$A$1:$I$88,3,0)*VLOOKUP('Données projet'!$B$10,Paramètres!$A$1:$I$88,5,0)</f>
        <v>-8.6458840087288998E-14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316.76504852082684</v>
      </c>
      <c r="AO192" s="62">
        <f t="shared" si="144"/>
        <v>218.5520645293999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0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-8.5265128291212022E-14</v>
      </c>
      <c r="BE192" s="14">
        <f>BD192*VLOOKUP('Données projet'!$B$11,Paramètres!$A$1:$I$88,3,0)*VLOOKUP('Données projet'!$B$11,Paramètres!$A$1:$I$88,5,0)</f>
        <v>-7.4487616075202836E-14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278.24093386944304</v>
      </c>
      <c r="BJ192" s="62">
        <f t="shared" si="146"/>
        <v>193.96102673885611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0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-8.5265128291212022E-14</v>
      </c>
      <c r="BZ192" s="14">
        <f>BY192*VLOOKUP('Données projet'!$B$12,Paramètres!$A$1:$I$88,3,0)*VLOOKUP('Données projet'!$B$12,Paramètres!$A$1:$I$88,5,0)</f>
        <v>-8.246843208326026E-14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303.93739496872121</v>
      </c>
      <c r="CE192" s="62">
        <f t="shared" si="148"/>
        <v>210.36431469568754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0</v>
      </c>
      <c r="CL192" s="23">
        <f>EXP(-LN(2)/25)*CL191+(1-EXP(-LN(2)/25))/(LN(2)/25)*Calculateur!CG192*Calculateur!CI192*VLOOKUP('Données projet'!$B$12,Paramètres!$A$1:$I$88,3,0)*0.475*44/12</f>
        <v>0</v>
      </c>
      <c r="CM192" s="23">
        <f>EXP(-LN(2)/2)*CM191+(1-EXP(-LN(2)/2))/(LN(2)/2)*CG192*CJ192*VLOOKUP('Données projet'!$B$12,Paramètres!$A$1:$I$88,3,0)*0.475*44/12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projet'!$B$13,Paramètres!$A$1:$I$88,3,0)*VLOOKUP('Données projet'!$B$13,Paramètres!$A$1:$I$88,5,0)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57.812812891099895</v>
      </c>
      <c r="CZ192" s="62">
        <f t="shared" si="150"/>
        <v>244.79885157604684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projet'!$B$13,Paramètres!$A$1:$I$88,3,0)*0.475*44/12</f>
        <v>1.6505617895991005</v>
      </c>
      <c r="DG192" s="23">
        <f>EXP(-LN(2)/25)*DG191+(1-EXP(-LN(2)/25))/(LN(2)/25)*Calculateur!DB192*Calculateur!DD192*VLOOKUP('Données projet'!$B$13,Paramètres!$A$1:$I$88,3,0)*0.475*44/12</f>
        <v>0</v>
      </c>
      <c r="DH192" s="23">
        <f>EXP(-LN(2)/2)*DH191+(1-EXP(-LN(2)/2))/(LN(2)/2)*DB192*DE192*VLOOKUP('Données projet'!$B$13,Paramètres!$A$1:$I$88,3,0)*0.475*44/12</f>
        <v>4.692567672564649E-25</v>
      </c>
      <c r="DI192" s="24">
        <f t="shared" si="175"/>
        <v>1.6505617895991005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-8.5265128291212022E-14</v>
      </c>
      <c r="O193" s="14">
        <f>N193*VLOOKUP('Données projet'!$B$9,Paramètres!$A$1:$I$88,3,0)*VLOOKUP('Données projet'!$B$9,Paramètres!$A$1:$I$88,5,0)</f>
        <v>-7.7147888077888636E-14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286.81278534843665</v>
      </c>
      <c r="T193" s="62">
        <f t="shared" si="142"/>
        <v>199.43308683696642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-8.5265128291212022E-14</v>
      </c>
      <c r="AJ193" s="14">
        <f>AI193*VLOOKUP('Données projet'!$B$10,Paramètres!$A$1:$I$88,3,0)*VLOOKUP('Données projet'!$B$10,Paramètres!$A$1:$I$88,5,0)</f>
        <v>-8.6458840087288998E-14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316.76504852082684</v>
      </c>
      <c r="AO193" s="62">
        <f t="shared" si="144"/>
        <v>218.5520645293999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0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-8.5265128291212022E-14</v>
      </c>
      <c r="BE193" s="14">
        <f>BD193*VLOOKUP('Données projet'!$B$11,Paramètres!$A$1:$I$88,3,0)*VLOOKUP('Données projet'!$B$11,Paramètres!$A$1:$I$88,5,0)</f>
        <v>-7.4487616075202836E-14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278.24093386944304</v>
      </c>
      <c r="BJ193" s="62">
        <f t="shared" si="146"/>
        <v>193.96102673885611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0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-8.5265128291212022E-14</v>
      </c>
      <c r="BZ193" s="14">
        <f>BY193*VLOOKUP('Données projet'!$B$12,Paramètres!$A$1:$I$88,3,0)*VLOOKUP('Données projet'!$B$12,Paramètres!$A$1:$I$88,5,0)</f>
        <v>-8.246843208326026E-14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303.93739496872121</v>
      </c>
      <c r="CE193" s="62">
        <f t="shared" si="148"/>
        <v>210.36431469568754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0</v>
      </c>
      <c r="CL193" s="23">
        <f>EXP(-LN(2)/25)*CL192+(1-EXP(-LN(2)/25))/(LN(2)/25)*Calculateur!CG193*Calculateur!CI193*VLOOKUP('Données projet'!$B$12,Paramètres!$A$1:$I$88,3,0)*0.475*44/12</f>
        <v>0</v>
      </c>
      <c r="CM193" s="23">
        <f>EXP(-LN(2)/2)*CM192+(1-EXP(-LN(2)/2))/(LN(2)/2)*CG193*CJ193*VLOOKUP('Données projet'!$B$12,Paramètres!$A$1:$I$88,3,0)*0.475*44/12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projet'!$B$13,Paramètres!$A$1:$I$88,3,0)*VLOOKUP('Données projet'!$B$13,Paramètres!$A$1:$I$88,5,0)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57.812812891099895</v>
      </c>
      <c r="CZ193" s="62">
        <f t="shared" si="150"/>
        <v>244.79885157604684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projet'!$B$13,Paramètres!$A$1:$I$88,3,0)*0.475*44/12</f>
        <v>1.6181952796483461</v>
      </c>
      <c r="DG193" s="23">
        <f>EXP(-LN(2)/25)*DG192+(1-EXP(-LN(2)/25))/(LN(2)/25)*Calculateur!DB193*Calculateur!DD193*VLOOKUP('Données projet'!$B$13,Paramètres!$A$1:$I$88,3,0)*0.475*44/12</f>
        <v>0</v>
      </c>
      <c r="DH193" s="23">
        <f>EXP(-LN(2)/2)*DH192+(1-EXP(-LN(2)/2))/(LN(2)/2)*DB193*DE193*VLOOKUP('Données projet'!$B$13,Paramètres!$A$1:$I$88,3,0)*0.475*44/12</f>
        <v>3.318146422447238E-25</v>
      </c>
      <c r="DI193" s="24">
        <f t="shared" si="175"/>
        <v>1.6181952796483461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-8.5265128291212022E-14</v>
      </c>
      <c r="O194" s="14">
        <f>N194*VLOOKUP('Données projet'!$B$9,Paramètres!$A$1:$I$88,3,0)*VLOOKUP('Données projet'!$B$9,Paramètres!$A$1:$I$88,5,0)</f>
        <v>-7.7147888077888636E-14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286.81278534843665</v>
      </c>
      <c r="T194" s="62">
        <f t="shared" si="142"/>
        <v>199.43308683696642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-8.5265128291212022E-14</v>
      </c>
      <c r="AJ194" s="14">
        <f>AI194*VLOOKUP('Données projet'!$B$10,Paramètres!$A$1:$I$88,3,0)*VLOOKUP('Données projet'!$B$10,Paramètres!$A$1:$I$88,5,0)</f>
        <v>-8.6458840087288998E-14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316.76504852082684</v>
      </c>
      <c r="AO194" s="62">
        <f t="shared" si="144"/>
        <v>218.5520645293999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0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-8.5265128291212022E-14</v>
      </c>
      <c r="BE194" s="14">
        <f>BD194*VLOOKUP('Données projet'!$B$11,Paramètres!$A$1:$I$88,3,0)*VLOOKUP('Données projet'!$B$11,Paramètres!$A$1:$I$88,5,0)</f>
        <v>-7.4487616075202836E-14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278.24093386944304</v>
      </c>
      <c r="BJ194" s="62">
        <f t="shared" si="146"/>
        <v>193.96102673885611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0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-8.5265128291212022E-14</v>
      </c>
      <c r="BZ194" s="14">
        <f>BY194*VLOOKUP('Données projet'!$B$12,Paramètres!$A$1:$I$88,3,0)*VLOOKUP('Données projet'!$B$12,Paramètres!$A$1:$I$88,5,0)</f>
        <v>-8.246843208326026E-14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303.93739496872121</v>
      </c>
      <c r="CE194" s="62">
        <f t="shared" si="148"/>
        <v>210.36431469568754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0</v>
      </c>
      <c r="CL194" s="23">
        <f>EXP(-LN(2)/25)*CL193+(1-EXP(-LN(2)/25))/(LN(2)/25)*Calculateur!CG194*Calculateur!CI194*VLOOKUP('Données projet'!$B$12,Paramètres!$A$1:$I$88,3,0)*0.475*44/12</f>
        <v>0</v>
      </c>
      <c r="CM194" s="23">
        <f>EXP(-LN(2)/2)*CM193+(1-EXP(-LN(2)/2))/(LN(2)/2)*CG194*CJ194*VLOOKUP('Données projet'!$B$12,Paramètres!$A$1:$I$88,3,0)*0.475*44/12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projet'!$B$13,Paramètres!$A$1:$I$88,3,0)*VLOOKUP('Données projet'!$B$13,Paramètres!$A$1:$I$88,5,0)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57.812812891099895</v>
      </c>
      <c r="CZ194" s="62">
        <f t="shared" si="150"/>
        <v>244.79885157604684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projet'!$B$13,Paramètres!$A$1:$I$88,3,0)*0.475*44/12</f>
        <v>1.5864634572161043</v>
      </c>
      <c r="DG194" s="23">
        <f>EXP(-LN(2)/25)*DG193+(1-EXP(-LN(2)/25))/(LN(2)/25)*Calculateur!DB194*Calculateur!DD194*VLOOKUP('Données projet'!$B$13,Paramètres!$A$1:$I$88,3,0)*0.475*44/12</f>
        <v>0</v>
      </c>
      <c r="DH194" s="23">
        <f>EXP(-LN(2)/2)*DH193+(1-EXP(-LN(2)/2))/(LN(2)/2)*DB194*DE194*VLOOKUP('Données projet'!$B$13,Paramètres!$A$1:$I$88,3,0)*0.475*44/12</f>
        <v>2.3462838362823245E-25</v>
      </c>
      <c r="DI194" s="24">
        <f t="shared" si="175"/>
        <v>1.5864634572161043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-8.5265128291212022E-14</v>
      </c>
      <c r="O195" s="14">
        <f>N195*VLOOKUP('Données projet'!$B$9,Paramètres!$A$1:$I$88,3,0)*VLOOKUP('Données projet'!$B$9,Paramètres!$A$1:$I$88,5,0)</f>
        <v>-7.7147888077888636E-14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286.81278534843665</v>
      </c>
      <c r="T195" s="62">
        <f t="shared" si="142"/>
        <v>199.43308683696642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-8.5265128291212022E-14</v>
      </c>
      <c r="AJ195" s="14">
        <f>AI195*VLOOKUP('Données projet'!$B$10,Paramètres!$A$1:$I$88,3,0)*VLOOKUP('Données projet'!$B$10,Paramètres!$A$1:$I$88,5,0)</f>
        <v>-8.6458840087288998E-14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316.76504852082684</v>
      </c>
      <c r="AO195" s="62">
        <f t="shared" si="144"/>
        <v>218.5520645293999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0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-8.5265128291212022E-14</v>
      </c>
      <c r="BE195" s="14">
        <f>BD195*VLOOKUP('Données projet'!$B$11,Paramètres!$A$1:$I$88,3,0)*VLOOKUP('Données projet'!$B$11,Paramètres!$A$1:$I$88,5,0)</f>
        <v>-7.4487616075202836E-14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278.24093386944304</v>
      </c>
      <c r="BJ195" s="62">
        <f t="shared" si="146"/>
        <v>193.96102673885611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0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-8.5265128291212022E-14</v>
      </c>
      <c r="BZ195" s="14">
        <f>BY195*VLOOKUP('Données projet'!$B$12,Paramètres!$A$1:$I$88,3,0)*VLOOKUP('Données projet'!$B$12,Paramètres!$A$1:$I$88,5,0)</f>
        <v>-8.246843208326026E-14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303.93739496872121</v>
      </c>
      <c r="CE195" s="62">
        <f t="shared" si="148"/>
        <v>210.36431469568754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0</v>
      </c>
      <c r="CL195" s="23">
        <f>EXP(-LN(2)/25)*CL194+(1-EXP(-LN(2)/25))/(LN(2)/25)*Calculateur!CG195*Calculateur!CI195*VLOOKUP('Données projet'!$B$12,Paramètres!$A$1:$I$88,3,0)*0.475*44/12</f>
        <v>0</v>
      </c>
      <c r="CM195" s="23">
        <f>EXP(-LN(2)/2)*CM194+(1-EXP(-LN(2)/2))/(LN(2)/2)*CG195*CJ195*VLOOKUP('Données projet'!$B$12,Paramètres!$A$1:$I$88,3,0)*0.475*44/12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projet'!$B$13,Paramètres!$A$1:$I$88,3,0)*VLOOKUP('Données projet'!$B$13,Paramètres!$A$1:$I$88,5,0)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57.812812891099895</v>
      </c>
      <c r="CZ195" s="62">
        <f t="shared" si="150"/>
        <v>244.79885157604684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projet'!$B$13,Paramètres!$A$1:$I$88,3,0)*0.475*44/12</f>
        <v>1.5553538764672581</v>
      </c>
      <c r="DG195" s="23">
        <f>EXP(-LN(2)/25)*DG194+(1-EXP(-LN(2)/25))/(LN(2)/25)*Calculateur!DB195*Calculateur!DD195*VLOOKUP('Données projet'!$B$13,Paramètres!$A$1:$I$88,3,0)*0.475*44/12</f>
        <v>0</v>
      </c>
      <c r="DH195" s="23">
        <f>EXP(-LN(2)/2)*DH194+(1-EXP(-LN(2)/2))/(LN(2)/2)*DB195*DE195*VLOOKUP('Données projet'!$B$13,Paramètres!$A$1:$I$88,3,0)*0.475*44/12</f>
        <v>1.659073211223619E-25</v>
      </c>
      <c r="DI195" s="24">
        <f t="shared" si="175"/>
        <v>1.5553538764672581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-8.5265128291212022E-14</v>
      </c>
      <c r="O196" s="14">
        <f>N196*VLOOKUP('Données projet'!$B$9,Paramètres!$A$1:$I$88,3,0)*VLOOKUP('Données projet'!$B$9,Paramètres!$A$1:$I$88,5,0)</f>
        <v>-7.7147888077888636E-14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286.81278534843665</v>
      </c>
      <c r="T196" s="62">
        <f t="shared" si="142"/>
        <v>199.43308683696642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-8.5265128291212022E-14</v>
      </c>
      <c r="AJ196" s="14">
        <f>AI196*VLOOKUP('Données projet'!$B$10,Paramètres!$A$1:$I$88,3,0)*VLOOKUP('Données projet'!$B$10,Paramètres!$A$1:$I$88,5,0)</f>
        <v>-8.6458840087288998E-14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316.76504852082684</v>
      </c>
      <c r="AO196" s="62">
        <f t="shared" si="144"/>
        <v>218.5520645293999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0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-8.5265128291212022E-14</v>
      </c>
      <c r="BE196" s="14">
        <f>BD196*VLOOKUP('Données projet'!$B$11,Paramètres!$A$1:$I$88,3,0)*VLOOKUP('Données projet'!$B$11,Paramètres!$A$1:$I$88,5,0)</f>
        <v>-7.4487616075202836E-14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278.24093386944304</v>
      </c>
      <c r="BJ196" s="62">
        <f t="shared" si="146"/>
        <v>193.96102673885611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0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-8.5265128291212022E-14</v>
      </c>
      <c r="BZ196" s="14">
        <f>BY196*VLOOKUP('Données projet'!$B$12,Paramètres!$A$1:$I$88,3,0)*VLOOKUP('Données projet'!$B$12,Paramètres!$A$1:$I$88,5,0)</f>
        <v>-8.246843208326026E-14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303.93739496872121</v>
      </c>
      <c r="CE196" s="62">
        <f t="shared" si="148"/>
        <v>210.36431469568754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0</v>
      </c>
      <c r="CL196" s="23">
        <f>EXP(-LN(2)/25)*CL195+(1-EXP(-LN(2)/25))/(LN(2)/25)*Calculateur!CG196*Calculateur!CI196*VLOOKUP('Données projet'!$B$12,Paramètres!$A$1:$I$88,3,0)*0.475*44/12</f>
        <v>0</v>
      </c>
      <c r="CM196" s="23">
        <f>EXP(-LN(2)/2)*CM195+(1-EXP(-LN(2)/2))/(LN(2)/2)*CG196*CJ196*VLOOKUP('Données projet'!$B$12,Paramètres!$A$1:$I$88,3,0)*0.475*44/12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projet'!$B$13,Paramètres!$A$1:$I$88,3,0)*VLOOKUP('Données projet'!$B$13,Paramètres!$A$1:$I$88,5,0)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57.812812891099895</v>
      </c>
      <c r="CZ196" s="62">
        <f t="shared" si="150"/>
        <v>244.79885157604684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projet'!$B$13,Paramètres!$A$1:$I$88,3,0)*0.475*44/12</f>
        <v>1.5248543356219262</v>
      </c>
      <c r="DG196" s="23">
        <f>EXP(-LN(2)/25)*DG195+(1-EXP(-LN(2)/25))/(LN(2)/25)*Calculateur!DB196*Calculateur!DD196*VLOOKUP('Données projet'!$B$13,Paramètres!$A$1:$I$88,3,0)*0.475*44/12</f>
        <v>0</v>
      </c>
      <c r="DH196" s="23">
        <f>EXP(-LN(2)/2)*DH195+(1-EXP(-LN(2)/2))/(LN(2)/2)*DB196*DE196*VLOOKUP('Données projet'!$B$13,Paramètres!$A$1:$I$88,3,0)*0.475*44/12</f>
        <v>1.1731419181411623E-25</v>
      </c>
      <c r="DI196" s="24">
        <f t="shared" si="175"/>
        <v>1.5248543356219262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-8.5265128291212022E-14</v>
      </c>
      <c r="O197" s="14">
        <f>N197*VLOOKUP('Données projet'!$B$9,Paramètres!$A$1:$I$88,3,0)*VLOOKUP('Données projet'!$B$9,Paramètres!$A$1:$I$88,5,0)</f>
        <v>-7.7147888077888636E-14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286.81278534843665</v>
      </c>
      <c r="T197" s="62">
        <f t="shared" ref="T197:T203" si="204">$T$3</f>
        <v>199.43308683696642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-8.5265128291212022E-14</v>
      </c>
      <c r="AJ197" s="14">
        <f>AI197*VLOOKUP('Données projet'!$B$10,Paramètres!$A$1:$I$88,3,0)*VLOOKUP('Données projet'!$B$10,Paramètres!$A$1:$I$88,5,0)</f>
        <v>-8.6458840087288998E-14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316.76504852082684</v>
      </c>
      <c r="AO197" s="62">
        <f t="shared" ref="AO197:AO203" si="205">$AO$3</f>
        <v>218.5520645293999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0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-8.5265128291212022E-14</v>
      </c>
      <c r="BE197" s="14">
        <f>BD197*VLOOKUP('Données projet'!$B$11,Paramètres!$A$1:$I$88,3,0)*VLOOKUP('Données projet'!$B$11,Paramètres!$A$1:$I$88,5,0)</f>
        <v>-7.4487616075202836E-14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278.24093386944304</v>
      </c>
      <c r="BJ197" s="62">
        <f t="shared" ref="BJ197:BJ203" si="206">$BJ$3</f>
        <v>193.96102673885611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0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-8.5265128291212022E-14</v>
      </c>
      <c r="BZ197" s="14">
        <f>BY197*VLOOKUP('Données projet'!$B$12,Paramètres!$A$1:$I$88,3,0)*VLOOKUP('Données projet'!$B$12,Paramètres!$A$1:$I$88,5,0)</f>
        <v>-8.246843208326026E-14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303.93739496872121</v>
      </c>
      <c r="CE197" s="62">
        <f t="shared" ref="CE197:CE203" si="207">$CE$3</f>
        <v>210.36431469568754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0</v>
      </c>
      <c r="CL197" s="23">
        <f>EXP(-LN(2)/25)*CL196+(1-EXP(-LN(2)/25))/(LN(2)/25)*Calculateur!CG197*Calculateur!CI197*VLOOKUP('Données projet'!$B$12,Paramètres!$A$1:$I$88,3,0)*0.475*44/12</f>
        <v>0</v>
      </c>
      <c r="CM197" s="23">
        <f>EXP(-LN(2)/2)*CM196+(1-EXP(-LN(2)/2))/(LN(2)/2)*CG197*CJ197*VLOOKUP('Données projet'!$B$12,Paramètres!$A$1:$I$88,3,0)*0.475*44/12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projet'!$B$13,Paramètres!$A$1:$I$88,3,0)*VLOOKUP('Données projet'!$B$13,Paramètres!$A$1:$I$88,5,0)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57.812812891099895</v>
      </c>
      <c r="CZ197" s="62">
        <f t="shared" ref="CZ197:CZ203" si="208">$CZ$3</f>
        <v>244.79885157604684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projet'!$B$13,Paramètres!$A$1:$I$88,3,0)*0.475*44/12</f>
        <v>1.4949528721696883</v>
      </c>
      <c r="DG197" s="23">
        <f>EXP(-LN(2)/25)*DG196+(1-EXP(-LN(2)/25))/(LN(2)/25)*Calculateur!DB197*Calculateur!DD197*VLOOKUP('Données projet'!$B$13,Paramètres!$A$1:$I$88,3,0)*0.475*44/12</f>
        <v>0</v>
      </c>
      <c r="DH197" s="23">
        <f>EXP(-LN(2)/2)*DH196+(1-EXP(-LN(2)/2))/(LN(2)/2)*DB197*DE197*VLOOKUP('Données projet'!$B$13,Paramètres!$A$1:$I$88,3,0)*0.475*44/12</f>
        <v>8.2953660561180949E-26</v>
      </c>
      <c r="DI197" s="24">
        <f t="shared" si="175"/>
        <v>1.4949528721696883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-8.5265128291212022E-14</v>
      </c>
      <c r="O198" s="14">
        <f>N198*VLOOKUP('Données projet'!$B$9,Paramètres!$A$1:$I$88,3,0)*VLOOKUP('Données projet'!$B$9,Paramètres!$A$1:$I$88,5,0)</f>
        <v>-7.7147888077888636E-14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286.81278534843665</v>
      </c>
      <c r="T198" s="62">
        <f t="shared" si="204"/>
        <v>199.43308683696642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-8.5265128291212022E-14</v>
      </c>
      <c r="AJ198" s="14">
        <f>AI198*VLOOKUP('Données projet'!$B$10,Paramètres!$A$1:$I$88,3,0)*VLOOKUP('Données projet'!$B$10,Paramètres!$A$1:$I$88,5,0)</f>
        <v>-8.6458840087288998E-14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316.76504852082684</v>
      </c>
      <c r="AO198" s="62">
        <f t="shared" si="205"/>
        <v>218.5520645293999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0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-8.5265128291212022E-14</v>
      </c>
      <c r="BE198" s="14">
        <f>BD198*VLOOKUP('Données projet'!$B$11,Paramètres!$A$1:$I$88,3,0)*VLOOKUP('Données projet'!$B$11,Paramètres!$A$1:$I$88,5,0)</f>
        <v>-7.4487616075202836E-14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278.24093386944304</v>
      </c>
      <c r="BJ198" s="62">
        <f t="shared" si="206"/>
        <v>193.96102673885611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0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-8.5265128291212022E-14</v>
      </c>
      <c r="BZ198" s="14">
        <f>BY198*VLOOKUP('Données projet'!$B$12,Paramètres!$A$1:$I$88,3,0)*VLOOKUP('Données projet'!$B$12,Paramètres!$A$1:$I$88,5,0)</f>
        <v>-8.246843208326026E-14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303.93739496872121</v>
      </c>
      <c r="CE198" s="62">
        <f t="shared" si="207"/>
        <v>210.36431469568754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0</v>
      </c>
      <c r="CL198" s="23">
        <f>EXP(-LN(2)/25)*CL197+(1-EXP(-LN(2)/25))/(LN(2)/25)*Calculateur!CG198*Calculateur!CI198*VLOOKUP('Données projet'!$B$12,Paramètres!$A$1:$I$88,3,0)*0.475*44/12</f>
        <v>0</v>
      </c>
      <c r="CM198" s="23">
        <f>EXP(-LN(2)/2)*CM197+(1-EXP(-LN(2)/2))/(LN(2)/2)*CG198*CJ198*VLOOKUP('Données projet'!$B$12,Paramètres!$A$1:$I$88,3,0)*0.475*44/12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projet'!$B$13,Paramètres!$A$1:$I$88,3,0)*VLOOKUP('Données projet'!$B$13,Paramètres!$A$1:$I$88,5,0)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57.812812891099895</v>
      </c>
      <c r="CZ198" s="62">
        <f t="shared" si="208"/>
        <v>244.79885157604684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projet'!$B$13,Paramètres!$A$1:$I$88,3,0)*0.475*44/12</f>
        <v>1.465637758177657</v>
      </c>
      <c r="DG198" s="23">
        <f>EXP(-LN(2)/25)*DG197+(1-EXP(-LN(2)/25))/(LN(2)/25)*Calculateur!DB198*Calculateur!DD198*VLOOKUP('Données projet'!$B$13,Paramètres!$A$1:$I$88,3,0)*0.475*44/12</f>
        <v>0</v>
      </c>
      <c r="DH198" s="23">
        <f>EXP(-LN(2)/2)*DH197+(1-EXP(-LN(2)/2))/(LN(2)/2)*DB198*DE198*VLOOKUP('Données projet'!$B$13,Paramètres!$A$1:$I$88,3,0)*0.475*44/12</f>
        <v>5.8657095907058113E-26</v>
      </c>
      <c r="DI198" s="24">
        <f t="shared" si="175"/>
        <v>1.465637758177657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-8.5265128291212022E-14</v>
      </c>
      <c r="O199" s="14">
        <f>N199*VLOOKUP('Données projet'!$B$9,Paramètres!$A$1:$I$88,3,0)*VLOOKUP('Données projet'!$B$9,Paramètres!$A$1:$I$88,5,0)</f>
        <v>-7.7147888077888636E-14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286.81278534843665</v>
      </c>
      <c r="T199" s="62">
        <f t="shared" si="204"/>
        <v>199.43308683696642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-8.5265128291212022E-14</v>
      </c>
      <c r="AJ199" s="14">
        <f>AI199*VLOOKUP('Données projet'!$B$10,Paramètres!$A$1:$I$88,3,0)*VLOOKUP('Données projet'!$B$10,Paramètres!$A$1:$I$88,5,0)</f>
        <v>-8.6458840087288998E-14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316.76504852082684</v>
      </c>
      <c r="AO199" s="62">
        <f t="shared" si="205"/>
        <v>218.5520645293999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0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-8.5265128291212022E-14</v>
      </c>
      <c r="BE199" s="14">
        <f>BD199*VLOOKUP('Données projet'!$B$11,Paramètres!$A$1:$I$88,3,0)*VLOOKUP('Données projet'!$B$11,Paramètres!$A$1:$I$88,5,0)</f>
        <v>-7.4487616075202836E-14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278.24093386944304</v>
      </c>
      <c r="BJ199" s="62">
        <f t="shared" si="206"/>
        <v>193.96102673885611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0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-8.5265128291212022E-14</v>
      </c>
      <c r="BZ199" s="14">
        <f>BY199*VLOOKUP('Données projet'!$B$12,Paramètres!$A$1:$I$88,3,0)*VLOOKUP('Données projet'!$B$12,Paramètres!$A$1:$I$88,5,0)</f>
        <v>-8.246843208326026E-14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303.93739496872121</v>
      </c>
      <c r="CE199" s="62">
        <f t="shared" si="207"/>
        <v>210.36431469568754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0</v>
      </c>
      <c r="CL199" s="23">
        <f>EXP(-LN(2)/25)*CL198+(1-EXP(-LN(2)/25))/(LN(2)/25)*Calculateur!CG199*Calculateur!CI199*VLOOKUP('Données projet'!$B$12,Paramètres!$A$1:$I$88,3,0)*0.475*44/12</f>
        <v>0</v>
      </c>
      <c r="CM199" s="23">
        <f>EXP(-LN(2)/2)*CM198+(1-EXP(-LN(2)/2))/(LN(2)/2)*CG199*CJ199*VLOOKUP('Données projet'!$B$12,Paramètres!$A$1:$I$88,3,0)*0.475*44/12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projet'!$B$13,Paramètres!$A$1:$I$88,3,0)*VLOOKUP('Données projet'!$B$13,Paramètres!$A$1:$I$88,5,0)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57.812812891099895</v>
      </c>
      <c r="CZ199" s="62">
        <f t="shared" si="208"/>
        <v>244.79885157604684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projet'!$B$13,Paramètres!$A$1:$I$88,3,0)*0.475*44/12</f>
        <v>1.4368974956905554</v>
      </c>
      <c r="DG199" s="23">
        <f>EXP(-LN(2)/25)*DG198+(1-EXP(-LN(2)/25))/(LN(2)/25)*Calculateur!DB199*Calculateur!DD199*VLOOKUP('Données projet'!$B$13,Paramètres!$A$1:$I$88,3,0)*0.475*44/12</f>
        <v>0</v>
      </c>
      <c r="DH199" s="23">
        <f>EXP(-LN(2)/2)*DH198+(1-EXP(-LN(2)/2))/(LN(2)/2)*DB199*DE199*VLOOKUP('Données projet'!$B$13,Paramètres!$A$1:$I$88,3,0)*0.475*44/12</f>
        <v>4.1476830280590475E-26</v>
      </c>
      <c r="DI199" s="24">
        <f t="shared" si="175"/>
        <v>1.4368974956905554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-8.5265128291212022E-14</v>
      </c>
      <c r="O200" s="14">
        <f>N200*VLOOKUP('Données projet'!$B$9,Paramètres!$A$1:$I$88,3,0)*VLOOKUP('Données projet'!$B$9,Paramètres!$A$1:$I$88,5,0)</f>
        <v>-7.7147888077888636E-14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286.81278534843665</v>
      </c>
      <c r="T200" s="62">
        <f t="shared" si="204"/>
        <v>199.43308683696642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-8.5265128291212022E-14</v>
      </c>
      <c r="AJ200" s="14">
        <f>AI200*VLOOKUP('Données projet'!$B$10,Paramètres!$A$1:$I$88,3,0)*VLOOKUP('Données projet'!$B$10,Paramètres!$A$1:$I$88,5,0)</f>
        <v>-8.6458840087288998E-14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316.76504852082684</v>
      </c>
      <c r="AO200" s="62">
        <f t="shared" si="205"/>
        <v>218.5520645293999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0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-8.5265128291212022E-14</v>
      </c>
      <c r="BE200" s="14">
        <f>BD200*VLOOKUP('Données projet'!$B$11,Paramètres!$A$1:$I$88,3,0)*VLOOKUP('Données projet'!$B$11,Paramètres!$A$1:$I$88,5,0)</f>
        <v>-7.4487616075202836E-14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278.24093386944304</v>
      </c>
      <c r="BJ200" s="62">
        <f t="shared" si="206"/>
        <v>193.96102673885611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0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-8.5265128291212022E-14</v>
      </c>
      <c r="BZ200" s="14">
        <f>BY200*VLOOKUP('Données projet'!$B$12,Paramètres!$A$1:$I$88,3,0)*VLOOKUP('Données projet'!$B$12,Paramètres!$A$1:$I$88,5,0)</f>
        <v>-8.246843208326026E-14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303.93739496872121</v>
      </c>
      <c r="CE200" s="62">
        <f t="shared" si="207"/>
        <v>210.36431469568754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0</v>
      </c>
      <c r="CL200" s="23">
        <f>EXP(-LN(2)/25)*CL199+(1-EXP(-LN(2)/25))/(LN(2)/25)*Calculateur!CG200*Calculateur!CI200*VLOOKUP('Données projet'!$B$12,Paramètres!$A$1:$I$88,3,0)*0.475*44/12</f>
        <v>0</v>
      </c>
      <c r="CM200" s="23">
        <f>EXP(-LN(2)/2)*CM199+(1-EXP(-LN(2)/2))/(LN(2)/2)*CG200*CJ200*VLOOKUP('Données projet'!$B$12,Paramètres!$A$1:$I$88,3,0)*0.475*44/12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projet'!$B$13,Paramètres!$A$1:$I$88,3,0)*VLOOKUP('Données projet'!$B$13,Paramètres!$A$1:$I$88,5,0)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57.812812891099895</v>
      </c>
      <c r="CZ200" s="62">
        <f t="shared" si="208"/>
        <v>244.79885157604684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projet'!$B$13,Paramètres!$A$1:$I$88,3,0)*0.475*44/12</f>
        <v>1.4087208122209967</v>
      </c>
      <c r="DG200" s="23">
        <f>EXP(-LN(2)/25)*DG199+(1-EXP(-LN(2)/25))/(LN(2)/25)*Calculateur!DB200*Calculateur!DD200*VLOOKUP('Données projet'!$B$13,Paramètres!$A$1:$I$88,3,0)*0.475*44/12</f>
        <v>0</v>
      </c>
      <c r="DH200" s="23">
        <f>EXP(-LN(2)/2)*DH199+(1-EXP(-LN(2)/2))/(LN(2)/2)*DB200*DE200*VLOOKUP('Données projet'!$B$13,Paramètres!$A$1:$I$88,3,0)*0.475*44/12</f>
        <v>2.9328547953529056E-26</v>
      </c>
      <c r="DI200" s="24">
        <f t="shared" si="175"/>
        <v>1.4087208122209967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-8.5265128291212022E-14</v>
      </c>
      <c r="O201" s="14">
        <f>N201*VLOOKUP('Données projet'!$B$9,Paramètres!$A$1:$I$88,3,0)*VLOOKUP('Données projet'!$B$9,Paramètres!$A$1:$I$88,5,0)</f>
        <v>-7.7147888077888636E-14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286.81278534843665</v>
      </c>
      <c r="T201" s="62">
        <f t="shared" si="204"/>
        <v>199.43308683696642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-8.5265128291212022E-14</v>
      </c>
      <c r="AJ201" s="14">
        <f>AI201*VLOOKUP('Données projet'!$B$10,Paramètres!$A$1:$I$88,3,0)*VLOOKUP('Données projet'!$B$10,Paramètres!$A$1:$I$88,5,0)</f>
        <v>-8.6458840087288998E-14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316.76504852082684</v>
      </c>
      <c r="AO201" s="62">
        <f t="shared" si="205"/>
        <v>218.5520645293999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0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-8.5265128291212022E-14</v>
      </c>
      <c r="BE201" s="14">
        <f>BD201*VLOOKUP('Données projet'!$B$11,Paramètres!$A$1:$I$88,3,0)*VLOOKUP('Données projet'!$B$11,Paramètres!$A$1:$I$88,5,0)</f>
        <v>-7.4487616075202836E-14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278.24093386944304</v>
      </c>
      <c r="BJ201" s="62">
        <f t="shared" si="206"/>
        <v>193.96102673885611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0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-8.5265128291212022E-14</v>
      </c>
      <c r="BZ201" s="14">
        <f>BY201*VLOOKUP('Données projet'!$B$12,Paramètres!$A$1:$I$88,3,0)*VLOOKUP('Données projet'!$B$12,Paramètres!$A$1:$I$88,5,0)</f>
        <v>-8.246843208326026E-14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303.93739496872121</v>
      </c>
      <c r="CE201" s="62">
        <f t="shared" si="207"/>
        <v>210.36431469568754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0</v>
      </c>
      <c r="CL201" s="23">
        <f>EXP(-LN(2)/25)*CL200+(1-EXP(-LN(2)/25))/(LN(2)/25)*Calculateur!CG201*Calculateur!CI201*VLOOKUP('Données projet'!$B$12,Paramètres!$A$1:$I$88,3,0)*0.475*44/12</f>
        <v>0</v>
      </c>
      <c r="CM201" s="23">
        <f>EXP(-LN(2)/2)*CM200+(1-EXP(-LN(2)/2))/(LN(2)/2)*CG201*CJ201*VLOOKUP('Données projet'!$B$12,Paramètres!$A$1:$I$88,3,0)*0.475*44/12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projet'!$B$13,Paramètres!$A$1:$I$88,3,0)*VLOOKUP('Données projet'!$B$13,Paramètres!$A$1:$I$88,5,0)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57.812812891099895</v>
      </c>
      <c r="CZ201" s="62">
        <f t="shared" si="208"/>
        <v>244.79885157604684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projet'!$B$13,Paramètres!$A$1:$I$88,3,0)*0.475*44/12</f>
        <v>1.3810966563281959</v>
      </c>
      <c r="DG201" s="23">
        <f>EXP(-LN(2)/25)*DG200+(1-EXP(-LN(2)/25))/(LN(2)/25)*Calculateur!DB201*Calculateur!DD201*VLOOKUP('Données projet'!$B$13,Paramètres!$A$1:$I$88,3,0)*0.475*44/12</f>
        <v>0</v>
      </c>
      <c r="DH201" s="23">
        <f>EXP(-LN(2)/2)*DH200+(1-EXP(-LN(2)/2))/(LN(2)/2)*DB201*DE201*VLOOKUP('Données projet'!$B$13,Paramètres!$A$1:$I$88,3,0)*0.475*44/12</f>
        <v>2.0738415140295237E-26</v>
      </c>
      <c r="DI201" s="24">
        <f t="shared" si="175"/>
        <v>1.3810966563281959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-8.5265128291212022E-14</v>
      </c>
      <c r="O202" s="14">
        <f>N202*VLOOKUP('Données projet'!$B$9,Paramètres!$A$1:$I$88,3,0)*VLOOKUP('Données projet'!$B$9,Paramètres!$A$1:$I$88,5,0)</f>
        <v>-7.7147888077888636E-14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286.81278534843665</v>
      </c>
      <c r="T202" s="62">
        <f t="shared" si="204"/>
        <v>199.43308683696642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-8.5265128291212022E-14</v>
      </c>
      <c r="AJ202" s="14">
        <f>AI202*VLOOKUP('Données projet'!$B$10,Paramètres!$A$1:$I$88,3,0)*VLOOKUP('Données projet'!$B$10,Paramètres!$A$1:$I$88,5,0)</f>
        <v>-8.6458840087288998E-14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316.76504852082684</v>
      </c>
      <c r="AO202" s="62">
        <f t="shared" si="205"/>
        <v>218.5520645293999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0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-8.5265128291212022E-14</v>
      </c>
      <c r="BE202" s="14">
        <f>BD202*VLOOKUP('Données projet'!$B$11,Paramètres!$A$1:$I$88,3,0)*VLOOKUP('Données projet'!$B$11,Paramètres!$A$1:$I$88,5,0)</f>
        <v>-7.4487616075202836E-14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278.24093386944304</v>
      </c>
      <c r="BJ202" s="62">
        <f t="shared" si="206"/>
        <v>193.96102673885611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0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-8.5265128291212022E-14</v>
      </c>
      <c r="BZ202" s="14">
        <f>BY202*VLOOKUP('Données projet'!$B$12,Paramètres!$A$1:$I$88,3,0)*VLOOKUP('Données projet'!$B$12,Paramètres!$A$1:$I$88,5,0)</f>
        <v>-8.246843208326026E-14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303.93739496872121</v>
      </c>
      <c r="CE202" s="62">
        <f t="shared" si="207"/>
        <v>210.36431469568754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0</v>
      </c>
      <c r="CL202" s="23">
        <f>EXP(-LN(2)/25)*CL201+(1-EXP(-LN(2)/25))/(LN(2)/25)*Calculateur!CG202*Calculateur!CI202*VLOOKUP('Données projet'!$B$12,Paramètres!$A$1:$I$88,3,0)*0.475*44/12</f>
        <v>0</v>
      </c>
      <c r="CM202" s="23">
        <f>EXP(-LN(2)/2)*CM201+(1-EXP(-LN(2)/2))/(LN(2)/2)*CG202*CJ202*VLOOKUP('Données projet'!$B$12,Paramètres!$A$1:$I$88,3,0)*0.475*44/12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projet'!$B$13,Paramètres!$A$1:$I$88,3,0)*VLOOKUP('Données projet'!$B$13,Paramètres!$A$1:$I$88,5,0)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57.812812891099895</v>
      </c>
      <c r="CZ202" s="62">
        <f t="shared" si="208"/>
        <v>244.79885157604684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projet'!$B$13,Paramètres!$A$1:$I$88,3,0)*0.475*44/12</f>
        <v>1.3540141932833816</v>
      </c>
      <c r="DG202" s="23">
        <f>EXP(-LN(2)/25)*DG201+(1-EXP(-LN(2)/25))/(LN(2)/25)*Calculateur!DB202*Calculateur!DD202*VLOOKUP('Données projet'!$B$13,Paramètres!$A$1:$I$88,3,0)*0.475*44/12</f>
        <v>0</v>
      </c>
      <c r="DH202" s="23">
        <f>EXP(-LN(2)/2)*DH201+(1-EXP(-LN(2)/2))/(LN(2)/2)*DB202*DE202*VLOOKUP('Données projet'!$B$13,Paramètres!$A$1:$I$88,3,0)*0.475*44/12</f>
        <v>1.4664273976764528E-26</v>
      </c>
      <c r="DI202" s="24">
        <f t="shared" si="175"/>
        <v>1.3540141932833816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4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-8.5265128291212022E-14</v>
      </c>
      <c r="O203" s="14">
        <f>N203*VLOOKUP('Données projet'!$B$9,Paramètres!$A$1:$I$88,3,0)*VLOOKUP('Données projet'!$B$9,Paramètres!$A$1:$I$88,5,0)</f>
        <v>-7.7147888077888636E-14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286.81278534843665</v>
      </c>
      <c r="T203" s="62">
        <f t="shared" si="204"/>
        <v>199.43308683696642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-8.5265128291212022E-14</v>
      </c>
      <c r="AJ203" s="14">
        <f>AI203*VLOOKUP('Données projet'!$B$10,Paramètres!$A$1:$I$88,3,0)*VLOOKUP('Données projet'!$B$10,Paramètres!$A$1:$I$88,5,0)</f>
        <v>-8.6458840087288998E-14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316.76504852082684</v>
      </c>
      <c r="AO203" s="62">
        <f t="shared" si="205"/>
        <v>218.5520645293999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0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-8.5265128291212022E-14</v>
      </c>
      <c r="BE203" s="14">
        <f>BD203*VLOOKUP('Données projet'!$B$11,Paramètres!$A$1:$I$88,3,0)*VLOOKUP('Données projet'!$B$11,Paramètres!$A$1:$I$88,5,0)</f>
        <v>-7.4487616075202836E-14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278.24093386944304</v>
      </c>
      <c r="BJ203" s="62">
        <f t="shared" si="206"/>
        <v>193.96102673885611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0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-8.5265128291212022E-14</v>
      </c>
      <c r="BZ203" s="14">
        <f>BY203*VLOOKUP('Données projet'!$B$12,Paramètres!$A$1:$I$88,3,0)*VLOOKUP('Données projet'!$B$12,Paramètres!$A$1:$I$88,5,0)</f>
        <v>-8.246843208326026E-14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303.93739496872121</v>
      </c>
      <c r="CE203" s="62">
        <f t="shared" si="207"/>
        <v>210.36431469568754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0</v>
      </c>
      <c r="CL203" s="23">
        <f>EXP(-LN(2)/25)*CL202+(1-EXP(-LN(2)/25))/(LN(2)/25)*Calculateur!CG203*Calculateur!CI203*VLOOKUP('Données projet'!$B$12,Paramètres!$A$1:$I$88,3,0)*0.475*44/12</f>
        <v>0</v>
      </c>
      <c r="CM203" s="23">
        <f>EXP(-LN(2)/2)*CM202+(1-EXP(-LN(2)/2))/(LN(2)/2)*CG203*CJ203*VLOOKUP('Données projet'!$B$12,Paramètres!$A$1:$I$88,3,0)*0.475*44/12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projet'!$B$13,Paramètres!$A$1:$I$88,3,0)*VLOOKUP('Données projet'!$B$13,Paramètres!$A$1:$I$88,5,0)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57.812812891099895</v>
      </c>
      <c r="CZ203" s="62">
        <f t="shared" si="208"/>
        <v>244.79885157604684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projet'!$B$13,Paramètres!$A$1:$I$88,3,0)*0.475*44/12</f>
        <v>1.3274628008202047</v>
      </c>
      <c r="DG203" s="23">
        <f>EXP(-LN(2)/25)*DG202+(1-EXP(-LN(2)/25))/(LN(2)/25)*Calculateur!DB203*Calculateur!DD203*VLOOKUP('Données projet'!$B$13,Paramètres!$A$1:$I$88,3,0)*0.475*44/12</f>
        <v>0</v>
      </c>
      <c r="DH203" s="23">
        <f>EXP(-LN(2)/2)*DH202+(1-EXP(-LN(2)/2))/(LN(2)/2)*DB203*DE203*VLOOKUP('Données projet'!$B$13,Paramètres!$A$1:$I$88,3,0)*0.475*44/12</f>
        <v>1.0369207570147619E-26</v>
      </c>
      <c r="DI203" s="24">
        <f t="shared" si="175"/>
        <v>1.3274628008202047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4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4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1.1191358811422176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1.1191358811422176</v>
      </c>
      <c r="BA205" s="88">
        <f>EXP(LN('Données projet'!B88)/'Données projet'!A88)</f>
        <v>1.1191358811422176</v>
      </c>
      <c r="BV205" s="88">
        <f>EXP(LN('Données projet'!B114)/'Données projet'!A114)</f>
        <v>1.1191358811422176</v>
      </c>
      <c r="CQ205" s="88">
        <f>EXP(LN('Données projet'!B140)/'Données projet'!A140)</f>
        <v>1.3422549052450548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A22" workbookViewId="0">
      <selection activeCell="D23" sqref="D23"/>
    </sheetView>
  </sheetViews>
  <sheetFormatPr baseColWidth="10" defaultColWidth="11.453125" defaultRowHeight="14.5" x14ac:dyDescent="0.35"/>
  <cols>
    <col min="1" max="1" width="23.453125" style="5" bestFit="1" customWidth="1"/>
    <col min="2" max="2" width="27.7265625" style="5" bestFit="1" customWidth="1"/>
    <col min="3" max="3" width="11.81640625" style="5" bestFit="1" customWidth="1"/>
    <col min="4" max="4" width="40" style="5" bestFit="1" customWidth="1"/>
    <col min="5" max="5" width="11.81640625" style="5" bestFit="1" customWidth="1"/>
    <col min="6" max="6" width="13.7265625" style="5" bestFit="1" customWidth="1"/>
    <col min="7" max="7" width="11.453125" style="5" bestFit="1" customWidth="1"/>
    <col min="8" max="8" width="39" style="5" bestFit="1" customWidth="1"/>
    <col min="9" max="9" width="16.72656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35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5" thickBot="1" x14ac:dyDescent="0.4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5" thickBot="1" x14ac:dyDescent="0.4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35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35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35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5" thickBot="1" x14ac:dyDescent="0.4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5" thickBot="1" x14ac:dyDescent="0.4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35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5" thickBot="1" x14ac:dyDescent="0.4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35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35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35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35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35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35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35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35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35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35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35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35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35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35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35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35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35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35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35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35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35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35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35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35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35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35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35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35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35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35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35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35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35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35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35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35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35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35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35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35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35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35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35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35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35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35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35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35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35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35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35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35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35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35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35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35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35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35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35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35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35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35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35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35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35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35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35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35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35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35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35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35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35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35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35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35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" thickBot="1" x14ac:dyDescent="0.4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35">
      <c r="A92" s="132" t="s">
        <v>208</v>
      </c>
    </row>
    <row r="93" spans="1:14" x14ac:dyDescent="0.35">
      <c r="A93" s="132" t="s">
        <v>209</v>
      </c>
    </row>
    <row r="94" spans="1:14" x14ac:dyDescent="0.35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56" workbookViewId="0">
      <selection activeCell="D19" sqref="D19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5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8.5" thickBot="1" x14ac:dyDescent="0.4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55" t="str">
        <f>IF('Données projet'!$B$9="","",'Données projet'!$B$9)</f>
        <v>Chêne sessile</v>
      </c>
      <c r="B6" s="156">
        <f>'Données projet'!D9</f>
        <v>3.4917000000000002</v>
      </c>
      <c r="C6" s="157">
        <f ca="1">IF(OR('Données projet'!B9="",'Données projet'!C9="",'Données projet'!C9=0%),0,Calculateur!S3)</f>
        <v>286.81278534843665</v>
      </c>
      <c r="D6" s="157">
        <f>IF(OR('Données projet'!B9="",'Données projet'!C9="",'Données projet'!C9=0%),0,Calculateur!T3)</f>
        <v>199.43308683696642</v>
      </c>
      <c r="E6" s="157">
        <f ca="1">MIN(C6,D6)</f>
        <v>199.43308683696642</v>
      </c>
      <c r="F6" s="157">
        <f ca="1">E6*B6</f>
        <v>696.36050930863576</v>
      </c>
      <c r="G6" s="157">
        <f ca="1">F6*(100%-'Données projet'!$C$24)*(100%-'Données projet'!$C$25)*(100%-'Données projet'!$C$26)*(100%-'Données projet'!$C$27)</f>
        <v>595.38823545888351</v>
      </c>
      <c r="H6" s="158">
        <f>IF(OR('Données projet'!B9="",'Données projet'!C9="",'Données projet'!C9=0%),0,AVERAGE(Calculateur!$AC$3:$AC$33)*B6)</f>
        <v>0</v>
      </c>
      <c r="I6" s="159">
        <f>H6*(100%-'Données projet'!$C$24)*(100%-'Données projet'!$C$25)*(100%-'Données projet'!$C$26)*(100%-'Données projet'!$C$27)</f>
        <v>0</v>
      </c>
      <c r="J6" s="160">
        <f>IF(OR('Données projet'!B9="",'Données projet'!C9="",'Données projet'!C9=0%),0,SUM(Calculateur!$V$3:$V$33)*VLOOKUP('Données projet'!$B$9,Paramètres!$A$1:$I$88,9,0)*B6)</f>
        <v>0</v>
      </c>
      <c r="K6" s="161">
        <f>J6*(100%-'Données projet'!$C$24)*(100%-'Données projet'!$C$25)*(100%-'Données projet'!$C$26)*(100%-'Données projet'!$C$27)</f>
        <v>0</v>
      </c>
      <c r="L6" s="162">
        <f ca="1">G6+I6+K6</f>
        <v>595.38823545888351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63" t="str">
        <f>IF('Données projet'!$B$10="","",'Données projet'!$B$10)</f>
        <v>Chêne pubescent</v>
      </c>
      <c r="B7" s="164">
        <f>'Données projet'!D10</f>
        <v>0.58194999999999997</v>
      </c>
      <c r="C7" s="157">
        <f ca="1">IF(OR('Données projet'!B10="",'Données projet'!C10="",'Données projet'!C10=0%),0,Calculateur!AN3)</f>
        <v>316.76504852082684</v>
      </c>
      <c r="D7" s="157">
        <f>IF(OR('Données projet'!B10="",'Données projet'!C10="",'Données projet'!C10=0%),0,Calculateur!AO3)</f>
        <v>218.5520645293999</v>
      </c>
      <c r="E7" s="157">
        <f t="shared" ref="E7:E15" ca="1" si="0">MIN(C7,D7)</f>
        <v>218.5520645293999</v>
      </c>
      <c r="F7" s="157">
        <f t="shared" ref="F7:F15" ca="1" si="1">E7*B7</f>
        <v>127.18637395288427</v>
      </c>
      <c r="G7" s="157">
        <f ca="1">F7*(100%-'Données projet'!$C$24)*(100%-'Données projet'!$C$25)*(100%-'Données projet'!$C$26)*(100%-'Données projet'!$C$27)</f>
        <v>108.74434972971605</v>
      </c>
      <c r="H7" s="165">
        <f>IF(OR('Données projet'!B10="",'Données projet'!C10="",'Données projet'!C10=0%),0,AVERAGE(Calculateur!$AX$3:$AX$33)*B7)</f>
        <v>0</v>
      </c>
      <c r="I7" s="159">
        <f>H7*(100%-'Données projet'!$C$24)*(100%-'Données projet'!$C$25)*(100%-'Données projet'!$C$26)*(100%-'Données projet'!$C$27)</f>
        <v>0</v>
      </c>
      <c r="J7" s="160">
        <f>IF(OR('Données projet'!B10="",'Données projet'!C10="",'Données projet'!C10=0%),0,SUM(Calculateur!$AQ$3:$AQ$33)*VLOOKUP('Données projet'!$B$10,Paramètres!$A$1:$I$88,9,0)*B7)</f>
        <v>0</v>
      </c>
      <c r="K7" s="161">
        <f>J7*(100%-'Données projet'!$C$24)*(100%-'Données projet'!$C$25)*(100%-'Données projet'!$C$26)*(100%-'Données projet'!$C$27)</f>
        <v>0</v>
      </c>
      <c r="L7" s="162">
        <f t="shared" ref="L7:L15" ca="1" si="2">G7+I7+K7</f>
        <v>108.74434972971605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63" t="str">
        <f>IF('Données projet'!$B$11="","",'Données projet'!$B$11)</f>
        <v>Erable champêtre</v>
      </c>
      <c r="B8" s="164">
        <f>'Données projet'!D11</f>
        <v>0.28815000000000002</v>
      </c>
      <c r="C8" s="157">
        <f ca="1">IF(OR('Données projet'!B11="",'Données projet'!C11="",'Données projet'!C11=0%),0,Calculateur!BI3)</f>
        <v>278.24093386944304</v>
      </c>
      <c r="D8" s="157">
        <f>IF(OR('Données projet'!B11="",'Données projet'!C11="",'Données projet'!C11=0%),0,Calculateur!BJ3)</f>
        <v>193.96102673885611</v>
      </c>
      <c r="E8" s="157">
        <f t="shared" ca="1" si="0"/>
        <v>193.96102673885611</v>
      </c>
      <c r="F8" s="157">
        <f t="shared" ca="1" si="1"/>
        <v>55.88986985480139</v>
      </c>
      <c r="G8" s="157">
        <f ca="1">F8*(100%-'Données projet'!$C$24)*(100%-'Données projet'!$C$25)*(100%-'Données projet'!$C$26)*(100%-'Données projet'!$C$27)</f>
        <v>47.785838725855186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0</v>
      </c>
      <c r="K8" s="161">
        <f>J8*(100%-'Données projet'!$C$24)*(100%-'Données projet'!$C$25)*(100%-'Données projet'!$C$26)*(100%-'Données projet'!$C$27)</f>
        <v>0</v>
      </c>
      <c r="L8" s="162">
        <f t="shared" ca="1" si="2"/>
        <v>47.785838725855186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63" t="str">
        <f>IF('Données projet'!$B$12="","",'Données projet'!$B$12)</f>
        <v>Alisier torminal</v>
      </c>
      <c r="B9" s="164">
        <f>'Données projet'!D12</f>
        <v>0.28815000000000002</v>
      </c>
      <c r="C9" s="157">
        <f ca="1">IF(OR('Données projet'!B12="",'Données projet'!C12="",'Données projet'!C12=0%),0,Calculateur!CD3)</f>
        <v>303.93739496872121</v>
      </c>
      <c r="D9" s="157">
        <f>IF(OR('Données projet'!B12="",'Données projet'!C12="",'Données projet'!C12=0%),0,Calculateur!CE3)</f>
        <v>210.36431469568754</v>
      </c>
      <c r="E9" s="157">
        <f t="shared" ca="1" si="0"/>
        <v>210.36431469568754</v>
      </c>
      <c r="F9" s="157">
        <f t="shared" ca="1" si="1"/>
        <v>60.616477279562368</v>
      </c>
      <c r="G9" s="157">
        <f ca="1">F9*(100%-'Données projet'!$C$24)*(100%-'Données projet'!$C$25)*(100%-'Données projet'!$C$26)*(100%-'Données projet'!$C$27)</f>
        <v>51.827088074025824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0</v>
      </c>
      <c r="K9" s="161">
        <f>J9*(100%-'Données projet'!$C$24)*(100%-'Données projet'!$C$25)*(100%-'Données projet'!$C$26)*(100%-'Données projet'!$C$27)</f>
        <v>0</v>
      </c>
      <c r="L9" s="162">
        <f t="shared" ca="1" si="2"/>
        <v>51.827088074025824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63" t="str">
        <f>IF('Données projet'!$B$13="","",'Données projet'!$B$13)</f>
        <v>Peuplier Raspalje</v>
      </c>
      <c r="B10" s="164">
        <f>'Données projet'!D13</f>
        <v>1.0000500000000001</v>
      </c>
      <c r="C10" s="157">
        <f ca="1">IF(OR('Données projet'!B13="",'Données projet'!C13="",'Données projet'!C13=0%),0,Calculateur!CY3)</f>
        <v>57.812812891099895</v>
      </c>
      <c r="D10" s="157">
        <f>IF(OR('Données projet'!B13="",'Données projet'!C13="",'Données projet'!C13=0%),0,Calculateur!CZ3)</f>
        <v>244.79885157604684</v>
      </c>
      <c r="E10" s="157">
        <f t="shared" ca="1" si="0"/>
        <v>57.812812891099895</v>
      </c>
      <c r="F10" s="157">
        <f t="shared" ca="1" si="1"/>
        <v>57.815703531744454</v>
      </c>
      <c r="G10" s="157">
        <f ca="1">F10*(100%-'Données projet'!$C$24)*(100%-'Données projet'!$C$25)*(100%-'Données projet'!$C$26)*(100%-'Données projet'!$C$27)</f>
        <v>49.43242651964151</v>
      </c>
      <c r="H10" s="165">
        <f>IF(OR('Données projet'!B13="",'Données projet'!C13="",'Données projet'!C13=0%),0,AVERAGE(Calculateur!$DI$3:$DI$33)*B10)</f>
        <v>21.017243463401766</v>
      </c>
      <c r="I10" s="159">
        <f>H10*(100%-'Données projet'!$C$24)*(100%-'Données projet'!$C$25)*(100%-'Données projet'!$C$26)*(100%-'Données projet'!$C$27)</f>
        <v>17.969743161208509</v>
      </c>
      <c r="J10" s="160">
        <f>IF(OR('Données projet'!B13="",'Données projet'!C13="",'Données projet'!C13=0%),0,SUM(Calculateur!$DB$3:$DB$33)*VLOOKUP('Données projet'!$B$13,Paramètres!$A$1:$I$88,9,0)*B10)</f>
        <v>206.01030000000003</v>
      </c>
      <c r="K10" s="161">
        <f>J10*(100%-'Données projet'!$C$24)*(100%-'Données projet'!$C$25)*(100%-'Données projet'!$C$26)*(100%-'Données projet'!$C$27)</f>
        <v>176.13880650000002</v>
      </c>
      <c r="L10" s="162">
        <f t="shared" ca="1" si="2"/>
        <v>243.54097618085004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237"/>
      <c r="B16" s="247"/>
      <c r="C16" s="248"/>
      <c r="D16" s="25"/>
      <c r="E16" s="25"/>
      <c r="F16" s="175">
        <f t="shared" ref="F16:L16" ca="1" si="3">SUM(F6:F15)</f>
        <v>997.86893392762829</v>
      </c>
      <c r="G16" s="176">
        <f t="shared" ca="1" si="3"/>
        <v>853.17793850812211</v>
      </c>
      <c r="H16" s="177">
        <f t="shared" si="3"/>
        <v>21.017243463401766</v>
      </c>
      <c r="I16" s="177">
        <f t="shared" si="3"/>
        <v>17.969743161208509</v>
      </c>
      <c r="J16" s="178">
        <f t="shared" si="3"/>
        <v>206.01030000000003</v>
      </c>
      <c r="K16" s="178">
        <f t="shared" si="3"/>
        <v>176.13880650000002</v>
      </c>
      <c r="L16" s="179">
        <f t="shared" ca="1" si="3"/>
        <v>1047.2864881693306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80" t="str">
        <f>A6</f>
        <v>Chêne sessile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80" t="str">
        <f>A7</f>
        <v>Chêne pubescent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80" t="str">
        <f>A8</f>
        <v>Erable champêtre</v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80" t="str">
        <f>A9</f>
        <v>Alisier torminal</v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80" t="str">
        <f>A10</f>
        <v>Peuplier Raspalje</v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500"/>
  <sheetViews>
    <sheetView tabSelected="1" topLeftCell="A11" zoomScale="85" zoomScaleNormal="85" workbookViewId="0">
      <selection activeCell="F11" sqref="F1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34" style="3" customWidth="1"/>
    <col min="7" max="7" width="11.453125" style="3"/>
    <col min="8" max="8" width="11.453125" style="1"/>
    <col min="9" max="9" width="33" style="1" customWidth="1"/>
    <col min="10" max="10" width="37" style="1" customWidth="1"/>
    <col min="11" max="15" width="11.453125" style="1"/>
    <col min="16" max="16" width="21" style="1" customWidth="1"/>
    <col min="17" max="16384" width="11.453125" style="1"/>
  </cols>
  <sheetData>
    <row r="1" spans="1:46" ht="15" thickBot="1" x14ac:dyDescent="0.4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5" thickBot="1" x14ac:dyDescent="0.65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35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35">
      <c r="A4" s="100"/>
      <c r="B4" s="100"/>
      <c r="C4" s="100"/>
      <c r="D4" s="100"/>
      <c r="E4" s="100"/>
      <c r="F4" s="181"/>
      <c r="G4" s="181"/>
      <c r="H4" s="100"/>
      <c r="I4" s="275" t="s">
        <v>190</v>
      </c>
      <c r="J4" s="275"/>
      <c r="K4" s="275"/>
      <c r="L4" s="275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35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6" x14ac:dyDescent="0.6">
      <c r="A6" s="100"/>
      <c r="B6" s="303" t="s">
        <v>192</v>
      </c>
      <c r="C6" s="303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03" t="s">
        <v>191</v>
      </c>
      <c r="P6" s="303"/>
      <c r="Q6" s="303"/>
      <c r="R6" s="303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35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5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5">
      <c r="A9" s="25"/>
      <c r="B9" s="25"/>
      <c r="C9" s="25"/>
      <c r="D9" s="25"/>
      <c r="E9" s="25"/>
      <c r="F9" s="218"/>
      <c r="G9" s="230"/>
      <c r="H9" s="25"/>
      <c r="I9" s="207"/>
      <c r="J9" s="208"/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5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5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5">
      <c r="A12" s="25"/>
      <c r="B12" s="25"/>
      <c r="C12" s="25"/>
      <c r="D12" s="25"/>
      <c r="E12" s="25"/>
      <c r="F12" s="234"/>
      <c r="G12" s="243"/>
      <c r="H12" s="25"/>
      <c r="I12" s="207">
        <v>0</v>
      </c>
      <c r="J12" s="208">
        <f>(20332.13+2761)/5.65</f>
        <v>4087.2796460176992</v>
      </c>
      <c r="K12" s="223" t="s">
        <v>315</v>
      </c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5">
      <c r="A13" s="25"/>
      <c r="B13" s="25"/>
      <c r="C13" s="25"/>
      <c r="D13" s="25"/>
      <c r="E13" s="25"/>
      <c r="F13" s="234"/>
      <c r="G13" s="243"/>
      <c r="H13" s="25"/>
      <c r="I13" s="207">
        <v>1</v>
      </c>
      <c r="J13" s="208">
        <f>(3487.5+1294.5+70+150)/5.65</f>
        <v>885.30973451327429</v>
      </c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5">
      <c r="A14" s="25"/>
      <c r="B14" s="25"/>
      <c r="C14" s="25"/>
      <c r="D14" s="25"/>
      <c r="E14" s="25"/>
      <c r="F14" s="234"/>
      <c r="G14" s="243"/>
      <c r="H14" s="25"/>
      <c r="I14" s="207">
        <v>2</v>
      </c>
      <c r="J14" s="208">
        <f>(3138.75+1294.5+150+330)/5.65</f>
        <v>869.60176991150433</v>
      </c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5">
      <c r="A15" s="25"/>
      <c r="B15" s="25"/>
      <c r="C15" s="25"/>
      <c r="D15" s="25"/>
      <c r="E15" s="25"/>
      <c r="F15" s="234"/>
      <c r="G15" s="243"/>
      <c r="H15" s="25"/>
      <c r="I15" s="207">
        <v>3</v>
      </c>
      <c r="J15" s="208">
        <f>(3138.75+150)/5.65</f>
        <v>582.07964601769913</v>
      </c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5">
      <c r="A16" s="25"/>
      <c r="B16" s="25"/>
      <c r="C16" s="25"/>
      <c r="D16" s="25"/>
      <c r="E16" s="25"/>
      <c r="F16" s="234"/>
      <c r="G16" s="243"/>
      <c r="H16" s="25"/>
      <c r="I16" s="207">
        <v>4</v>
      </c>
      <c r="J16" s="208">
        <f>(3138.75+150+360+348.75+150)/5.65</f>
        <v>734.07079646017689</v>
      </c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5">
      <c r="A17" s="235"/>
      <c r="B17" s="235"/>
      <c r="C17" s="25"/>
      <c r="D17" s="25"/>
      <c r="E17" s="25"/>
      <c r="F17" s="218"/>
      <c r="G17" s="230"/>
      <c r="H17" s="25"/>
      <c r="I17" s="305" t="s">
        <v>292</v>
      </c>
      <c r="J17" s="305"/>
      <c r="K17" s="305"/>
      <c r="L17" s="305"/>
      <c r="M17" s="5"/>
      <c r="N17" s="186"/>
      <c r="O17" s="304" t="s">
        <v>254</v>
      </c>
      <c r="P17" s="304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5">
      <c r="A18" s="49" t="s">
        <v>165</v>
      </c>
      <c r="B18" s="189" t="str">
        <f>IF('Données projet'!$B$9="","",'Données projet'!$B$9)</f>
        <v>Chêne sessile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1" t="s">
        <v>291</v>
      </c>
      <c r="P18" s="271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5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1" t="s">
        <v>255</v>
      </c>
      <c r="P19" s="271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5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Chêne sessile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434.94424988918729</v>
      </c>
      <c r="K20" s="193">
        <f>'Données projet'!D9</f>
        <v>3.4917000000000002</v>
      </c>
      <c r="L20" s="192">
        <f>K20*J20</f>
        <v>1518.6948373380753</v>
      </c>
      <c r="M20" s="25"/>
      <c r="N20" s="186"/>
      <c r="O20" s="271" t="s">
        <v>290</v>
      </c>
      <c r="P20" s="271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35">
      <c r="A21" s="214">
        <v>0</v>
      </c>
      <c r="B21" s="217" t="s">
        <v>132</v>
      </c>
      <c r="C21" s="216" t="s">
        <v>132</v>
      </c>
      <c r="D21" s="215" t="s">
        <v>132</v>
      </c>
      <c r="E21" s="210"/>
      <c r="F21" s="218"/>
      <c r="G21" s="231"/>
      <c r="H21" s="25"/>
      <c r="I21" s="188" t="str">
        <f>B44</f>
        <v>Chêne pubescent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384.16721357761594</v>
      </c>
      <c r="K21" s="193">
        <f>'Données projet'!D10</f>
        <v>0.58194999999999997</v>
      </c>
      <c r="L21" s="192">
        <f t="shared" ref="L21:L29" si="0">K21*J21</f>
        <v>223.56610994149358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5">
      <c r="A22" s="195">
        <f>'Données projet'!A36</f>
        <v>42</v>
      </c>
      <c r="B22" s="196">
        <f>'Données projet'!D36</f>
        <v>30</v>
      </c>
      <c r="C22" s="210">
        <v>15</v>
      </c>
      <c r="D22" s="197">
        <f>B22*C22</f>
        <v>450</v>
      </c>
      <c r="E22" s="210"/>
      <c r="F22" s="218"/>
      <c r="G22" s="227"/>
      <c r="H22" s="25"/>
      <c r="I22" s="188" t="str">
        <f>B70</f>
        <v>Erable champêtre</v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434.94424988918729</v>
      </c>
      <c r="K22" s="193">
        <f>'Données projet'!D11</f>
        <v>0.28815000000000002</v>
      </c>
      <c r="L22" s="192">
        <f t="shared" si="0"/>
        <v>125.32918560556932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5">
      <c r="A23" s="195">
        <f>'Données projet'!A37</f>
        <v>48</v>
      </c>
      <c r="B23" s="196">
        <f>'Données projet'!D37</f>
        <v>28</v>
      </c>
      <c r="C23" s="210">
        <v>15</v>
      </c>
      <c r="D23" s="197">
        <f t="shared" ref="D23:D41" si="1">B23*C23</f>
        <v>420</v>
      </c>
      <c r="E23" s="210"/>
      <c r="F23" s="219"/>
      <c r="G23" s="227"/>
      <c r="H23" s="25"/>
      <c r="I23" s="188" t="str">
        <f>B96</f>
        <v>Alisier torminal</v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434.94424988918729</v>
      </c>
      <c r="K23" s="193">
        <f>'Données projet'!D12</f>
        <v>0.28815000000000002</v>
      </c>
      <c r="L23" s="192">
        <f t="shared" si="0"/>
        <v>125.32918560556932</v>
      </c>
      <c r="M23" s="226"/>
      <c r="N23" s="198"/>
      <c r="O23" s="308" t="s">
        <v>261</v>
      </c>
      <c r="P23" s="308"/>
      <c r="Q23" s="308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35">
      <c r="A24" s="195">
        <f>'Données projet'!A38</f>
        <v>56</v>
      </c>
      <c r="B24" s="196">
        <f>'Données projet'!D38</f>
        <v>36</v>
      </c>
      <c r="C24" s="210">
        <v>15</v>
      </c>
      <c r="D24" s="197">
        <f t="shared" si="1"/>
        <v>540</v>
      </c>
      <c r="E24" s="210"/>
      <c r="F24" s="219"/>
      <c r="G24" s="227"/>
      <c r="H24" s="25"/>
      <c r="I24" s="188" t="str">
        <f>B122</f>
        <v>Peuplier Raspalje</v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4528.0036884705833</v>
      </c>
      <c r="K24" s="193">
        <f>'Données projet'!D13</f>
        <v>1.0000500000000001</v>
      </c>
      <c r="L24" s="192">
        <f t="shared" si="0"/>
        <v>4528.2300886550074</v>
      </c>
      <c r="M24" s="25"/>
      <c r="N24" s="186"/>
      <c r="O24" s="306" t="s">
        <v>286</v>
      </c>
      <c r="P24" s="306"/>
      <c r="Q24" s="306"/>
      <c r="R24" s="306"/>
      <c r="S24" s="306"/>
      <c r="T24" s="209">
        <v>0</v>
      </c>
      <c r="U24" s="25" t="s">
        <v>314</v>
      </c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35">
      <c r="A25" s="195">
        <f>'Données projet'!A39</f>
        <v>64</v>
      </c>
      <c r="B25" s="196">
        <f>'Données projet'!D39</f>
        <v>41</v>
      </c>
      <c r="C25" s="210">
        <v>30</v>
      </c>
      <c r="D25" s="197">
        <f t="shared" si="1"/>
        <v>1230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0"/>
        <v>0</v>
      </c>
      <c r="M25" s="25"/>
      <c r="N25" s="186"/>
      <c r="O25" s="307" t="s">
        <v>258</v>
      </c>
      <c r="P25" s="307"/>
      <c r="Q25" s="307"/>
      <c r="R25" s="307"/>
      <c r="S25" s="307"/>
      <c r="T25" s="307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5">
      <c r="A26" s="195">
        <f>'Données projet'!A40</f>
        <v>72</v>
      </c>
      <c r="B26" s="196">
        <f>'Données projet'!D40</f>
        <v>32</v>
      </c>
      <c r="C26" s="210">
        <v>30</v>
      </c>
      <c r="D26" s="197">
        <f t="shared" si="1"/>
        <v>960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07"/>
      <c r="P26" s="307"/>
      <c r="Q26" s="307"/>
      <c r="R26" s="307"/>
      <c r="S26" s="307"/>
      <c r="T26" s="307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35">
      <c r="A27" s="195">
        <f>'Données projet'!A41</f>
        <v>81</v>
      </c>
      <c r="B27" s="196">
        <f>'Données projet'!D41</f>
        <v>31</v>
      </c>
      <c r="C27" s="210">
        <v>30</v>
      </c>
      <c r="D27" s="197">
        <f t="shared" si="1"/>
        <v>930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35">
      <c r="A28" s="195">
        <f>'Données projet'!A42</f>
        <v>90</v>
      </c>
      <c r="B28" s="196">
        <f>'Données projet'!D42</f>
        <v>30</v>
      </c>
      <c r="C28" s="210">
        <v>40</v>
      </c>
      <c r="D28" s="197">
        <f t="shared" si="1"/>
        <v>1200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0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5">
      <c r="A29" s="195">
        <f>'Données projet'!A43</f>
        <v>102</v>
      </c>
      <c r="B29" s="196">
        <f>'Données projet'!D43</f>
        <v>41</v>
      </c>
      <c r="C29" s="210">
        <v>40</v>
      </c>
      <c r="D29" s="197">
        <f t="shared" si="1"/>
        <v>1640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5">
      <c r="A30" s="195">
        <f>'Données projet'!A44</f>
        <v>114</v>
      </c>
      <c r="B30" s="196">
        <f>'Données projet'!D44</f>
        <v>37</v>
      </c>
      <c r="C30" s="210">
        <v>40</v>
      </c>
      <c r="D30" s="197">
        <f t="shared" si="1"/>
        <v>1480</v>
      </c>
      <c r="E30" s="210"/>
      <c r="F30" s="219"/>
      <c r="G30" s="227"/>
      <c r="H30" s="25"/>
      <c r="M30" s="5"/>
      <c r="N30" s="186"/>
      <c r="O30" s="301" t="s">
        <v>260</v>
      </c>
      <c r="P30" s="301"/>
      <c r="Q30" s="302"/>
      <c r="R30" s="211">
        <f>IF(R29+1&lt;=MIN('Données projet'!$E$9:$E$18),R29+1,"STOP")</f>
        <v>1</v>
      </c>
      <c r="S30" s="201">
        <f t="shared" ref="S30:S46" si="2">$T$24/(1+$J$6)^R30</f>
        <v>0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5">
      <c r="A31" s="195">
        <f>'Données projet'!A45</f>
        <v>126</v>
      </c>
      <c r="B31" s="196">
        <f>'Données projet'!D45</f>
        <v>244</v>
      </c>
      <c r="C31" s="210">
        <v>80</v>
      </c>
      <c r="D31" s="197">
        <f t="shared" si="1"/>
        <v>19520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1" t="s">
        <v>297</v>
      </c>
      <c r="P31" s="301"/>
      <c r="Q31" s="302"/>
      <c r="R31" s="211">
        <f>IF(R30+1&lt;=MIN('Données projet'!$E$9:$E$18),R30+1,"STOP")</f>
        <v>2</v>
      </c>
      <c r="S31" s="201">
        <f t="shared" si="2"/>
        <v>0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5">
      <c r="A32" s="195">
        <f>'Données projet'!A46</f>
        <v>0</v>
      </c>
      <c r="B32" s="196">
        <f>'Données projet'!D46</f>
        <v>0</v>
      </c>
      <c r="C32" s="210"/>
      <c r="D32" s="197">
        <f t="shared" si="1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0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5">
      <c r="A33" s="195">
        <f>'Données projet'!A47</f>
        <v>0</v>
      </c>
      <c r="B33" s="196">
        <f>'Données projet'!D47</f>
        <v>0</v>
      </c>
      <c r="C33" s="210"/>
      <c r="D33" s="197">
        <f t="shared" si="1"/>
        <v>0</v>
      </c>
      <c r="E33" s="210"/>
      <c r="F33" s="219"/>
      <c r="G33" s="227"/>
      <c r="H33" s="25"/>
      <c r="I33" s="188" t="s">
        <v>265</v>
      </c>
      <c r="J33" s="311">
        <f>SUM(L20:L29) - (J12/(1+J6)^I12 + J13/(1+J6)^I13 + J14/(1+J6)^I14 + J15/(1+J6)^I15 + J16/(1+J6)^I16 + J9/(1+J6)^I9)*'Données projet'!C5</f>
        <v>-32217.64727572319</v>
      </c>
      <c r="K33" s="311"/>
      <c r="L33" s="311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0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5">
      <c r="A34" s="195">
        <f>'Données projet'!A48</f>
        <v>0</v>
      </c>
      <c r="B34" s="196">
        <f>'Données projet'!D48</f>
        <v>0</v>
      </c>
      <c r="C34" s="210"/>
      <c r="D34" s="197">
        <f t="shared" si="1"/>
        <v>0</v>
      </c>
      <c r="E34" s="210"/>
      <c r="F34" s="219"/>
      <c r="G34" s="227"/>
      <c r="H34" s="25"/>
      <c r="I34" s="188" t="s">
        <v>262</v>
      </c>
      <c r="J34" s="312">
        <f ca="1">'Scénario référence'!$B$8*$P$28*'Données projet'!$C$5+('Scénario référence'!B9+'Scénario référence'!B10+'Scénario référence'!F8+'Scénario référence'!F9)*$Q$20/(1+J6)^Q17*'Données projet'!$C$5</f>
        <v>0</v>
      </c>
      <c r="K34" s="312"/>
      <c r="L34" s="312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0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5">
      <c r="A35" s="195">
        <f>'Données projet'!A49</f>
        <v>0</v>
      </c>
      <c r="B35" s="196">
        <f>'Données projet'!D49</f>
        <v>0</v>
      </c>
      <c r="C35" s="210"/>
      <c r="D35" s="197">
        <f t="shared" si="1"/>
        <v>0</v>
      </c>
      <c r="E35" s="210"/>
      <c r="F35" s="219"/>
      <c r="G35" s="227"/>
      <c r="H35" s="25"/>
      <c r="I35" s="202" t="s">
        <v>267</v>
      </c>
      <c r="J35" s="313">
        <f ca="1">J33-J34</f>
        <v>-32217.64727572319</v>
      </c>
      <c r="K35" s="313"/>
      <c r="L35" s="313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0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5">
      <c r="A36" s="195">
        <f>'Données projet'!A50</f>
        <v>0</v>
      </c>
      <c r="B36" s="196">
        <f>'Données projet'!D50</f>
        <v>0</v>
      </c>
      <c r="C36" s="210"/>
      <c r="D36" s="197">
        <f t="shared" si="1"/>
        <v>0</v>
      </c>
      <c r="E36" s="210"/>
      <c r="F36" s="219"/>
      <c r="G36" s="227"/>
      <c r="H36" s="25"/>
      <c r="I36" s="202" t="s">
        <v>266</v>
      </c>
      <c r="J36" s="310" t="str">
        <f ca="1">IF(J35&lt;0,"Votre projet est additionnel","Votre projet n'est pas additionnel")</f>
        <v>Votre projet est additionnel</v>
      </c>
      <c r="K36" s="310"/>
      <c r="L36" s="310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0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5">
      <c r="A37" s="195">
        <f>'Données projet'!A51</f>
        <v>0</v>
      </c>
      <c r="B37" s="196">
        <f>'Données projet'!D51</f>
        <v>0</v>
      </c>
      <c r="C37" s="210"/>
      <c r="D37" s="197">
        <f t="shared" si="1"/>
        <v>0</v>
      </c>
      <c r="E37" s="210"/>
      <c r="F37" s="219"/>
      <c r="G37" s="227"/>
      <c r="H37" s="25"/>
      <c r="I37" s="314" t="s">
        <v>268</v>
      </c>
      <c r="J37" s="314"/>
      <c r="K37" s="314"/>
      <c r="L37" s="314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0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5">
      <c r="A38" s="195">
        <f>'Données projet'!A52</f>
        <v>0</v>
      </c>
      <c r="B38" s="196">
        <f>'Données projet'!D52</f>
        <v>0</v>
      </c>
      <c r="C38" s="210"/>
      <c r="D38" s="197">
        <f t="shared" si="1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5">
      <c r="A39" s="195">
        <f>'Données projet'!A53</f>
        <v>0</v>
      </c>
      <c r="B39" s="196">
        <f>'Données projet'!D53</f>
        <v>0</v>
      </c>
      <c r="C39" s="210"/>
      <c r="D39" s="197">
        <f t="shared" si="1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5">
      <c r="A40" s="195">
        <f>'Données projet'!A54</f>
        <v>0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35">
      <c r="A41" s="195">
        <f>'Données projet'!A55</f>
        <v>0</v>
      </c>
      <c r="B41" s="196">
        <f>'Données projet'!D55</f>
        <v>0</v>
      </c>
      <c r="C41" s="210"/>
      <c r="D41" s="197">
        <f t="shared" si="1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0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35">
      <c r="A42" s="203"/>
      <c r="B42" s="203"/>
      <c r="C42" s="203"/>
      <c r="D42" s="203"/>
      <c r="E42" s="305" t="s">
        <v>293</v>
      </c>
      <c r="F42" s="309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0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35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5">
      <c r="A44" s="49" t="s">
        <v>166</v>
      </c>
      <c r="B44" s="189" t="str">
        <f>IF('Données projet'!$B$10="","",'Données projet'!$B$10)</f>
        <v>Chêne pubescent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35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35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35">
      <c r="A47" s="214">
        <v>0</v>
      </c>
      <c r="B47" s="217" t="s">
        <v>132</v>
      </c>
      <c r="C47" s="216" t="s">
        <v>132</v>
      </c>
      <c r="D47" s="215" t="s">
        <v>132</v>
      </c>
      <c r="E47" s="210"/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5">
      <c r="A48" s="195">
        <f>'Données projet'!A62</f>
        <v>42</v>
      </c>
      <c r="B48" s="196">
        <f>'Données projet'!D62</f>
        <v>30</v>
      </c>
      <c r="C48" s="210">
        <v>15</v>
      </c>
      <c r="D48" s="194">
        <f>B48*C48</f>
        <v>450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 t="str">
        <f>IF(R47+1&lt;=MIN('Données projet'!$E$9:$E$18),R47+1,"STOP")</f>
        <v>STOP</v>
      </c>
      <c r="S48" s="201" t="e">
        <f t="shared" si="3"/>
        <v>#VALUE!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5">
      <c r="A49" s="195">
        <f>'Données projet'!A63</f>
        <v>48</v>
      </c>
      <c r="B49" s="196">
        <f>'Données projet'!D63</f>
        <v>28</v>
      </c>
      <c r="C49" s="210">
        <v>15</v>
      </c>
      <c r="D49" s="194">
        <f t="shared" ref="D49:D67" si="4">B49*C49</f>
        <v>420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 t="e">
        <f>IF(R48+1&lt;=MIN('Données projet'!$E$9:$E$18),R48+1,"STOP")</f>
        <v>#VALUE!</v>
      </c>
      <c r="S49" s="201" t="e">
        <f t="shared" si="3"/>
        <v>#VALUE!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5">
      <c r="A50" s="195">
        <f>'Données projet'!A64</f>
        <v>56</v>
      </c>
      <c r="B50" s="196">
        <f>'Données projet'!D64</f>
        <v>36</v>
      </c>
      <c r="C50" s="210">
        <v>15</v>
      </c>
      <c r="D50" s="194">
        <f t="shared" si="4"/>
        <v>540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 t="e">
        <f>IF(R49+1&lt;=MIN('Données projet'!$E$9:$E$18),R49+1,"STOP")</f>
        <v>#VALUE!</v>
      </c>
      <c r="S50" s="201" t="e">
        <f t="shared" si="3"/>
        <v>#VALUE!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5">
      <c r="A51" s="195">
        <f>'Données projet'!A65</f>
        <v>64</v>
      </c>
      <c r="B51" s="196">
        <f>'Données projet'!D65</f>
        <v>41</v>
      </c>
      <c r="C51" s="210">
        <v>30</v>
      </c>
      <c r="D51" s="194">
        <f t="shared" si="4"/>
        <v>1230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 t="e">
        <f>IF(R50+1&lt;=MIN('Données projet'!$E$9:$E$18),R50+1,"STOP")</f>
        <v>#VALUE!</v>
      </c>
      <c r="S51" s="201" t="e">
        <f t="shared" si="3"/>
        <v>#VALUE!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5">
      <c r="A52" s="195">
        <f>'Données projet'!A66</f>
        <v>72</v>
      </c>
      <c r="B52" s="196">
        <f>'Données projet'!D66</f>
        <v>32</v>
      </c>
      <c r="C52" s="210">
        <v>30</v>
      </c>
      <c r="D52" s="194">
        <f t="shared" si="4"/>
        <v>960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 t="e">
        <f>IF(R51+1&lt;=MIN('Données projet'!$E$9:$E$18),R51+1,"STOP")</f>
        <v>#VALUE!</v>
      </c>
      <c r="S52" s="201" t="e">
        <f t="shared" si="3"/>
        <v>#VALUE!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5">
      <c r="A53" s="195">
        <f>'Données projet'!A67</f>
        <v>81</v>
      </c>
      <c r="B53" s="196">
        <f>'Données projet'!D67</f>
        <v>31</v>
      </c>
      <c r="C53" s="210">
        <v>30</v>
      </c>
      <c r="D53" s="194">
        <f t="shared" si="4"/>
        <v>930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 t="e">
        <f>IF(R52+1&lt;=MIN('Données projet'!$E$9:$E$18),R52+1,"STOP")</f>
        <v>#VALUE!</v>
      </c>
      <c r="S53" s="201" t="e">
        <f t="shared" si="3"/>
        <v>#VALUE!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5">
      <c r="A54" s="195">
        <f>'Données projet'!A68</f>
        <v>90</v>
      </c>
      <c r="B54" s="196">
        <f>'Données projet'!D68</f>
        <v>30</v>
      </c>
      <c r="C54" s="210">
        <v>40</v>
      </c>
      <c r="D54" s="194">
        <f t="shared" si="4"/>
        <v>1200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 t="e">
        <f>IF(R53+1&lt;=MIN('Données projet'!$E$9:$E$18),R53+1,"STOP")</f>
        <v>#VALUE!</v>
      </c>
      <c r="S54" s="201" t="e">
        <f t="shared" si="3"/>
        <v>#VALUE!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5">
      <c r="A55" s="195">
        <f>'Données projet'!A69</f>
        <v>102</v>
      </c>
      <c r="B55" s="196">
        <f>'Données projet'!D69</f>
        <v>41</v>
      </c>
      <c r="C55" s="210">
        <v>40</v>
      </c>
      <c r="D55" s="194">
        <f t="shared" si="4"/>
        <v>1640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 t="e">
        <f>IF(R54+1&lt;=MIN('Données projet'!$E$9:$E$18),R54+1,"STOP")</f>
        <v>#VALUE!</v>
      </c>
      <c r="S55" s="201" t="e">
        <f t="shared" si="3"/>
        <v>#VALUE!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5">
      <c r="A56" s="195">
        <f>'Données projet'!A70</f>
        <v>114</v>
      </c>
      <c r="B56" s="196">
        <f>'Données projet'!D70</f>
        <v>37</v>
      </c>
      <c r="C56" s="210">
        <v>40</v>
      </c>
      <c r="D56" s="194">
        <f t="shared" si="4"/>
        <v>1480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 t="e">
        <f>IF(R55+1&lt;=MIN('Données projet'!$E$9:$E$18),R55+1,"STOP")</f>
        <v>#VALUE!</v>
      </c>
      <c r="S56" s="201" t="e">
        <f t="shared" si="3"/>
        <v>#VALUE!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5">
      <c r="A57" s="195">
        <f>'Données projet'!A71</f>
        <v>126</v>
      </c>
      <c r="B57" s="196">
        <f>'Données projet'!D71</f>
        <v>244</v>
      </c>
      <c r="C57" s="210">
        <v>80</v>
      </c>
      <c r="D57" s="194">
        <f t="shared" si="4"/>
        <v>19520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 t="e">
        <f>IF(R56+1&lt;=MIN('Données projet'!$E$9:$E$18),R56+1,"STOP")</f>
        <v>#VALUE!</v>
      </c>
      <c r="S57" s="201" t="e">
        <f t="shared" si="3"/>
        <v>#VALUE!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5">
      <c r="A58" s="195">
        <f>'Données projet'!A72</f>
        <v>0</v>
      </c>
      <c r="B58" s="196">
        <f>'Données projet'!D72</f>
        <v>0</v>
      </c>
      <c r="C58" s="208"/>
      <c r="D58" s="194">
        <f t="shared" si="4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 t="e">
        <f>IF(R57+1&lt;=MIN('Données projet'!$E$9:$E$18),R57+1,"STOP")</f>
        <v>#VALUE!</v>
      </c>
      <c r="S58" s="201" t="e">
        <f t="shared" si="3"/>
        <v>#VALUE!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5">
      <c r="A59" s="195">
        <f>'Données projet'!A73</f>
        <v>0</v>
      </c>
      <c r="B59" s="196">
        <f>'Données projet'!D73</f>
        <v>0</v>
      </c>
      <c r="C59" s="208"/>
      <c r="D59" s="194">
        <f t="shared" si="4"/>
        <v>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 t="e">
        <f>IF(R58+1&lt;=MIN('Données projet'!$E$9:$E$18),R58+1,"STOP")</f>
        <v>#VALUE!</v>
      </c>
      <c r="S59" s="201" t="e">
        <f t="shared" si="3"/>
        <v>#VALUE!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5">
      <c r="A60" s="195">
        <f>'Données projet'!A74</f>
        <v>0</v>
      </c>
      <c r="B60" s="196">
        <f>'Données projet'!D74</f>
        <v>0</v>
      </c>
      <c r="C60" s="208"/>
      <c r="D60" s="194">
        <f t="shared" si="4"/>
        <v>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 t="e">
        <f>IF(R59+1&lt;=MIN('Données projet'!$E$9:$E$18),R59+1,"STOP")</f>
        <v>#VALUE!</v>
      </c>
      <c r="S60" s="201" t="e">
        <f t="shared" si="3"/>
        <v>#VALUE!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5">
      <c r="A61" s="195">
        <f>'Données projet'!A75</f>
        <v>0</v>
      </c>
      <c r="B61" s="196">
        <f>'Données projet'!D75</f>
        <v>0</v>
      </c>
      <c r="C61" s="208"/>
      <c r="D61" s="194">
        <f t="shared" si="4"/>
        <v>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 t="e">
        <f>IF(R60+1&lt;=MIN('Données projet'!$E$9:$E$18),R60+1,"STOP")</f>
        <v>#VALUE!</v>
      </c>
      <c r="S61" s="201" t="e">
        <f t="shared" ref="S61:S72" si="5">$T$24/(1+$J$6)^R61</f>
        <v>#VALUE!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5">
      <c r="A62" s="195">
        <f>'Données projet'!A76</f>
        <v>0</v>
      </c>
      <c r="B62" s="196">
        <f>'Données projet'!D76</f>
        <v>0</v>
      </c>
      <c r="C62" s="208"/>
      <c r="D62" s="194">
        <f t="shared" si="4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 t="e">
        <f>IF(R61+1&lt;=MIN('Données projet'!$E$9:$E$18),R61+1,"STOP")</f>
        <v>#VALUE!</v>
      </c>
      <c r="S62" s="201" t="e">
        <f t="shared" si="5"/>
        <v>#VALUE!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5">
      <c r="A63" s="195">
        <f>'Données projet'!A77</f>
        <v>0</v>
      </c>
      <c r="B63" s="196">
        <f>'Données projet'!D77</f>
        <v>0</v>
      </c>
      <c r="C63" s="208"/>
      <c r="D63" s="194">
        <f t="shared" si="4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 t="e">
        <f>IF(R62+1&lt;=MIN('Données projet'!$E$9:$E$18),R62+1,"STOP")</f>
        <v>#VALUE!</v>
      </c>
      <c r="S63" s="201" t="e">
        <f t="shared" si="5"/>
        <v>#VALUE!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5">
      <c r="A64" s="195">
        <f>'Données projet'!A78</f>
        <v>0</v>
      </c>
      <c r="B64" s="196">
        <f>'Données projet'!D78</f>
        <v>0</v>
      </c>
      <c r="C64" s="208"/>
      <c r="D64" s="194">
        <f t="shared" si="4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 t="e">
        <f>IF(R63+1&lt;=MIN('Données projet'!$E$9:$E$18),R63+1,"STOP")</f>
        <v>#VALUE!</v>
      </c>
      <c r="S64" s="201" t="e">
        <f t="shared" si="5"/>
        <v>#VALUE!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5">
      <c r="A65" s="195">
        <f>'Données projet'!A79</f>
        <v>0</v>
      </c>
      <c r="B65" s="196">
        <f>'Données projet'!D79</f>
        <v>0</v>
      </c>
      <c r="C65" s="208"/>
      <c r="D65" s="194">
        <f t="shared" si="4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 t="e">
        <f>IF(R64+1&lt;=MIN('Données projet'!$E$9:$E$18),R64+1,"STOP")</f>
        <v>#VALUE!</v>
      </c>
      <c r="S65" s="201" t="e">
        <f t="shared" si="5"/>
        <v>#VALUE!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5">
      <c r="A66" s="195">
        <f>'Données projet'!A80</f>
        <v>0</v>
      </c>
      <c r="B66" s="196">
        <f>'Données projet'!D80</f>
        <v>0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 t="e">
        <f>IF(R65+1&lt;=MIN('Données projet'!$E$9:$E$18),R65+1,"STOP")</f>
        <v>#VALUE!</v>
      </c>
      <c r="S66" s="201" t="e">
        <f t="shared" si="5"/>
        <v>#VALUE!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5">
      <c r="A67" s="195">
        <f>'Données projet'!A81</f>
        <v>0</v>
      </c>
      <c r="B67" s="196">
        <f>'Données projet'!D81</f>
        <v>0</v>
      </c>
      <c r="C67" s="208"/>
      <c r="D67" s="194">
        <f t="shared" si="4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 t="e">
        <f>IF(R66+1&lt;=MIN('Données projet'!$E$9:$E$18),R66+1,"STOP")</f>
        <v>#VALUE!</v>
      </c>
      <c r="S67" s="201" t="e">
        <f t="shared" si="5"/>
        <v>#VALUE!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5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 t="e">
        <f>IF(R67+1&lt;=MIN('Données projet'!$E$9:$E$18),R67+1,"STOP")</f>
        <v>#VALUE!</v>
      </c>
      <c r="S68" s="201" t="e">
        <f t="shared" si="5"/>
        <v>#VALUE!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5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 t="e">
        <f>IF(R68+1&lt;=MIN('Données projet'!$E$9:$E$18),R68+1,"STOP")</f>
        <v>#VALUE!</v>
      </c>
      <c r="S69" s="201" t="e">
        <f t="shared" si="5"/>
        <v>#VALUE!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35">
      <c r="A70" s="49" t="s">
        <v>167</v>
      </c>
      <c r="B70" s="189" t="str">
        <f>IF('Données projet'!B11="","",'Données projet'!B11)</f>
        <v>Erable champêtre</v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 t="e">
        <f>IF(R69+1&lt;=MIN('Données projet'!$E$9:$E$18),R69+1,"STOP")</f>
        <v>#VALUE!</v>
      </c>
      <c r="S70" s="201" t="e">
        <f t="shared" si="5"/>
        <v>#VALUE!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5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 t="e">
        <f>IF(R70+1&lt;=MIN('Données projet'!$E$9:$E$18),R70+1,"STOP")</f>
        <v>#VALUE!</v>
      </c>
      <c r="S71" s="201" t="e">
        <f t="shared" si="5"/>
        <v>#VALUE!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35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 t="e">
        <f>IF(R71+1&lt;=MIN('Données projet'!$E$9:$E$18),R71+1,"STOP")</f>
        <v>#VALUE!</v>
      </c>
      <c r="S72" s="201" t="e">
        <f t="shared" si="5"/>
        <v>#VALUE!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35">
      <c r="A73" s="214">
        <v>0</v>
      </c>
      <c r="B73" s="217" t="s">
        <v>132</v>
      </c>
      <c r="C73" s="216" t="s">
        <v>132</v>
      </c>
      <c r="D73" s="215" t="s">
        <v>132</v>
      </c>
      <c r="E73" s="210"/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 t="e">
        <f>IF(R72+1&lt;=MIN('Données projet'!$E$9:$E$18),R72+1,"STOP")</f>
        <v>#VALUE!</v>
      </c>
      <c r="S73" s="201" t="e">
        <f t="shared" ref="S73:S92" si="6">$T$24/(1+$J$6)^R73</f>
        <v>#VALUE!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5">
      <c r="A74" s="195">
        <f>'Données projet'!A88</f>
        <v>42</v>
      </c>
      <c r="B74" s="196">
        <f>'Données projet'!D88</f>
        <v>30</v>
      </c>
      <c r="C74" s="210">
        <v>15</v>
      </c>
      <c r="D74" s="194">
        <f>B74*C74</f>
        <v>450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 t="e">
        <f>IF(R73+1&lt;=MIN('Données projet'!$E$9:$E$18),R73+1,"STOP")</f>
        <v>#VALUE!</v>
      </c>
      <c r="S74" s="201" t="e">
        <f t="shared" si="6"/>
        <v>#VALUE!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5">
      <c r="A75" s="195">
        <f>'Données projet'!A89</f>
        <v>48</v>
      </c>
      <c r="B75" s="196">
        <f>'Données projet'!D89</f>
        <v>28</v>
      </c>
      <c r="C75" s="210">
        <v>15</v>
      </c>
      <c r="D75" s="194">
        <f t="shared" ref="D75:D93" si="7">B75*C75</f>
        <v>420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 t="e">
        <f>IF(R74+1&lt;=MIN('Données projet'!$E$9:$E$18),R74+1,"STOP")</f>
        <v>#VALUE!</v>
      </c>
      <c r="S75" s="201" t="e">
        <f t="shared" si="6"/>
        <v>#VALUE!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5">
      <c r="A76" s="195">
        <f>'Données projet'!A90</f>
        <v>56</v>
      </c>
      <c r="B76" s="196">
        <f>'Données projet'!D90</f>
        <v>36</v>
      </c>
      <c r="C76" s="210">
        <v>15</v>
      </c>
      <c r="D76" s="194">
        <f t="shared" si="7"/>
        <v>540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 t="e">
        <f>IF(R75+1&lt;=MIN('Données projet'!$E$9:$E$18),R75+1,"STOP")</f>
        <v>#VALUE!</v>
      </c>
      <c r="S76" s="201" t="e">
        <f t="shared" si="6"/>
        <v>#VALUE!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5">
      <c r="A77" s="195">
        <f>'Données projet'!A91</f>
        <v>64</v>
      </c>
      <c r="B77" s="196">
        <f>'Données projet'!D91</f>
        <v>41</v>
      </c>
      <c r="C77" s="210">
        <v>30</v>
      </c>
      <c r="D77" s="194">
        <f t="shared" si="7"/>
        <v>1230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 t="e">
        <f>IF(R76+1&lt;=MIN('Données projet'!$E$9:$E$18),R76+1,"STOP")</f>
        <v>#VALUE!</v>
      </c>
      <c r="S77" s="201" t="e">
        <f t="shared" si="6"/>
        <v>#VALUE!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5">
      <c r="A78" s="195">
        <f>'Données projet'!A92</f>
        <v>72</v>
      </c>
      <c r="B78" s="196">
        <f>'Données projet'!D92</f>
        <v>32</v>
      </c>
      <c r="C78" s="210">
        <v>30</v>
      </c>
      <c r="D78" s="194">
        <f t="shared" si="7"/>
        <v>960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 t="e">
        <f>IF(R77+1&lt;=MIN('Données projet'!$E$9:$E$18),R77+1,"STOP")</f>
        <v>#VALUE!</v>
      </c>
      <c r="S78" s="201" t="e">
        <f t="shared" si="6"/>
        <v>#VALUE!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5">
      <c r="A79" s="195">
        <f>'Données projet'!A93</f>
        <v>81</v>
      </c>
      <c r="B79" s="196">
        <f>'Données projet'!D93</f>
        <v>31</v>
      </c>
      <c r="C79" s="210">
        <v>30</v>
      </c>
      <c r="D79" s="194">
        <f t="shared" si="7"/>
        <v>930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 t="e">
        <f>IF(R78+1&lt;=MIN('Données projet'!$E$9:$E$18),R78+1,"STOP")</f>
        <v>#VALUE!</v>
      </c>
      <c r="S79" s="201" t="e">
        <f t="shared" si="6"/>
        <v>#VALUE!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5">
      <c r="A80" s="195">
        <f>'Données projet'!A94</f>
        <v>90</v>
      </c>
      <c r="B80" s="196">
        <f>'Données projet'!D94</f>
        <v>30</v>
      </c>
      <c r="C80" s="210">
        <v>40</v>
      </c>
      <c r="D80" s="194">
        <f t="shared" si="7"/>
        <v>1200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 t="e">
        <f>IF(R79+1&lt;=MIN('Données projet'!$E$9:$E$18),R79+1,"STOP")</f>
        <v>#VALUE!</v>
      </c>
      <c r="S80" s="201" t="e">
        <f t="shared" si="6"/>
        <v>#VALUE!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5">
      <c r="A81" s="195">
        <f>'Données projet'!A95</f>
        <v>102</v>
      </c>
      <c r="B81" s="196">
        <f>'Données projet'!D95</f>
        <v>41</v>
      </c>
      <c r="C81" s="210">
        <v>40</v>
      </c>
      <c r="D81" s="194">
        <f t="shared" si="7"/>
        <v>1640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 t="e">
        <f>IF(R80+1&lt;=MIN('Données projet'!$E$9:$E$18),R80+1,"STOP")</f>
        <v>#VALUE!</v>
      </c>
      <c r="S81" s="201" t="e">
        <f t="shared" si="6"/>
        <v>#VALUE!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5">
      <c r="A82" s="195">
        <f>'Données projet'!A96</f>
        <v>114</v>
      </c>
      <c r="B82" s="196">
        <f>'Données projet'!D96</f>
        <v>37</v>
      </c>
      <c r="C82" s="210">
        <v>40</v>
      </c>
      <c r="D82" s="194">
        <f t="shared" si="7"/>
        <v>1480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 t="e">
        <f>IF(R81+1&lt;=MIN('Données projet'!$E$9:$E$18),R81+1,"STOP")</f>
        <v>#VALUE!</v>
      </c>
      <c r="S82" s="201" t="e">
        <f t="shared" si="6"/>
        <v>#VALUE!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5">
      <c r="A83" s="195">
        <f>'Données projet'!A97</f>
        <v>126</v>
      </c>
      <c r="B83" s="196">
        <f>'Données projet'!D97</f>
        <v>244</v>
      </c>
      <c r="C83" s="210">
        <v>80</v>
      </c>
      <c r="D83" s="194">
        <f t="shared" si="7"/>
        <v>19520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 t="e">
        <f>IF(R82+1&lt;=MIN('Données projet'!$E$9:$E$18),R82+1,"STOP")</f>
        <v>#VALUE!</v>
      </c>
      <c r="S83" s="201" t="e">
        <f t="shared" si="6"/>
        <v>#VALUE!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5">
      <c r="A84" s="195">
        <f>'Données projet'!A98</f>
        <v>0</v>
      </c>
      <c r="B84" s="196">
        <f>'Données projet'!D98</f>
        <v>0</v>
      </c>
      <c r="C84" s="208"/>
      <c r="D84" s="194">
        <f t="shared" si="7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 t="e">
        <f>IF(R83+1&lt;=MIN('Données projet'!$E$9:$E$18),R83+1,"STOP")</f>
        <v>#VALUE!</v>
      </c>
      <c r="S84" s="201" t="e">
        <f t="shared" si="6"/>
        <v>#VALUE!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5">
      <c r="A85" s="195">
        <f>'Données projet'!A99</f>
        <v>0</v>
      </c>
      <c r="B85" s="196">
        <f>'Données projet'!D99</f>
        <v>0</v>
      </c>
      <c r="C85" s="208"/>
      <c r="D85" s="194">
        <f t="shared" si="7"/>
        <v>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 t="e">
        <f>IF(R84+1&lt;=MIN('Données projet'!$E$9:$E$18),R84+1,"STOP")</f>
        <v>#VALUE!</v>
      </c>
      <c r="S85" s="201" t="e">
        <f t="shared" si="6"/>
        <v>#VALUE!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5">
      <c r="A86" s="195">
        <f>'Données projet'!A100</f>
        <v>0</v>
      </c>
      <c r="B86" s="196">
        <f>'Données projet'!D100</f>
        <v>0</v>
      </c>
      <c r="C86" s="208"/>
      <c r="D86" s="194">
        <f t="shared" si="7"/>
        <v>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 t="e">
        <f>IF(R85+1&lt;=MIN('Données projet'!$E$9:$E$18),R85+1,"STOP")</f>
        <v>#VALUE!</v>
      </c>
      <c r="S86" s="201" t="e">
        <f t="shared" si="6"/>
        <v>#VALUE!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5">
      <c r="A87" s="195">
        <f>'Données projet'!A101</f>
        <v>0</v>
      </c>
      <c r="B87" s="196">
        <f>'Données projet'!D101</f>
        <v>0</v>
      </c>
      <c r="C87" s="208"/>
      <c r="D87" s="194">
        <f t="shared" si="7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 t="e">
        <f>IF(R86+1&lt;=MIN('Données projet'!$E$9:$E$18),R86+1,"STOP")</f>
        <v>#VALUE!</v>
      </c>
      <c r="S87" s="201" t="e">
        <f t="shared" si="6"/>
        <v>#VALUE!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5">
      <c r="A88" s="195">
        <f>'Données projet'!A102</f>
        <v>0</v>
      </c>
      <c r="B88" s="196">
        <f>'Données projet'!D102</f>
        <v>0</v>
      </c>
      <c r="C88" s="208"/>
      <c r="D88" s="194">
        <f t="shared" si="7"/>
        <v>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 t="e">
        <f>IF(R87+1&lt;=MIN('Données projet'!$E$9:$E$18),R87+1,"STOP")</f>
        <v>#VALUE!</v>
      </c>
      <c r="S88" s="201" t="e">
        <f t="shared" si="6"/>
        <v>#VALUE!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5">
      <c r="A89" s="195">
        <f>'Données projet'!A103</f>
        <v>0</v>
      </c>
      <c r="B89" s="196">
        <f>'Données projet'!D103</f>
        <v>0</v>
      </c>
      <c r="C89" s="208"/>
      <c r="D89" s="194">
        <f t="shared" si="7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 t="e">
        <f>IF(R88+1&lt;=MIN('Données projet'!$E$9:$E$18),R88+1,"STOP")</f>
        <v>#VALUE!</v>
      </c>
      <c r="S89" s="201" t="e">
        <f t="shared" si="6"/>
        <v>#VALUE!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5">
      <c r="A90" s="195">
        <f>'Données projet'!A104</f>
        <v>0</v>
      </c>
      <c r="B90" s="196">
        <f>'Données projet'!D104</f>
        <v>0</v>
      </c>
      <c r="C90" s="208"/>
      <c r="D90" s="194">
        <f t="shared" si="7"/>
        <v>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 t="e">
        <f>IF(R89+1&lt;=MIN('Données projet'!$E$9:$E$18),R89+1,"STOP")</f>
        <v>#VALUE!</v>
      </c>
      <c r="S90" s="201" t="e">
        <f t="shared" si="6"/>
        <v>#VALUE!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5">
      <c r="A91" s="195">
        <f>'Données projet'!A105</f>
        <v>0</v>
      </c>
      <c r="B91" s="196">
        <f>'Données projet'!D105</f>
        <v>0</v>
      </c>
      <c r="C91" s="208"/>
      <c r="D91" s="194">
        <f t="shared" si="7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 t="e">
        <f>IF(R90+1&lt;=MIN('Données projet'!$E$9:$E$18),R90+1,"STOP")</f>
        <v>#VALUE!</v>
      </c>
      <c r="S91" s="201" t="e">
        <f t="shared" si="6"/>
        <v>#VALUE!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5">
      <c r="A92" s="195">
        <f>'Données projet'!A106</f>
        <v>0</v>
      </c>
      <c r="B92" s="196">
        <f>'Données projet'!D106</f>
        <v>0</v>
      </c>
      <c r="C92" s="208"/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 t="e">
        <f>IF(R91+1&lt;=MIN('Données projet'!$E$9:$E$18),R91+1,"STOP")</f>
        <v>#VALUE!</v>
      </c>
      <c r="S92" s="201" t="e">
        <f t="shared" si="6"/>
        <v>#VALUE!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5">
      <c r="A93" s="195">
        <f>'Données projet'!A107</f>
        <v>0</v>
      </c>
      <c r="B93" s="196">
        <f>'Données projet'!D107</f>
        <v>0</v>
      </c>
      <c r="C93" s="208"/>
      <c r="D93" s="194">
        <f t="shared" si="7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 t="e">
        <f>IF(R92+1&lt;=MIN('Données projet'!$E$9:$E$18),R92+1,"STOP")</f>
        <v>#VALUE!</v>
      </c>
      <c r="S93" s="201" t="e">
        <f t="shared" ref="S93:S98" si="8">$T$24/(1+$J$6)^R93</f>
        <v>#VALUE!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5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 t="e">
        <f>IF(R93+1&lt;=MIN('Données projet'!$E$9:$E$18),R93+1,"STOP")</f>
        <v>#VALUE!</v>
      </c>
      <c r="S94" s="201" t="e">
        <f t="shared" si="8"/>
        <v>#VALUE!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35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 t="e">
        <f>IF(R94+1&lt;=MIN('Données projet'!$E$9:$E$18),R94+1,"STOP")</f>
        <v>#VALUE!</v>
      </c>
      <c r="S95" s="201" t="e">
        <f t="shared" si="8"/>
        <v>#VALUE!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5">
      <c r="A96" s="49" t="s">
        <v>168</v>
      </c>
      <c r="B96" s="189" t="str">
        <f>IF('Données projet'!B12="","",'Données projet'!B12)</f>
        <v>Alisier torminal</v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 t="e">
        <f>IF(R95+1&lt;=MIN('Données projet'!$E$9:$E$18),R95+1,"STOP")</f>
        <v>#VALUE!</v>
      </c>
      <c r="S96" s="201" t="e">
        <f t="shared" si="8"/>
        <v>#VALUE!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5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 t="e">
        <f>IF(R96+1&lt;=MIN('Données projet'!$E$9:$E$18),R96+1,"STOP")</f>
        <v>#VALUE!</v>
      </c>
      <c r="S97" s="201" t="e">
        <f t="shared" si="8"/>
        <v>#VALUE!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35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 t="e">
        <f>IF(R97+1&lt;=MIN('Données projet'!$E$9:$E$18),R97+1,"STOP")</f>
        <v>#VALUE!</v>
      </c>
      <c r="S98" s="201" t="e">
        <f t="shared" si="8"/>
        <v>#VALUE!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35">
      <c r="A99" s="214">
        <v>0</v>
      </c>
      <c r="B99" s="217" t="s">
        <v>132</v>
      </c>
      <c r="C99" s="216"/>
      <c r="D99" s="215" t="s">
        <v>132</v>
      </c>
      <c r="E99" s="210"/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 t="e">
        <f>IF(R98+1&lt;=MIN('Données projet'!$E$9:$E$18),R98+1,"STOP")</f>
        <v>#VALUE!</v>
      </c>
      <c r="S99" s="201" t="e">
        <f t="shared" ref="S99:S128" si="9">$T$24/(1+$J$6)^R99</f>
        <v>#VALUE!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5">
      <c r="A100" s="195">
        <f>'Données projet'!A114</f>
        <v>42</v>
      </c>
      <c r="B100" s="196">
        <f>'Données projet'!D114</f>
        <v>30</v>
      </c>
      <c r="C100" s="210">
        <v>15</v>
      </c>
      <c r="D100" s="194">
        <f>B100*C100</f>
        <v>450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 t="e">
        <f>IF(R99+1&lt;=MIN('Données projet'!$E$9:$E$18),R99+1,"STOP")</f>
        <v>#VALUE!</v>
      </c>
      <c r="S100" s="201" t="e">
        <f t="shared" si="9"/>
        <v>#VALUE!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5">
      <c r="A101" s="195">
        <f>'Données projet'!A115</f>
        <v>48</v>
      </c>
      <c r="B101" s="196">
        <f>'Données projet'!D115</f>
        <v>28</v>
      </c>
      <c r="C101" s="210">
        <v>15</v>
      </c>
      <c r="D101" s="194">
        <f t="shared" ref="D101:D119" si="10">B101*C101</f>
        <v>420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 t="e">
        <f>IF(R100+1&lt;=MIN('Données projet'!$E$9:$E$18),R100+1,"STOP")</f>
        <v>#VALUE!</v>
      </c>
      <c r="S101" s="201" t="e">
        <f t="shared" si="9"/>
        <v>#VALUE!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5">
      <c r="A102" s="195">
        <f>'Données projet'!A116</f>
        <v>56</v>
      </c>
      <c r="B102" s="196">
        <f>'Données projet'!D116</f>
        <v>36</v>
      </c>
      <c r="C102" s="210">
        <v>15</v>
      </c>
      <c r="D102" s="194">
        <f t="shared" si="10"/>
        <v>540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 t="e">
        <f>IF(R101+1&lt;=MIN('Données projet'!$E$9:$E$18),R101+1,"STOP")</f>
        <v>#VALUE!</v>
      </c>
      <c r="S102" s="201" t="e">
        <f t="shared" si="9"/>
        <v>#VALUE!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5">
      <c r="A103" s="195">
        <f>'Données projet'!A117</f>
        <v>64</v>
      </c>
      <c r="B103" s="196">
        <f>'Données projet'!D117</f>
        <v>41</v>
      </c>
      <c r="C103" s="210">
        <v>30</v>
      </c>
      <c r="D103" s="194">
        <f t="shared" si="10"/>
        <v>1230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 t="e">
        <f>IF(R102+1&lt;=MIN('Données projet'!$E$9:$E$18),R102+1,"STOP")</f>
        <v>#VALUE!</v>
      </c>
      <c r="S103" s="201" t="e">
        <f t="shared" si="9"/>
        <v>#VALUE!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5">
      <c r="A104" s="195">
        <f>'Données projet'!A118</f>
        <v>72</v>
      </c>
      <c r="B104" s="196">
        <f>'Données projet'!D118</f>
        <v>32</v>
      </c>
      <c r="C104" s="210">
        <v>30</v>
      </c>
      <c r="D104" s="194">
        <f t="shared" si="10"/>
        <v>960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 t="e">
        <f>IF(R103+1&lt;=MIN('Données projet'!$E$9:$E$18),R103+1,"STOP")</f>
        <v>#VALUE!</v>
      </c>
      <c r="S104" s="201" t="e">
        <f t="shared" si="9"/>
        <v>#VALUE!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5">
      <c r="A105" s="195">
        <f>'Données projet'!A119</f>
        <v>81</v>
      </c>
      <c r="B105" s="196">
        <f>'Données projet'!D119</f>
        <v>31</v>
      </c>
      <c r="C105" s="210">
        <v>30</v>
      </c>
      <c r="D105" s="194">
        <f t="shared" si="10"/>
        <v>930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 t="e">
        <f>IF(R104+1&lt;=MIN('Données projet'!$E$9:$E$18),R104+1,"STOP")</f>
        <v>#VALUE!</v>
      </c>
      <c r="S105" s="201" t="e">
        <f t="shared" si="9"/>
        <v>#VALUE!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5">
      <c r="A106" s="195">
        <f>'Données projet'!A120</f>
        <v>90</v>
      </c>
      <c r="B106" s="196">
        <f>'Données projet'!D120</f>
        <v>30</v>
      </c>
      <c r="C106" s="210">
        <v>40</v>
      </c>
      <c r="D106" s="194">
        <f t="shared" si="10"/>
        <v>1200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 t="e">
        <f>IF(R105+1&lt;=MIN('Données projet'!$E$9:$E$18),R105+1,"STOP")</f>
        <v>#VALUE!</v>
      </c>
      <c r="S106" s="201" t="e">
        <f t="shared" si="9"/>
        <v>#VALUE!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5">
      <c r="A107" s="195">
        <f>'Données projet'!A121</f>
        <v>102</v>
      </c>
      <c r="B107" s="196">
        <f>'Données projet'!D121</f>
        <v>41</v>
      </c>
      <c r="C107" s="210">
        <v>40</v>
      </c>
      <c r="D107" s="194">
        <f t="shared" si="10"/>
        <v>1640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 t="e">
        <f>IF(R106+1&lt;=MIN('Données projet'!$E$9:$E$18),R106+1,"STOP")</f>
        <v>#VALUE!</v>
      </c>
      <c r="S107" s="201" t="e">
        <f t="shared" si="9"/>
        <v>#VALUE!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5">
      <c r="A108" s="195">
        <f>'Données projet'!A122</f>
        <v>114</v>
      </c>
      <c r="B108" s="196">
        <f>'Données projet'!D122</f>
        <v>37</v>
      </c>
      <c r="C108" s="210">
        <v>40</v>
      </c>
      <c r="D108" s="194">
        <f t="shared" si="10"/>
        <v>1480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 t="e">
        <f>IF(R107+1&lt;=MIN('Données projet'!$E$9:$E$18),R107+1,"STOP")</f>
        <v>#VALUE!</v>
      </c>
      <c r="S108" s="201" t="e">
        <f t="shared" si="9"/>
        <v>#VALUE!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5">
      <c r="A109" s="195">
        <f>'Données projet'!A123</f>
        <v>126</v>
      </c>
      <c r="B109" s="196">
        <f>'Données projet'!D123</f>
        <v>244</v>
      </c>
      <c r="C109" s="210">
        <v>80</v>
      </c>
      <c r="D109" s="194">
        <f t="shared" si="10"/>
        <v>19520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 t="e">
        <f>IF(R108+1&lt;=MIN('Données projet'!$E$9:$E$18),R108+1,"STOP")</f>
        <v>#VALUE!</v>
      </c>
      <c r="S109" s="201" t="e">
        <f t="shared" si="9"/>
        <v>#VALUE!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5">
      <c r="A110" s="195">
        <f>'Données projet'!A124</f>
        <v>0</v>
      </c>
      <c r="B110" s="196">
        <f>'Données projet'!D124</f>
        <v>0</v>
      </c>
      <c r="C110" s="208"/>
      <c r="D110" s="194">
        <f t="shared" si="10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 t="e">
        <f>IF(R109+1&lt;=MIN('Données projet'!$E$9:$E$18),R109+1,"STOP")</f>
        <v>#VALUE!</v>
      </c>
      <c r="S110" s="201" t="e">
        <f t="shared" si="9"/>
        <v>#VALUE!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5">
      <c r="A111" s="195">
        <f>'Données projet'!A125</f>
        <v>0</v>
      </c>
      <c r="B111" s="196">
        <f>'Données projet'!D125</f>
        <v>0</v>
      </c>
      <c r="C111" s="208"/>
      <c r="D111" s="194">
        <f t="shared" si="10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 t="e">
        <f>IF(R110+1&lt;=MIN('Données projet'!$E$9:$E$18),R110+1,"STOP")</f>
        <v>#VALUE!</v>
      </c>
      <c r="S111" s="201" t="e">
        <f t="shared" si="9"/>
        <v>#VALUE!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5">
      <c r="A112" s="195">
        <f>'Données projet'!A126</f>
        <v>0</v>
      </c>
      <c r="B112" s="196">
        <f>'Données projet'!D126</f>
        <v>0</v>
      </c>
      <c r="C112" s="208"/>
      <c r="D112" s="194">
        <f t="shared" si="10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 t="e">
        <f>IF(R111+1&lt;=MIN('Données projet'!$E$9:$E$18),R111+1,"STOP")</f>
        <v>#VALUE!</v>
      </c>
      <c r="S112" s="201" t="e">
        <f t="shared" si="9"/>
        <v>#VALUE!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35">
      <c r="A113" s="195">
        <f>'Données projet'!A127</f>
        <v>0</v>
      </c>
      <c r="B113" s="196">
        <f>'Données projet'!D127</f>
        <v>0</v>
      </c>
      <c r="C113" s="208"/>
      <c r="D113" s="194">
        <f t="shared" si="10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35">
      <c r="A114" s="195">
        <f>'Données projet'!A128</f>
        <v>0</v>
      </c>
      <c r="B114" s="196">
        <f>'Données projet'!D128</f>
        <v>0</v>
      </c>
      <c r="C114" s="208"/>
      <c r="D114" s="194">
        <f t="shared" si="10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35">
      <c r="A115" s="195">
        <f>'Données projet'!A129</f>
        <v>0</v>
      </c>
      <c r="B115" s="196">
        <f>'Données projet'!D129</f>
        <v>0</v>
      </c>
      <c r="C115" s="208"/>
      <c r="D115" s="194">
        <f t="shared" si="10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35">
      <c r="A116" s="195">
        <f>'Données projet'!A130</f>
        <v>0</v>
      </c>
      <c r="B116" s="196">
        <f>'Données projet'!D130</f>
        <v>0</v>
      </c>
      <c r="C116" s="208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35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35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35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35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35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35">
      <c r="A122" s="49" t="s">
        <v>169</v>
      </c>
      <c r="B122" s="189" t="str">
        <f>IF('Données projet'!B13="","",'Données projet'!B13)</f>
        <v>Peuplier Raspalje</v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35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35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35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35">
      <c r="A126" s="45">
        <f>'Données projet'!A140</f>
        <v>18</v>
      </c>
      <c r="B126" s="190">
        <f>'Données projet'!D140</f>
        <v>200</v>
      </c>
      <c r="C126" s="208">
        <v>50</v>
      </c>
      <c r="D126" s="197">
        <f>B126*C126</f>
        <v>10000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35">
      <c r="A127" s="45">
        <f>'Données projet'!A141</f>
        <v>0</v>
      </c>
      <c r="B127" s="190">
        <f>'Données projet'!D141</f>
        <v>0</v>
      </c>
      <c r="C127" s="208"/>
      <c r="D127" s="197">
        <f t="shared" ref="D127:D145" si="11">B127*C127</f>
        <v>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35">
      <c r="A128" s="45">
        <f>'Données projet'!A142</f>
        <v>0</v>
      </c>
      <c r="B128" s="190">
        <f>'Données projet'!D142</f>
        <v>0</v>
      </c>
      <c r="C128" s="208"/>
      <c r="D128" s="197">
        <f t="shared" si="11"/>
        <v>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35">
      <c r="A129" s="45">
        <f>'Données projet'!A143</f>
        <v>0</v>
      </c>
      <c r="B129" s="190">
        <f>'Données projet'!D143</f>
        <v>0</v>
      </c>
      <c r="C129" s="208"/>
      <c r="D129" s="197">
        <f t="shared" si="11"/>
        <v>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35">
      <c r="A130" s="45">
        <f>'Données projet'!A144</f>
        <v>0</v>
      </c>
      <c r="B130" s="190">
        <f>'Données projet'!D144</f>
        <v>0</v>
      </c>
      <c r="C130" s="208"/>
      <c r="D130" s="197">
        <f t="shared" si="11"/>
        <v>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35">
      <c r="A131" s="45">
        <f>'Données projet'!A145</f>
        <v>0</v>
      </c>
      <c r="B131" s="190">
        <f>'Données projet'!D145</f>
        <v>0</v>
      </c>
      <c r="C131" s="208"/>
      <c r="D131" s="197">
        <f t="shared" si="11"/>
        <v>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35">
      <c r="A132" s="45">
        <f>'Données projet'!A146</f>
        <v>0</v>
      </c>
      <c r="B132" s="190">
        <f>'Données projet'!D146</f>
        <v>0</v>
      </c>
      <c r="C132" s="208"/>
      <c r="D132" s="197">
        <f t="shared" si="11"/>
        <v>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35">
      <c r="A133" s="45">
        <f>'Données projet'!A147</f>
        <v>0</v>
      </c>
      <c r="B133" s="190">
        <f>'Données projet'!D147</f>
        <v>0</v>
      </c>
      <c r="C133" s="208"/>
      <c r="D133" s="197">
        <f t="shared" si="11"/>
        <v>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5">
      <c r="A134" s="45">
        <f>'Données projet'!A148</f>
        <v>0</v>
      </c>
      <c r="B134" s="190">
        <f>'Données projet'!D148</f>
        <v>0</v>
      </c>
      <c r="C134" s="208"/>
      <c r="D134" s="197">
        <f t="shared" si="11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5">
      <c r="A135" s="45">
        <f>'Données projet'!A149</f>
        <v>0</v>
      </c>
      <c r="B135" s="190">
        <f>'Données projet'!D149</f>
        <v>0</v>
      </c>
      <c r="C135" s="208"/>
      <c r="D135" s="197">
        <f t="shared" si="11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5">
      <c r="A136" s="45">
        <f>'Données projet'!A150</f>
        <v>0</v>
      </c>
      <c r="B136" s="190">
        <f>'Données projet'!D150</f>
        <v>0</v>
      </c>
      <c r="C136" s="208"/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5">
      <c r="A137" s="45">
        <f>'Données projet'!A151</f>
        <v>0</v>
      </c>
      <c r="B137" s="190">
        <f>'Données projet'!D151</f>
        <v>0</v>
      </c>
      <c r="C137" s="208"/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5">
      <c r="A138" s="45">
        <f>'Données projet'!A152</f>
        <v>0</v>
      </c>
      <c r="B138" s="190">
        <f>'Données projet'!D152</f>
        <v>0</v>
      </c>
      <c r="C138" s="208"/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5">
      <c r="A139" s="45">
        <f>'Données projet'!A153</f>
        <v>0</v>
      </c>
      <c r="B139" s="190">
        <f>'Données projet'!D153</f>
        <v>0</v>
      </c>
      <c r="C139" s="208"/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5">
      <c r="A140" s="45">
        <f>'Données projet'!A154</f>
        <v>0</v>
      </c>
      <c r="B140" s="190">
        <f>'Données projet'!D154</f>
        <v>0</v>
      </c>
      <c r="C140" s="208"/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5">
      <c r="A141" s="45">
        <f>'Données projet'!A155</f>
        <v>0</v>
      </c>
      <c r="B141" s="190">
        <f>'Données projet'!D155</f>
        <v>0</v>
      </c>
      <c r="C141" s="208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5">
      <c r="A142" s="45">
        <f>'Données projet'!A156</f>
        <v>0</v>
      </c>
      <c r="B142" s="190">
        <f>'Données projet'!D156</f>
        <v>0</v>
      </c>
      <c r="C142" s="208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5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5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5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5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5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5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5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5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5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5">
      <c r="A152" s="195">
        <f>'Données projet'!A166</f>
        <v>0</v>
      </c>
      <c r="B152" s="196">
        <f>'Données projet'!D166</f>
        <v>0</v>
      </c>
      <c r="C152" s="210"/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5">
      <c r="A153" s="195">
        <f>'Données projet'!A167</f>
        <v>0</v>
      </c>
      <c r="B153" s="196">
        <f>'Données projet'!D167</f>
        <v>0</v>
      </c>
      <c r="C153" s="210"/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5">
      <c r="A154" s="195">
        <f>'Données projet'!A168</f>
        <v>0</v>
      </c>
      <c r="B154" s="196">
        <f>'Données projet'!D168</f>
        <v>0</v>
      </c>
      <c r="C154" s="210"/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5">
      <c r="A155" s="195">
        <f>'Données projet'!A169</f>
        <v>0</v>
      </c>
      <c r="B155" s="196">
        <f>'Données projet'!D169</f>
        <v>0</v>
      </c>
      <c r="C155" s="210"/>
      <c r="D155" s="194">
        <f t="shared" si="12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5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5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5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5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5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5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5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5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5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5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5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5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5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5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5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5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5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5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5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5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5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5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5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5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5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5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5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5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5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5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5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5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5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5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5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5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5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5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5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5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5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5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5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5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5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5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5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5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5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5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5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5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5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5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5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5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5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5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5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5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5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5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5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5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5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5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5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5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5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5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5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5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5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5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5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5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5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5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5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5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5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5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5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5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5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5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5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5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5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5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5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5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5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5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5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5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5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5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5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5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5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35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35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35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35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35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35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35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35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35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35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35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35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35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35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35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35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5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5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5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5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5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5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5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5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5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5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5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5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5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5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5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5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5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5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5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5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5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5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5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5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5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5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5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5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5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5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5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5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5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5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5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5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5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5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5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5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5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5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5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5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5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5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5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5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5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5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5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5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5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5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5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5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5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5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5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5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5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5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5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5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5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5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5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5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5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5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5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5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5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5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5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5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5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5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5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5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5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5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5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5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5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5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5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5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5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5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5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5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5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5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5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5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5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5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5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5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5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5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5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5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5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5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5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5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5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5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5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5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35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35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35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35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35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35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35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35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35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35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35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35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35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35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35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35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5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5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5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5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5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5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5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5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5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5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5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5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5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5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5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5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5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5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5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5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5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5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5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5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5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5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5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5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5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5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5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5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5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5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5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5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5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5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5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5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5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5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5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5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5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5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5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5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5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5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5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5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5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5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5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5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5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5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5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5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5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5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5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5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5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5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5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5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5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5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5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5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5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5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5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5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5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5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5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5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5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5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5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5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5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5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5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5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5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5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35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35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35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35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35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35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35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35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35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35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E42:F42"/>
    <mergeCell ref="J36:L36"/>
    <mergeCell ref="J33:L33"/>
    <mergeCell ref="J34:L34"/>
    <mergeCell ref="J35:L35"/>
    <mergeCell ref="I37:L37"/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2021-10-20T13:17:44Z</dcterms:modified>
</cp:coreProperties>
</file>