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Castets\Projet Viellenave-de-Navarrenx_072021\"/>
    </mc:Choice>
  </mc:AlternateContent>
  <bookViews>
    <workbookView xWindow="0" yWindow="0" windowWidth="19200" windowHeight="73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0" i="6"/>
  <c r="E79" i="6"/>
  <c r="E48" i="6"/>
  <c r="E17" i="6"/>
  <c r="I21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5" i="2" l="1" a="1"/>
  <c r="BC185" i="2" s="1"/>
  <c r="BC151" i="2" a="1"/>
  <c r="BC151" i="2" s="1"/>
  <c r="BC84" i="2" a="1"/>
  <c r="BC84" i="2" s="1"/>
  <c r="BC192" i="2" a="1"/>
  <c r="BC192" i="2" s="1"/>
  <c r="BC130" i="2" a="1"/>
  <c r="BC130" i="2" s="1"/>
  <c r="BC117" i="2" a="1"/>
  <c r="BC117" i="2" s="1"/>
  <c r="BC38" i="2" a="1"/>
  <c r="BC38" i="2" s="1"/>
  <c r="BC181" i="2" a="1"/>
  <c r="BC181" i="2" s="1"/>
  <c r="BC7" i="2" a="1"/>
  <c r="BC7" i="2" s="1"/>
  <c r="BC55" i="2" a="1"/>
  <c r="BC55" i="2" s="1"/>
  <c r="BC31" i="2" a="1"/>
  <c r="BC31" i="2" s="1"/>
  <c r="BC65" i="2" a="1"/>
  <c r="BC65" i="2" s="1"/>
  <c r="BC82" i="2" a="1"/>
  <c r="BC82" i="2" s="1"/>
  <c r="BC32" i="2" a="1"/>
  <c r="BC32" i="2" s="1"/>
  <c r="BC68" i="2" a="1"/>
  <c r="BC68" i="2" s="1"/>
  <c r="BC164" i="2" a="1"/>
  <c r="BC164" i="2" s="1"/>
  <c r="BC34" i="2" a="1"/>
  <c r="BC34" i="2" s="1"/>
  <c r="BC114" i="2" a="1"/>
  <c r="BC114" i="2" s="1"/>
  <c r="BC126" i="2" a="1"/>
  <c r="BC126" i="2" s="1"/>
  <c r="BC47" i="2" a="1"/>
  <c r="BC47" i="2" s="1"/>
  <c r="BC58" i="2" a="1"/>
  <c r="BC58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AN66" i="2" s="1"/>
  <c r="BS68" i="2"/>
  <c r="BE70" i="2"/>
  <c r="BF69" i="2"/>
  <c r="BG69" i="2" s="1"/>
  <c r="BH69" i="2" s="1"/>
  <c r="AN143" i="2" l="1"/>
  <c r="AN43" i="2"/>
  <c r="AN124" i="2"/>
  <c r="AN32" i="2"/>
  <c r="AN47" i="2"/>
  <c r="AN107" i="2"/>
  <c r="AN153" i="2"/>
  <c r="AN100" i="2"/>
  <c r="AN176" i="2"/>
  <c r="AN130" i="2"/>
  <c r="AN144" i="2"/>
  <c r="AN170" i="2"/>
  <c r="AN182" i="2"/>
  <c r="AN30" i="2"/>
  <c r="AN151" i="2"/>
  <c r="AN192" i="2"/>
  <c r="AN156" i="2"/>
  <c r="AN62" i="2"/>
  <c r="AN11" i="2"/>
  <c r="AN131" i="2"/>
  <c r="AN37" i="2"/>
  <c r="AN36" i="2"/>
  <c r="AN140" i="2"/>
  <c r="AN20" i="2"/>
  <c r="AN137" i="2"/>
  <c r="AN27" i="2"/>
  <c r="AN141" i="2"/>
  <c r="AN108" i="2"/>
  <c r="AN33" i="2"/>
  <c r="AN122" i="2"/>
  <c r="AN190" i="2"/>
  <c r="AN120" i="2"/>
  <c r="AN63" i="2"/>
  <c r="AN17" i="2"/>
  <c r="AN49" i="2"/>
  <c r="AN179" i="2"/>
  <c r="AN101" i="2"/>
  <c r="AN64" i="2"/>
  <c r="AN150" i="2"/>
  <c r="AN7" i="2"/>
  <c r="AN26" i="2"/>
  <c r="AN52" i="2"/>
  <c r="AN112" i="2"/>
  <c r="AN97" i="2"/>
  <c r="AN159" i="2"/>
  <c r="AN202" i="2"/>
  <c r="AN23" i="2"/>
  <c r="AN40" i="2"/>
  <c r="AN69" i="2"/>
  <c r="AN28" i="2"/>
  <c r="AN139" i="2"/>
  <c r="AN118" i="2"/>
  <c r="AN67" i="2"/>
  <c r="AN42" i="2"/>
  <c r="AN68" i="2"/>
  <c r="AN80" i="2"/>
  <c r="AN87" i="2"/>
  <c r="AN25" i="2"/>
  <c r="AN121" i="2"/>
  <c r="AN84" i="2"/>
  <c r="AN183" i="2"/>
  <c r="AN175" i="2"/>
  <c r="AN155" i="2"/>
  <c r="AN194" i="2"/>
  <c r="AN136" i="2"/>
  <c r="AN188" i="2"/>
  <c r="AN178" i="2"/>
  <c r="AN18" i="2"/>
  <c r="AN57" i="2"/>
  <c r="AN168" i="2"/>
  <c r="AN50" i="2"/>
  <c r="AN126" i="2"/>
  <c r="AN48" i="2"/>
  <c r="AN29" i="2"/>
  <c r="AN162" i="2"/>
  <c r="AN180" i="2"/>
  <c r="AN142" i="2"/>
  <c r="AN24" i="2"/>
  <c r="AN10" i="2"/>
  <c r="AN96" i="2"/>
  <c r="AN149" i="2"/>
  <c r="AN200" i="2"/>
  <c r="AN35" i="2"/>
  <c r="AN73" i="2"/>
  <c r="AN105" i="2"/>
  <c r="AN86" i="2"/>
  <c r="AN132" i="2"/>
  <c r="AN165" i="2"/>
  <c r="AN167" i="2"/>
  <c r="AN148" i="2"/>
  <c r="AN44" i="2"/>
  <c r="AN161" i="2"/>
  <c r="AN133" i="2"/>
  <c r="AN75" i="2"/>
  <c r="AN177" i="2"/>
  <c r="AN172" i="2"/>
  <c r="AN117" i="2"/>
  <c r="AN74" i="2"/>
  <c r="AN3" i="2"/>
  <c r="C7" i="4" s="1"/>
  <c r="E7" i="4" s="1"/>
  <c r="F7" i="4" s="1"/>
  <c r="G7" i="4" s="1"/>
  <c r="L7" i="4" s="1"/>
  <c r="AN38" i="2"/>
  <c r="AN184" i="2"/>
  <c r="AN4" i="2"/>
  <c r="AN14" i="2"/>
  <c r="AN81" i="2"/>
  <c r="AN203" i="2"/>
  <c r="AN171" i="2"/>
  <c r="AN77" i="2"/>
  <c r="AN8" i="2"/>
  <c r="AN198" i="2"/>
  <c r="AN127" i="2"/>
  <c r="AN98" i="2"/>
  <c r="AN181" i="2"/>
  <c r="AN129" i="2"/>
  <c r="AN113" i="2"/>
  <c r="AN54" i="2"/>
  <c r="AN125" i="2"/>
  <c r="AN109" i="2"/>
  <c r="AN158" i="2"/>
  <c r="AN103" i="2"/>
  <c r="AN104" i="2"/>
  <c r="AN119" i="2"/>
  <c r="AN21" i="2"/>
  <c r="AN147" i="2"/>
  <c r="AN164" i="2"/>
  <c r="AN13" i="2"/>
  <c r="AN41" i="2"/>
  <c r="AN116" i="2"/>
  <c r="AN134" i="2"/>
  <c r="AN163" i="2"/>
  <c r="AN145" i="2"/>
  <c r="AN85" i="2"/>
  <c r="AN6" i="2"/>
  <c r="AN196" i="2"/>
  <c r="AN94" i="2"/>
  <c r="AN185" i="2"/>
  <c r="AN169" i="2"/>
  <c r="AN5" i="2"/>
  <c r="AN15" i="2"/>
  <c r="AN22" i="2"/>
  <c r="AN70" i="2"/>
  <c r="AN89" i="2"/>
  <c r="AN114" i="2"/>
  <c r="AN51" i="2"/>
  <c r="AN61" i="2"/>
  <c r="AN187" i="2"/>
  <c r="AN9" i="2"/>
  <c r="AN92" i="2"/>
  <c r="AN45" i="2"/>
  <c r="AN160" i="2"/>
  <c r="AN106" i="2"/>
  <c r="AN195" i="2"/>
  <c r="AN19" i="2"/>
  <c r="AN197" i="2"/>
  <c r="AN46" i="2"/>
  <c r="AN152" i="2"/>
  <c r="AN56" i="2"/>
  <c r="AN53" i="2"/>
  <c r="AN12" i="2"/>
  <c r="AN58" i="2"/>
  <c r="AN93" i="2"/>
  <c r="AN189" i="2"/>
  <c r="AN102" i="2"/>
  <c r="AN59" i="2"/>
  <c r="AN154" i="2"/>
  <c r="AN91" i="2"/>
  <c r="AN72" i="2"/>
  <c r="AN76" i="2"/>
  <c r="AN111" i="2"/>
  <c r="AN173" i="2"/>
  <c r="AN199" i="2"/>
  <c r="AN135" i="2"/>
  <c r="AN128" i="2"/>
  <c r="AN95" i="2"/>
  <c r="AN82" i="2"/>
  <c r="AN83" i="2"/>
  <c r="AN39" i="2"/>
  <c r="AN193" i="2"/>
  <c r="AN88" i="2"/>
  <c r="AN78" i="2"/>
  <c r="AN191" i="2"/>
  <c r="AN186" i="2"/>
  <c r="AN110" i="2"/>
  <c r="AN71" i="2"/>
  <c r="AN90" i="2"/>
  <c r="AN115" i="2"/>
  <c r="AN31" i="2"/>
  <c r="AN157" i="2"/>
  <c r="AN60" i="2"/>
  <c r="AN201" i="2"/>
  <c r="AN174" i="2"/>
  <c r="AN34" i="2"/>
  <c r="AN99" i="2"/>
  <c r="AN55" i="2"/>
  <c r="AN123" i="2"/>
  <c r="AN138" i="2"/>
  <c r="AN79" i="2"/>
  <c r="AN16" i="2"/>
  <c r="AN146" i="2"/>
  <c r="AN65" i="2"/>
  <c r="AN166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<sst xmlns="http://schemas.openxmlformats.org/spreadsheetml/2006/main" count="1173" uniqueCount="325">
  <si>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</si>
  <si>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</si>
  <si>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</si>
  <si>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</si>
  <si>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</si>
  <si>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</si>
  <si>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</si>
  <si>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</si>
  <si>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</si>
  <si>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</si>
  <si>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</si>
  <si>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</si>
  <si>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</si>
  <si>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</si>
  <si>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</si>
  <si>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</si>
  <si>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</si>
  <si>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</si>
  <si>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</si>
  <si>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</si>
  <si>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</si>
  <si>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</si>
  <si>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</si>
  <si>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</si>
  <si>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</si>
  <si>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</si>
  <si>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</si>
  <si>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</si>
  <si>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</si>
  <si>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</si>
  <si>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</si>
  <si>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</si>
  <si>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</si>
  <si>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</si>
  <si>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</si>
  <si>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</si>
  <si>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</si>
  <si>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</si>
  <si>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</si>
  <si>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</si>
  <si>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</si>
  <si>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</si>
  <si>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</si>
  <si>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</si>
  <si>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</si>
  <si>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</si>
  <si>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</si>
  <si>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</si>
  <si>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</si>
  <si>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</si>
  <si>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</si>
  <si>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</si>
  <si>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</si>
  <si>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</si>
  <si>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</si>
  <si>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</si>
  <si>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</si>
  <si>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</si>
  <si>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</si>
  <si>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</si>
  <si>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</si>
  <si>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</si>
  <si>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</si>
  <si>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</si>
  <si>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</si>
  <si>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</si>
  <si>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</si>
  <si>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</si>
  <si>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</si>
  <si>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</si>
  <si>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</si>
  <si>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</si>
  <si>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</si>
  <si>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</si>
  <si>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</si>
  <si>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</si>
  <si>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</si>
  <si>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</si>
  <si>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</si>
  <si>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</si>
  <si>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</si>
  <si>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</si>
  <si>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</si>
  <si>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</si>
  <si>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</si>
  <si>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</si>
  <si>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</si>
  <si>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</si>
  <si>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</si>
  <si>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</si>
  <si>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</si>
  <si>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</si>
  <si>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</si>
  <si>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</si>
  <si>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</si>
  <si>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</si>
  <si>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</si>
  <si>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</si>
  <si>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</si>
  <si>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</si>
  <si>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</si>
  <si>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</si>
  <si>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</si>
  <si>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</si>
  <si>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</si>
  <si>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</si>
  <si>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</si>
  <si>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</si>
  <si>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</si>
  <si>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</si>
  <si>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</si>
  <si>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</si>
  <si>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</si>
  <si>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</si>
  <si>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</si>
  <si>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</si>
  <si>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</si>
  <si>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</si>
  <si>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</si>
  <si>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</si>
  <si>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</si>
  <si>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</si>
  <si>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</si>
  <si>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</si>
  <si>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</si>
  <si>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</si>
  <si>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</si>
  <si>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</si>
  <si>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</si>
  <si>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</si>
  <si>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</si>
  <si>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</si>
  <si>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</si>
  <si>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</si>
  <si>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</si>
  <si>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</si>
  <si>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</si>
  <si>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</si>
  <si>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</si>
  <si>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</si>
  <si>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</si>
  <si>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</si>
  <si>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</si>
  <si>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</si>
  <si>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</si>
  <si>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</si>
  <si>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</si>
  <si>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</si>
  <si>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</si>
  <si>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</si>
  <si>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</si>
  <si>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</si>
  <si>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</si>
  <si>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</si>
  <si>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</si>
  <si>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</si>
  <si>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</si>
  <si>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</si>
  <si>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</si>
  <si>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</si>
  <si>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</si>
  <si>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</si>
  <si>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</si>
  <si>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</si>
  <si>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</si>
  <si>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</si>
  <si>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</si>
  <si>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</si>
  <si>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</si>
  <si>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</si>
  <si>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</si>
  <si>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</si>
  <si>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</si>
  <si>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</si>
  <si>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</si>
  <si>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</si>
  <si>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</si>
  <si>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</si>
  <si>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</si>
  <si>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</si>
  <si>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</si>
  <si>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</si>
  <si>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</si>
  <si>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</si>
  <si>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</si>
  <si>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</si>
  <si>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</si>
  <si>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</si>
  <si>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</si>
  <si>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</si>
  <si>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</si>
  <si>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</si>
  <si>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</si>
  <si>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</si>
  <si>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</si>
  <si>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</si>
  <si>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</si>
  <si>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</si>
  <si>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</si>
  <si>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</si>
  <si>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</si>
  <si>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</si>
  <si>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</si>
  <si>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</si>
  <si>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</si>
  <si>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</si>
  <si>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</si>
  <si>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</si>
  <si>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</si>
  <si>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</si>
  <si>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</si>
  <si>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</si>
  <si>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</si>
  <si>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</si>
  <si>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</si>
  <si>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</si>
  <si>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</si>
  <si>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</si>
  <si>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</si>
  <si>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</si>
  <si>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</si>
  <si>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</si>
  <si>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</si>
  <si>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</si>
  <si>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</si>
  <si>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</si>
  <si>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</si>
  <si>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</si>
  <si>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</si>
  <si>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</si>
  <si>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</si>
  <si>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</si>
  <si>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</si>
  <si>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</si>
  <si>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</si>
  <si>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</si>
  <si>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</si>
  <si>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</si>
  <si>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</si>
  <si>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</si>
  <si>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</si>
  <si>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</si>
  <si>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</si>
  <si>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</si>
  <si>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</si>
  <si>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</si>
  <si>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</si>
  <si>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</si>
  <si>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</si>
  <si>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</si>
  <si>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</si>
  <si>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</si>
  <si>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</si>
  <si>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</si>
  <si>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</si>
  <si>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</si>
  <si>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</si>
  <si>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</si>
  <si>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</si>
  <si>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</si>
  <si>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</si>
  <si>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</si>
  <si>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</si>
  <si>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</si>
  <si>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</si>
  <si>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</si>
  <si>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</si>
  <si>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</si>
  <si>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</si>
  <si>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</si>
  <si>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</si>
  <si>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</si>
  <si>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</si>
  <si>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</si>
  <si>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</si>
  <si>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</si>
  <si>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</si>
  <si>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</si>
  <si>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</si>
  <si>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</si>
  <si>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</si>
  <si>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</si>
  <si>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</si>
  <si>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</si>
  <si>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</si>
  <si>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</si>
  <si>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</si>
  <si>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</si>
  <si>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</si>
  <si>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</si>
  <si>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</si>
  <si>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</si>
  <si>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</si>
  <si>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</si>
  <si>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</si>
  <si>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</si>
  <si>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</si>
  <si>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</si>
  <si>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</si>
  <si>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</si>
  <si>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</si>
  <si>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</si>
  <si>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</si>
  <si>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</si>
  <si>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</si>
  <si>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</si>
  <si>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</si>
  <si>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</si>
  <si>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</si>
  <si>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</si>
  <si>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</si>
  <si>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</si>
  <si>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</si>
  <si>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</si>
  <si>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</si>
  <si>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</si>
  <si>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</si>
  <si>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</si>
  <si>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</si>
  <si>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</si>
  <si>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</si>
  <si>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</si>
  <si>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</si>
  <si>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</si>
  <si>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Aucun revenu sur cette parcelle depuis les 5 dernières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</si>
</sst>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264.89411110617533</c:v>
                </c:pt>
                <c:pt idx="74">
                  <c:v>274.60656174697812</c:v>
                </c:pt>
                <c:pt idx="75">
                  <c:v>284.31129577048597</c:v>
                </c:pt>
                <c:pt idx="76">
                  <c:v>294.00861390700948</c:v>
                </c:pt>
                <c:pt idx="77">
                  <c:v>303.69879541443919</c:v>
                </c:pt>
                <c:pt idx="78">
                  <c:v>313.38210026249629</c:v>
                </c:pt>
                <c:pt idx="79">
                  <c:v>323.0587710327315</c:v>
                </c:pt>
                <c:pt idx="80">
                  <c:v>332.72903457884451</c:v>
                </c:pt>
                <c:pt idx="81">
                  <c:v>342.393103483792</c:v>
                </c:pt>
                <c:pt idx="82">
                  <c:v>291.42337137490063</c:v>
                </c:pt>
                <c:pt idx="83">
                  <c:v>300.46951144831678</c:v>
                </c:pt>
                <c:pt idx="84">
                  <c:v>309.50958762804527</c:v>
                </c:pt>
                <c:pt idx="85">
                  <c:v>318.54380213639161</c:v>
                </c:pt>
                <c:pt idx="86">
                  <c:v>327.57234478031751</c:v>
                </c:pt>
                <c:pt idx="87">
                  <c:v>336.59539404232521</c:v>
                </c:pt>
                <c:pt idx="88">
                  <c:v>345.61311804819155</c:v>
                </c:pt>
                <c:pt idx="89">
                  <c:v>354.62567542837041</c:v>
                </c:pt>
                <c:pt idx="90">
                  <c:v>363.63321608721009</c:v>
                </c:pt>
                <c:pt idx="91">
                  <c:v>314.83401808651024</c:v>
                </c:pt>
                <c:pt idx="92">
                  <c:v>324.02608209744523</c:v>
                </c:pt>
                <c:pt idx="93">
                  <c:v>333.21238343704937</c:v>
                </c:pt>
                <c:pt idx="94">
                  <c:v>342.39310348379189</c:v>
                </c:pt>
                <c:pt idx="95">
                  <c:v>351.56841308920212</c:v>
                </c:pt>
                <c:pt idx="96">
                  <c:v>360.73847345360628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397.36915030419732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354.30388563085967</c:v>
                </c:pt>
                <c:pt idx="105">
                  <c:v>363.15079407733782</c:v>
                </c:pt>
                <c:pt idx="106">
                  <c:v>371.99299309375618</c:v>
                </c:pt>
                <c:pt idx="107">
                  <c:v>380.83061047520181</c:v>
                </c:pt>
                <c:pt idx="108">
                  <c:v>389.66376759807389</c:v>
                </c:pt>
                <c:pt idx="109">
                  <c:v>398.49257988383368</c:v>
                </c:pt>
                <c:pt idx="110">
                  <c:v>407.31715721949678</c:v>
                </c:pt>
                <c:pt idx="111">
                  <c:v>416.13760433977217</c:v>
                </c:pt>
                <c:pt idx="112">
                  <c:v>424.95402117510031</c:v>
                </c:pt>
                <c:pt idx="113">
                  <c:v>433.76650316929613</c:v>
                </c:pt>
                <c:pt idx="114">
                  <c:v>442.57514157002373</c:v>
                </c:pt>
                <c:pt idx="115">
                  <c:v>380.34867469944055</c:v>
                </c:pt>
                <c:pt idx="116">
                  <c:v>389.34263869060379</c:v>
                </c:pt>
                <c:pt idx="117">
                  <c:v>398.33209414857441</c:v>
                </c:pt>
                <c:pt idx="118">
                  <c:v>407.31715721949678</c:v>
                </c:pt>
                <c:pt idx="119">
                  <c:v>416.29793850480019</c:v>
                </c:pt>
                <c:pt idx="120">
                  <c:v>425.27454344239959</c:v>
                </c:pt>
                <c:pt idx="121">
                  <c:v>434.24707265402532</c:v>
                </c:pt>
                <c:pt idx="122">
                  <c:v>443.21562226234187</c:v>
                </c:pt>
                <c:pt idx="123">
                  <c:v>452.18028418105376</c:v>
                </c:pt>
                <c:pt idx="124">
                  <c:v>461.141146380804</c:v>
                </c:pt>
                <c:pt idx="125">
                  <c:v>470.09829313332102</c:v>
                </c:pt>
                <c:pt idx="126">
                  <c:v>479.05180523598892</c:v>
                </c:pt>
                <c:pt idx="127">
                  <c:v>415.01522785001202</c:v>
                </c:pt>
                <c:pt idx="128">
                  <c:v>423.99242313943387</c:v>
                </c:pt>
                <c:pt idx="129">
                  <c:v>432.96552861089202</c:v>
                </c:pt>
                <c:pt idx="130">
                  <c:v>441.93464101141507</c:v>
                </c:pt>
                <c:pt idx="131">
                  <c:v>450.89985283917173</c:v>
                </c:pt>
                <c:pt idx="132">
                  <c:v>459.86125261266903</c:v>
                </c:pt>
                <c:pt idx="133">
                  <c:v>468.81892511786805</c:v>
                </c:pt>
                <c:pt idx="134">
                  <c:v>477.77295163542721</c:v>
                </c:pt>
                <c:pt idx="135">
                  <c:v>486.72341015001888</c:v>
                </c:pt>
                <c:pt idx="136">
                  <c:v>495.67037554344796</c:v>
                </c:pt>
                <c:pt idx="137">
                  <c:v>504.61391977309603</c:v>
                </c:pt>
                <c:pt idx="138">
                  <c:v>513.55411203705899</c:v>
                </c:pt>
                <c:pt idx="139">
                  <c:v>448.08262970670484</c:v>
                </c:pt>
                <c:pt idx="140">
                  <c:v>457.42924470500947</c:v>
                </c:pt>
                <c:pt idx="141">
                  <c:v>466.77178143935333</c:v>
                </c:pt>
                <c:pt idx="142">
                  <c:v>476.11033306856461</c:v>
                </c:pt>
                <c:pt idx="143">
                  <c:v>485.44498879797288</c:v>
                </c:pt>
                <c:pt idx="144">
                  <c:v>494.77583412162261</c:v>
                </c:pt>
                <c:pt idx="145">
                  <c:v>504.10295104526296</c:v>
                </c:pt>
                <c:pt idx="146">
                  <c:v>513.42641829197305</c:v>
                </c:pt>
                <c:pt idx="147">
                  <c:v>522.74631149207403</c:v>
                </c:pt>
                <c:pt idx="148">
                  <c:v>532.06270335879162</c:v>
                </c:pt>
                <c:pt idx="149">
                  <c:v>541.37566385097568</c:v>
                </c:pt>
                <c:pt idx="150">
                  <c:v>550.68526032404009</c:v>
                </c:pt>
                <c:pt idx="151">
                  <c:v>559.99155767016589</c:v>
                </c:pt>
                <c:pt idx="152">
                  <c:v>569.29461844870013</c:v>
                </c:pt>
                <c:pt idx="153">
                  <c:v>578.5945030075876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38672"/>
        <c:axId val="915848464"/>
      </c:scatterChart>
      <c:valAx>
        <c:axId val="91583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48464"/>
        <c:crosses val="autoZero"/>
        <c:crossBetween val="midCat"/>
      </c:valAx>
      <c:valAx>
        <c:axId val="91584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791664"/>
        <c:axId val="920995120"/>
      </c:scatterChart>
      <c:valAx>
        <c:axId val="915791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0995120"/>
        <c:crosses val="autoZero"/>
        <c:crossBetween val="midCat"/>
      </c:valAx>
      <c:valAx>
        <c:axId val="9209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791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6.6997860972548038</c:v>
                </c:pt>
                <c:pt idx="2">
                  <c:v>13.097538383622366</c:v>
                </c:pt>
                <c:pt idx="3">
                  <c:v>19.397748910222237</c:v>
                </c:pt>
                <c:pt idx="4">
                  <c:v>25.637832426554898</c:v>
                </c:pt>
                <c:pt idx="5">
                  <c:v>31.834746523630582</c:v>
                </c:pt>
                <c:pt idx="6">
                  <c:v>37.998164519360706</c:v>
                </c:pt>
                <c:pt idx="7">
                  <c:v>44.134322427778478</c:v>
                </c:pt>
                <c:pt idx="8">
                  <c:v>50.247563878855722</c:v>
                </c:pt>
                <c:pt idx="9">
                  <c:v>56.341081495877127</c:v>
                </c:pt>
                <c:pt idx="10">
                  <c:v>62.417316809028286</c:v>
                </c:pt>
                <c:pt idx="11">
                  <c:v>68.478194785492434</c:v>
                </c:pt>
                <c:pt idx="12">
                  <c:v>74.525270323913048</c:v>
                </c:pt>
                <c:pt idx="13">
                  <c:v>80.559824395346126</c:v>
                </c:pt>
                <c:pt idx="14">
                  <c:v>86.582929703393233</c:v>
                </c:pt>
                <c:pt idx="15">
                  <c:v>92.595497024791982</c:v>
                </c:pt>
                <c:pt idx="16">
                  <c:v>98.598308829135718</c:v>
                </c:pt>
                <c:pt idx="17">
                  <c:v>104.59204424915316</c:v>
                </c:pt>
                <c:pt idx="18">
                  <c:v>110.57729800611047</c:v>
                </c:pt>
                <c:pt idx="19">
                  <c:v>116.55459500899632</c:v>
                </c:pt>
                <c:pt idx="20">
                  <c:v>122.52440179251424</c:v>
                </c:pt>
                <c:pt idx="21">
                  <c:v>128.48713560246634</c:v>
                </c:pt>
                <c:pt idx="22">
                  <c:v>134.44317170155583</c:v>
                </c:pt>
                <c:pt idx="23">
                  <c:v>140.39284930931262</c:v>
                </c:pt>
                <c:pt idx="24">
                  <c:v>146.33647647983977</c:v>
                </c:pt>
                <c:pt idx="25">
                  <c:v>152.27433414369443</c:v>
                </c:pt>
                <c:pt idx="26">
                  <c:v>158.20667948486386</c:v>
                </c:pt>
                <c:pt idx="27">
                  <c:v>164.1337487835936</c:v>
                </c:pt>
                <c:pt idx="28">
                  <c:v>170.05575982621656</c:v>
                </c:pt>
                <c:pt idx="29">
                  <c:v>175.97291396104652</c:v>
                </c:pt>
                <c:pt idx="30">
                  <c:v>181.88539786273327</c:v>
                </c:pt>
                <c:pt idx="31">
                  <c:v>187.79338505476224</c:v>
                </c:pt>
                <c:pt idx="32">
                  <c:v>193.69703722998369</c:v>
                </c:pt>
                <c:pt idx="33">
                  <c:v>199.59650540143889</c:v>
                </c:pt>
                <c:pt idx="34">
                  <c:v>205.49193090977312</c:v>
                </c:pt>
                <c:pt idx="35">
                  <c:v>211.38344630879848</c:v>
                </c:pt>
                <c:pt idx="36">
                  <c:v>217.27117614700566</c:v>
                </c:pt>
                <c:pt idx="37">
                  <c:v>223.15523765979904</c:v>
                </c:pt>
                <c:pt idx="38">
                  <c:v>229.03574138479192</c:v>
                </c:pt>
                <c:pt idx="39">
                  <c:v>234.9127917105111</c:v>
                </c:pt>
                <c:pt idx="40">
                  <c:v>240.78648736724048</c:v>
                </c:pt>
                <c:pt idx="41">
                  <c:v>246.65692186739997</c:v>
                </c:pt>
                <c:pt idx="42">
                  <c:v>252.52418390174861</c:v>
                </c:pt>
                <c:pt idx="43">
                  <c:v>200.43149844135633</c:v>
                </c:pt>
                <c:pt idx="44">
                  <c:v>213.93699051541526</c:v>
                </c:pt>
                <c:pt idx="45">
                  <c:v>227.42285390051089</c:v>
                </c:pt>
                <c:pt idx="46">
                  <c:v>240.89041694345076</c:v>
                </c:pt>
                <c:pt idx="47">
                  <c:v>254.34084723275001</c:v>
                </c:pt>
                <c:pt idx="48">
                  <c:v>267.77517870928637</c:v>
                </c:pt>
                <c:pt idx="49">
                  <c:v>219.22425254131755</c:v>
                </c:pt>
                <c:pt idx="50">
                  <c:v>231.79265788705015</c:v>
                </c:pt>
                <c:pt idx="51">
                  <c:v>244.34549707590796</c:v>
                </c:pt>
                <c:pt idx="52">
                  <c:v>256.88368281077419</c:v>
                </c:pt>
                <c:pt idx="53">
                  <c:v>269.40803136843112</c:v>
                </c:pt>
                <c:pt idx="54">
                  <c:v>281.91927689223098</c:v>
                </c:pt>
                <c:pt idx="55">
                  <c:v>294.41808301264047</c:v>
                </c:pt>
                <c:pt idx="56">
                  <c:v>306.90505238979614</c:v>
                </c:pt>
                <c:pt idx="57">
                  <c:v>242.98178331978389</c:v>
                </c:pt>
                <c:pt idx="58">
                  <c:v>257.42850185227354</c:v>
                </c:pt>
                <c:pt idx="59">
                  <c:v>271.85689303687468</c:v>
                </c:pt>
                <c:pt idx="60">
                  <c:v>286.26806670430182</c:v>
                </c:pt>
                <c:pt idx="61">
                  <c:v>300.66301178371663</c:v>
                </c:pt>
                <c:pt idx="62">
                  <c:v>315.04261475405968</c:v>
                </c:pt>
                <c:pt idx="63">
                  <c:v>329.40767454828807</c:v>
                </c:pt>
                <c:pt idx="64">
                  <c:v>343.75891472050535</c:v>
                </c:pt>
                <c:pt idx="65">
                  <c:v>267.23084470420918</c:v>
                </c:pt>
                <c:pt idx="66">
                  <c:v>279.74431949620583</c:v>
                </c:pt>
                <c:pt idx="67">
                  <c:v>292.24524409564179</c:v>
                </c:pt>
                <c:pt idx="68">
                  <c:v>304.73423115701871</c:v>
                </c:pt>
                <c:pt idx="69">
                  <c:v>317.21183899833085</c:v>
                </c:pt>
                <c:pt idx="70">
                  <c:v>329.6785784135397</c:v>
                </c:pt>
                <c:pt idx="71">
                  <c:v>342.13491840023556</c:v>
                </c:pt>
                <c:pt idx="72">
                  <c:v>354.58129100924572</c:v>
                </c:pt>
                <c:pt idx="73">
                  <c:v>296.04747717569848</c:v>
                </c:pt>
                <c:pt idx="74">
                  <c:v>306.90505238979614</c:v>
                </c:pt>
                <c:pt idx="75">
                  <c:v>317.75409361194505</c:v>
                </c:pt>
                <c:pt idx="76">
                  <c:v>328.59493342700091</c:v>
                </c:pt>
                <c:pt idx="77">
                  <c:v>339.42788067295515</c:v>
                </c:pt>
                <c:pt idx="78">
                  <c:v>350.25322285655176</c:v>
                </c:pt>
                <c:pt idx="79">
                  <c:v>361.07122825453939</c:v>
                </c:pt>
                <c:pt idx="80">
                  <c:v>371.88214774985948</c:v>
                </c:pt>
                <c:pt idx="81">
                  <c:v>382.68621644309741</c:v>
                </c:pt>
                <c:pt idx="82">
                  <c:v>325.70482687762802</c:v>
                </c:pt>
                <c:pt idx="83">
                  <c:v>335.81775704779619</c:v>
                </c:pt>
                <c:pt idx="84">
                  <c:v>345.92398101265053</c:v>
                </c:pt>
                <c:pt idx="85">
                  <c:v>356.02372241468356</c:v>
                </c:pt>
                <c:pt idx="86">
                  <c:v>366.11719116596186</c:v>
                </c:pt>
                <c:pt idx="87">
                  <c:v>376.20458465456113</c:v>
                </c:pt>
                <c:pt idx="88">
                  <c:v>386.28608881480568</c:v>
                </c:pt>
                <c:pt idx="89">
                  <c:v>396.36187907991547</c:v>
                </c:pt>
                <c:pt idx="90">
                  <c:v>406.43212123270069</c:v>
                </c:pt>
                <c:pt idx="91">
                  <c:v>351.87638506710238</c:v>
                </c:pt>
                <c:pt idx="92">
                  <c:v>362.15263507179503</c:v>
                </c:pt>
                <c:pt idx="93">
                  <c:v>372.42251200019501</c:v>
                </c:pt>
                <c:pt idx="94">
                  <c:v>382.68621644309718</c:v>
                </c:pt>
                <c:pt idx="95">
                  <c:v>392.94393734930151</c:v>
                </c:pt>
                <c:pt idx="96">
                  <c:v>403.19585299411045</c:v>
                </c:pt>
                <c:pt idx="97">
                  <c:v>413.44213184415986</c:v>
                </c:pt>
                <c:pt idx="98">
                  <c:v>423.68293333202678</c:v>
                </c:pt>
                <c:pt idx="99">
                  <c:v>433.91840855202554</c:v>
                </c:pt>
                <c:pt idx="100">
                  <c:v>444.14870088691924</c:v>
                </c:pt>
                <c:pt idx="101">
                  <c:v>454.37394657387154</c:v>
                </c:pt>
                <c:pt idx="102">
                  <c:v>464.59427521679351</c:v>
                </c:pt>
                <c:pt idx="103">
                  <c:v>386.10611256795556</c:v>
                </c:pt>
                <c:pt idx="104">
                  <c:v>396.00212592142566</c:v>
                </c:pt>
                <c:pt idx="105">
                  <c:v>405.89278200614257</c:v>
                </c:pt>
                <c:pt idx="106">
                  <c:v>415.77822981932314</c:v>
                </c:pt>
                <c:pt idx="107">
                  <c:v>425.65861069261609</c:v>
                </c:pt>
                <c:pt idx="108">
                  <c:v>435.53405885908927</c:v>
                </c:pt>
                <c:pt idx="109">
                  <c:v>445.40470196610204</c:v>
                </c:pt>
                <c:pt idx="110">
                  <c:v>455.2706615403377</c:v>
                </c:pt>
                <c:pt idx="111">
                  <c:v>465.13205341042038</c:v>
                </c:pt>
                <c:pt idx="112">
                  <c:v>474.98898809181838</c:v>
                </c:pt>
                <c:pt idx="113">
                  <c:v>484.84157113813313</c:v>
                </c:pt>
                <c:pt idx="114">
                  <c:v>494.68990346234324</c:v>
                </c:pt>
                <c:pt idx="115">
                  <c:v>425.11980920401083</c:v>
                </c:pt>
                <c:pt idx="116">
                  <c:v>435.17503659472953</c:v>
                </c:pt>
                <c:pt idx="117">
                  <c:v>445.22527789057045</c:v>
                </c:pt>
                <c:pt idx="118">
                  <c:v>455.2706615403377</c:v>
                </c:pt>
                <c:pt idx="119">
                  <c:v>465.31130986080166</c:v>
                </c:pt>
                <c:pt idx="120">
                  <c:v>475.34733945827867</c:v>
                </c:pt>
                <c:pt idx="121">
                  <c:v>485.37886161275105</c:v>
                </c:pt>
                <c:pt idx="122">
                  <c:v>495.40598262857651</c:v>
                </c:pt>
                <c:pt idx="123">
                  <c:v>505.42880415532323</c:v>
                </c:pt>
                <c:pt idx="124">
                  <c:v>515.44742348183274</c:v>
                </c:pt>
                <c:pt idx="125">
                  <c:v>525.46193380622901</c:v>
                </c:pt>
                <c:pt idx="126">
                  <c:v>535.47242448427392</c:v>
                </c:pt>
                <c:pt idx="127">
                  <c:v>463.87721696856289</c:v>
                </c:pt>
                <c:pt idx="128">
                  <c:v>473.91389945026441</c:v>
                </c:pt>
                <c:pt idx="129">
                  <c:v>483.94605890429222</c:v>
                </c:pt>
                <c:pt idx="130">
                  <c:v>493.97380232550273</c:v>
                </c:pt>
                <c:pt idx="131">
                  <c:v>503.99723200983732</c:v>
                </c:pt>
                <c:pt idx="132">
                  <c:v>514.01644585203348</c:v>
                </c:pt>
                <c:pt idx="133">
                  <c:v>524.03153761891701</c:v>
                </c:pt>
                <c:pt idx="134">
                  <c:v>534.04259720071548</c:v>
                </c:pt>
                <c:pt idx="135">
                  <c:v>544.04971084254646</c:v>
                </c:pt>
                <c:pt idx="136">
                  <c:v>554.05296135799176</c:v>
                </c:pt>
                <c:pt idx="137">
                  <c:v>564.05242832644456</c:v>
                </c:pt>
                <c:pt idx="138">
                  <c:v>574.04818827573615</c:v>
                </c:pt>
                <c:pt idx="139">
                  <c:v>500.84747006717635</c:v>
                </c:pt>
                <c:pt idx="140">
                  <c:v>511.29735638985153</c:v>
                </c:pt>
                <c:pt idx="141">
                  <c:v>521.74273246270184</c:v>
                </c:pt>
                <c:pt idx="142">
                  <c:v>532.18370131230654</c:v>
                </c:pt>
                <c:pt idx="143">
                  <c:v>542.62036159297747</c:v>
                </c:pt>
                <c:pt idx="144">
                  <c:v>553.05280785462651</c:v>
                </c:pt>
                <c:pt idx="145">
                  <c:v>563.48113078937661</c:v>
                </c:pt>
                <c:pt idx="146">
                  <c:v>573.90541745896667</c:v>
                </c:pt>
                <c:pt idx="147">
                  <c:v>584.32575150478135</c:v>
                </c:pt>
                <c:pt idx="148">
                  <c:v>594.74221334211904</c:v>
                </c:pt>
                <c:pt idx="149">
                  <c:v>605.15488034014766</c:v>
                </c:pt>
                <c:pt idx="150">
                  <c:v>615.56382698883351</c:v>
                </c:pt>
                <c:pt idx="151">
                  <c:v>625.96912505399405</c:v>
                </c:pt>
                <c:pt idx="152">
                  <c:v>636.37084372151037</c:v>
                </c:pt>
                <c:pt idx="153">
                  <c:v>646.76904973162038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50640"/>
        <c:axId val="915849008"/>
      </c:scatterChart>
      <c:valAx>
        <c:axId val="915850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49008"/>
        <c:crosses val="autoZero"/>
        <c:crossBetween val="midCat"/>
      </c:valAx>
      <c:valAx>
        <c:axId val="91584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50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39216"/>
        <c:axId val="915861520"/>
      </c:scatterChart>
      <c:valAx>
        <c:axId val="91583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61520"/>
        <c:crosses val="autoZero"/>
        <c:crossBetween val="midCat"/>
      </c:valAx>
      <c:valAx>
        <c:axId val="91586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58256"/>
        <c:axId val="915832144"/>
      </c:scatterChart>
      <c:valAx>
        <c:axId val="915858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2144"/>
        <c:crosses val="autoZero"/>
        <c:crossBetween val="midCat"/>
      </c:valAx>
      <c:valAx>
        <c:axId val="91583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58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53904"/>
        <c:axId val="915839760"/>
      </c:scatterChart>
      <c:valAx>
        <c:axId val="91585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9760"/>
        <c:crosses val="autoZero"/>
        <c:crossBetween val="midCat"/>
      </c:valAx>
      <c:valAx>
        <c:axId val="9158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5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31056"/>
        <c:axId val="915862608"/>
      </c:scatterChart>
      <c:valAx>
        <c:axId val="915831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62608"/>
        <c:crosses val="autoZero"/>
        <c:crossBetween val="midCat"/>
      </c:valAx>
      <c:valAx>
        <c:axId val="9158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34320"/>
        <c:axId val="915841936"/>
      </c:scatterChart>
      <c:valAx>
        <c:axId val="915834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41936"/>
        <c:crosses val="autoZero"/>
        <c:crossBetween val="midCat"/>
      </c:valAx>
      <c:valAx>
        <c:axId val="91584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83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784048"/>
        <c:axId val="915784592"/>
      </c:scatterChart>
      <c:valAx>
        <c:axId val="915784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784592"/>
        <c:crosses val="autoZero"/>
        <c:crossBetween val="midCat"/>
      </c:valAx>
      <c:valAx>
        <c:axId val="91578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784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785136"/>
        <c:axId val="915786768"/>
      </c:scatterChart>
      <c:valAx>
        <c:axId val="915785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786768"/>
        <c:crosses val="autoZero"/>
        <c:crossBetween val="midCat"/>
      </c:valAx>
      <c:valAx>
        <c:axId val="9157867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78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F5" sqref="F5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14.14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0.73</v>
      </c>
      <c r="D9" s="36">
        <f t="shared" ref="D9:D18" si="0">C9*$C$5</f>
        <v>10.3222</v>
      </c>
      <c r="E9" s="37">
        <v>153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12</v>
      </c>
      <c r="C10" s="35">
        <v>0.05</v>
      </c>
      <c r="D10" s="36">
        <f t="shared" si="0"/>
        <v>0.70700000000000007</v>
      </c>
      <c r="E10" s="37">
        <v>153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13</v>
      </c>
      <c r="C11" s="35">
        <v>0.22</v>
      </c>
      <c r="D11" s="36">
        <f t="shared" si="0"/>
        <v>3.1108000000000002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1</v>
      </c>
      <c r="D19" s="41">
        <f>SUM(D9:D18)</f>
        <v>14.14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42</v>
      </c>
      <c r="B36" s="63">
        <v>113</v>
      </c>
      <c r="C36" s="63">
        <v>1</v>
      </c>
      <c r="D36" s="63">
        <v>30</v>
      </c>
      <c r="E36" s="54"/>
      <c r="F36" s="54"/>
      <c r="G36" s="54"/>
      <c r="H36" s="54"/>
      <c r="I36" s="52">
        <f>IFERROR(B36/A36,"")</f>
        <v>2.6904761904761907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48</v>
      </c>
      <c r="B37" s="63">
        <v>120</v>
      </c>
      <c r="C37" s="63">
        <v>2</v>
      </c>
      <c r="D37" s="63">
        <v>28</v>
      </c>
      <c r="E37" s="54"/>
      <c r="F37" s="54"/>
      <c r="G37" s="54"/>
      <c r="H37" s="54"/>
      <c r="I37" s="56">
        <f t="shared" ref="I37:I55" si="1">IF(A37&lt;&gt;0,(B37-(B36-D36))/(A37-A36),"")</f>
        <v>6.166666666666667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56</v>
      </c>
      <c r="B38" s="63">
        <v>138</v>
      </c>
      <c r="C38" s="63">
        <v>3</v>
      </c>
      <c r="D38" s="63">
        <v>36</v>
      </c>
      <c r="E38" s="54"/>
      <c r="F38" s="54"/>
      <c r="G38" s="54"/>
      <c r="H38" s="54"/>
      <c r="I38" s="56">
        <f t="shared" si="1"/>
        <v>5.75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64</v>
      </c>
      <c r="B39" s="63">
        <v>155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72</v>
      </c>
      <c r="B40" s="63">
        <v>160</v>
      </c>
      <c r="C40" s="63">
        <v>5</v>
      </c>
      <c r="D40" s="63">
        <v>32</v>
      </c>
      <c r="E40" s="54"/>
      <c r="F40" s="54"/>
      <c r="G40" s="54"/>
      <c r="H40" s="54"/>
      <c r="I40" s="52">
        <f t="shared" si="1"/>
        <v>5.75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81</v>
      </c>
      <c r="B41" s="63">
        <v>173</v>
      </c>
      <c r="C41" s="63">
        <v>6</v>
      </c>
      <c r="D41" s="63">
        <v>31</v>
      </c>
      <c r="E41" s="54"/>
      <c r="F41" s="54"/>
      <c r="G41" s="54"/>
      <c r="H41" s="54"/>
      <c r="I41" s="56">
        <f t="shared" si="1"/>
        <v>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90</v>
      </c>
      <c r="B42" s="63">
        <v>184</v>
      </c>
      <c r="C42" s="63">
        <v>7</v>
      </c>
      <c r="D42" s="63">
        <v>30</v>
      </c>
      <c r="E42" s="54"/>
      <c r="F42" s="54"/>
      <c r="G42" s="54"/>
      <c r="H42" s="54"/>
      <c r="I42" s="56">
        <f t="shared" si="1"/>
        <v>4.666666666666667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>
        <v>102</v>
      </c>
      <c r="B43" s="63">
        <v>211</v>
      </c>
      <c r="C43" s="63">
        <v>8</v>
      </c>
      <c r="D43" s="63">
        <v>41</v>
      </c>
      <c r="E43" s="54"/>
      <c r="F43" s="54"/>
      <c r="G43" s="54"/>
      <c r="H43" s="54"/>
      <c r="I43" s="52">
        <f t="shared" si="1"/>
        <v>4.75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>
        <v>114</v>
      </c>
      <c r="B44" s="63">
        <v>225</v>
      </c>
      <c r="C44" s="63">
        <v>9</v>
      </c>
      <c r="D44" s="63">
        <v>37</v>
      </c>
      <c r="E44" s="54"/>
      <c r="F44" s="54"/>
      <c r="G44" s="54"/>
      <c r="H44" s="54"/>
      <c r="I44" s="52">
        <f t="shared" si="1"/>
        <v>4.583333333333333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>
        <v>126</v>
      </c>
      <c r="B45" s="63">
        <v>244</v>
      </c>
      <c r="C45" s="63">
        <v>10</v>
      </c>
      <c r="D45" s="63">
        <v>38</v>
      </c>
      <c r="E45" s="54"/>
      <c r="F45" s="54"/>
      <c r="G45" s="54"/>
      <c r="H45" s="54"/>
      <c r="I45" s="52">
        <f t="shared" si="1"/>
        <v>4.666666666666667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>
        <v>138</v>
      </c>
      <c r="B46" s="63">
        <v>262</v>
      </c>
      <c r="C46" s="63">
        <v>11</v>
      </c>
      <c r="D46" s="63">
        <v>39</v>
      </c>
      <c r="E46" s="54"/>
      <c r="F46" s="54"/>
      <c r="G46" s="54"/>
      <c r="H46" s="54"/>
      <c r="I46" s="52">
        <f t="shared" si="1"/>
        <v>4.666666666666667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>
        <v>153</v>
      </c>
      <c r="B47" s="63">
        <v>296</v>
      </c>
      <c r="C47" s="63"/>
      <c r="D47" s="63">
        <v>296</v>
      </c>
      <c r="E47" s="54"/>
      <c r="F47" s="54"/>
      <c r="G47" s="54"/>
      <c r="H47" s="54"/>
      <c r="I47" s="52">
        <f t="shared" si="1"/>
        <v>4.8666666666666663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42</v>
      </c>
      <c r="B62" s="63">
        <v>113</v>
      </c>
      <c r="C62" s="63">
        <v>1</v>
      </c>
      <c r="D62" s="63">
        <v>30</v>
      </c>
      <c r="E62" s="54"/>
      <c r="F62" s="54"/>
      <c r="G62" s="54"/>
      <c r="H62" s="54"/>
      <c r="I62" s="56">
        <f>IFERROR(B62/A62,"")</f>
        <v>2.6904761904761907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48</v>
      </c>
      <c r="B63" s="63">
        <v>120</v>
      </c>
      <c r="C63" s="63">
        <v>2</v>
      </c>
      <c r="D63" s="63">
        <v>28</v>
      </c>
      <c r="E63" s="54"/>
      <c r="F63" s="54"/>
      <c r="G63" s="54"/>
      <c r="H63" s="54"/>
      <c r="I63" s="52">
        <f>IF(A63&lt;&gt;0,(B63-(B62-D62))/(A63-A62),"")</f>
        <v>6.166666666666667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56</v>
      </c>
      <c r="B64" s="63">
        <v>138</v>
      </c>
      <c r="C64" s="63">
        <v>3</v>
      </c>
      <c r="D64" s="63">
        <v>36</v>
      </c>
      <c r="E64" s="54"/>
      <c r="F64" s="54"/>
      <c r="G64" s="54"/>
      <c r="H64" s="54"/>
      <c r="I64" s="52">
        <f>IF(A64&lt;&gt;0,(B64-(B63-D63))/(A64-A63),"")</f>
        <v>5.75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64</v>
      </c>
      <c r="B65" s="63">
        <v>155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72</v>
      </c>
      <c r="B66" s="63">
        <v>160</v>
      </c>
      <c r="C66" s="63">
        <v>5</v>
      </c>
      <c r="D66" s="63">
        <v>32</v>
      </c>
      <c r="E66" s="54"/>
      <c r="F66" s="54"/>
      <c r="G66" s="54"/>
      <c r="H66" s="54"/>
      <c r="I66" s="52">
        <f t="shared" ref="I66:I81" si="2">IF(A66&lt;&gt;0,(B66-(B65-D65))/(A66-A65),"")</f>
        <v>5.75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81</v>
      </c>
      <c r="B67" s="63">
        <v>173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90</v>
      </c>
      <c r="B68" s="63">
        <v>184</v>
      </c>
      <c r="C68" s="63">
        <v>7</v>
      </c>
      <c r="D68" s="63">
        <v>30</v>
      </c>
      <c r="E68" s="54"/>
      <c r="F68" s="54"/>
      <c r="G68" s="54"/>
      <c r="H68" s="54"/>
      <c r="I68" s="52">
        <f t="shared" si="2"/>
        <v>4.666666666666667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283">
        <v>102</v>
      </c>
      <c r="B69" s="63">
        <v>211</v>
      </c>
      <c r="C69" s="63">
        <v>8</v>
      </c>
      <c r="D69" s="63">
        <v>41</v>
      </c>
      <c r="E69" s="54"/>
      <c r="F69" s="54"/>
      <c r="G69" s="54"/>
      <c r="H69" s="54"/>
      <c r="I69" s="52">
        <f t="shared" si="2"/>
        <v>4.75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283">
        <v>114</v>
      </c>
      <c r="B70" s="63">
        <v>225</v>
      </c>
      <c r="C70" s="63">
        <v>9</v>
      </c>
      <c r="D70" s="63">
        <v>37</v>
      </c>
      <c r="E70" s="54"/>
      <c r="F70" s="54"/>
      <c r="G70" s="54"/>
      <c r="H70" s="54"/>
      <c r="I70" s="52">
        <f t="shared" si="2"/>
        <v>4.583333333333333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283">
        <v>126</v>
      </c>
      <c r="B71" s="63">
        <v>244</v>
      </c>
      <c r="C71" s="63">
        <v>10</v>
      </c>
      <c r="D71" s="63">
        <v>38</v>
      </c>
      <c r="E71" s="54"/>
      <c r="F71" s="54"/>
      <c r="G71" s="54"/>
      <c r="H71" s="54"/>
      <c r="I71" s="52">
        <f t="shared" si="2"/>
        <v>4.666666666666667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283">
        <v>138</v>
      </c>
      <c r="B72" s="63">
        <v>262</v>
      </c>
      <c r="C72" s="63">
        <v>11</v>
      </c>
      <c r="D72" s="63">
        <v>39</v>
      </c>
      <c r="E72" s="54"/>
      <c r="F72" s="54"/>
      <c r="G72" s="54"/>
      <c r="H72" s="54"/>
      <c r="I72" s="52">
        <f t="shared" si="2"/>
        <v>4.666666666666667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283">
        <v>153</v>
      </c>
      <c r="B73" s="63">
        <v>296</v>
      </c>
      <c r="C73" s="63"/>
      <c r="D73" s="63">
        <v>296</v>
      </c>
      <c r="E73" s="54"/>
      <c r="F73" s="54"/>
      <c r="G73" s="54"/>
      <c r="H73" s="54"/>
      <c r="I73" s="52">
        <f t="shared" si="2"/>
        <v>4.8666666666666663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15</v>
      </c>
      <c r="B88" s="63">
        <v>87</v>
      </c>
      <c r="C88" s="63">
        <v>1</v>
      </c>
      <c r="D88" s="63">
        <v>21</v>
      </c>
      <c r="E88" s="54"/>
      <c r="F88" s="54"/>
      <c r="G88" s="54"/>
      <c r="H88" s="93">
        <v>1</v>
      </c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20</v>
      </c>
      <c r="B89" s="63">
        <v>137</v>
      </c>
      <c r="C89" s="63">
        <v>2</v>
      </c>
      <c r="D89" s="63">
        <v>43</v>
      </c>
      <c r="E89" s="54"/>
      <c r="F89" s="54"/>
      <c r="G89" s="54">
        <v>1</v>
      </c>
      <c r="H89" s="93"/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25</v>
      </c>
      <c r="B90" s="63">
        <v>163</v>
      </c>
      <c r="C90" s="63">
        <v>3</v>
      </c>
      <c r="D90" s="63">
        <v>44</v>
      </c>
      <c r="E90" s="93"/>
      <c r="F90" s="93"/>
      <c r="G90" s="93">
        <v>1</v>
      </c>
      <c r="H90" s="93"/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30</v>
      </c>
      <c r="B91" s="63">
        <v>184</v>
      </c>
      <c r="C91" s="63">
        <v>4</v>
      </c>
      <c r="D91" s="63">
        <v>44</v>
      </c>
      <c r="E91" s="93">
        <v>0.1</v>
      </c>
      <c r="F91" s="93"/>
      <c r="G91" s="93">
        <v>0.9</v>
      </c>
      <c r="H91" s="93"/>
      <c r="I91" s="56">
        <f t="shared" si="3"/>
        <v>13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35</v>
      </c>
      <c r="B92" s="63">
        <v>201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12.2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40</v>
      </c>
      <c r="B93" s="63">
        <v>213</v>
      </c>
      <c r="C93" s="63">
        <v>6</v>
      </c>
      <c r="D93" s="63">
        <v>39</v>
      </c>
      <c r="E93" s="93"/>
      <c r="F93" s="93"/>
      <c r="G93" s="93"/>
      <c r="H93" s="93"/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45</v>
      </c>
      <c r="B94" s="63">
        <v>223</v>
      </c>
      <c r="C94" s="63">
        <v>7</v>
      </c>
      <c r="D94" s="63">
        <v>36</v>
      </c>
      <c r="E94" s="93"/>
      <c r="F94" s="93"/>
      <c r="G94" s="93"/>
      <c r="H94" s="93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>
        <v>50</v>
      </c>
      <c r="B95" s="63">
        <v>231</v>
      </c>
      <c r="C95" s="63">
        <v>8</v>
      </c>
      <c r="D95" s="63">
        <v>33</v>
      </c>
      <c r="E95" s="93"/>
      <c r="F95" s="93"/>
      <c r="G95" s="93"/>
      <c r="H95" s="93"/>
      <c r="I95" s="56">
        <f t="shared" si="3"/>
        <v>8.8000000000000007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>
        <v>55</v>
      </c>
      <c r="B96" s="63">
        <v>237</v>
      </c>
      <c r="C96" s="63">
        <v>9</v>
      </c>
      <c r="D96" s="63">
        <v>29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>
        <v>60</v>
      </c>
      <c r="B97" s="63">
        <v>242</v>
      </c>
      <c r="C97" s="63">
        <v>10</v>
      </c>
      <c r="D97" s="63">
        <v>26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>
        <v>65</v>
      </c>
      <c r="B98" s="63">
        <v>246</v>
      </c>
      <c r="C98" s="63">
        <v>11</v>
      </c>
      <c r="D98" s="63">
        <v>23</v>
      </c>
      <c r="E98" s="93"/>
      <c r="F98" s="93"/>
      <c r="G98" s="93"/>
      <c r="H98" s="93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>
        <v>70</v>
      </c>
      <c r="B99" s="63">
        <v>249</v>
      </c>
      <c r="C99" s="63"/>
      <c r="D99" s="63">
        <v>249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329.14247505779747</v>
      </c>
      <c r="T3" s="62">
        <f>IF('Données projet'!E9&gt;30,$R$33-$H$33,LOOKUP('Données projet'!$E$9,$A$3:$A$203,R3:R203)-LOOKUP('Données projet'!$E$9,$A$3:$A$203,$H$3:$H$203))</f>
        <v>199.43308683696642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363.99473967460347</v>
      </c>
      <c r="AO3" s="62">
        <f>IF('Données projet'!E10&gt;30,$AM$33-$H$33,LOOKUP('Données projet'!$E$10,$A$3:$A$203,AM3:AM203)-LOOKUP('Données projet'!$E$10,$A$3:$A$203,$H$3:$H$203))</f>
        <v>218.5520645293999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321.23599968992932</v>
      </c>
      <c r="BJ3" s="62">
        <f>IF('Données projet'!E11&gt;30,$BH$33-$H$33,LOOKUP('Données projet'!$E$11,$A$3:$A$203,BH3:BH203)-LOOKUP('Données projet'!$E$11,$A$3:$A$203,$H$3:$H$203))</f>
        <v>388.05195847800502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2.6904761904761907</v>
      </c>
      <c r="N4" s="14">
        <f>IF('Données projet'!$A$36&gt;35,N3+M4-V3,IF(A4&lt;'Données projet'!$A$36,$K$205^A4,IF(A4='Données projet'!$A$36,'Données projet'!$B$36,N3+M4-V3)))</f>
        <v>2.6904761904761907</v>
      </c>
      <c r="O4" s="14">
        <f>N4*VLOOKUP('Données projet'!$B$9,Paramètres!$A$1:$I$89,3,0)*VLOOKUP('Données projet'!$B$9,Paramètres!$A$1:$I$89,5,0)</f>
        <v>2.4343428571428576</v>
      </c>
      <c r="P4" s="14">
        <f>EXP(-1.0587+0.8836*LN(O4)+0.284)</f>
        <v>1.0114839008106258</v>
      </c>
      <c r="Q4" s="22">
        <f t="shared" ref="Q4:Q34" si="2">(O4+P4)*0.475*44/12</f>
        <v>6.00148160343565</v>
      </c>
      <c r="R4" s="62">
        <f t="shared" si="0"/>
        <v>263.89037049232451</v>
      </c>
      <c r="S4" s="62">
        <f ca="1">AVERAGE(OFFSET($R$3,0,0,'Données projet'!$E$9+1,1))-AVERAGE(OFFSET($H$3,0,0,'Données projet'!$E$9+1,1))</f>
        <v>329.14247505779747</v>
      </c>
      <c r="T4" s="62">
        <f>$T$3</f>
        <v>199.43308683696642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2.6904761904761907</v>
      </c>
      <c r="AI4" s="14">
        <f>IF('Données projet'!$A$62&gt;35,AI3+AH4-AQ3,IF(A4&lt;'Données projet'!$A$62,$AF$205^A4,IF(A4='Données projet'!$A$62,'Données projet'!$B$62,AI3+AH4-AQ3)))</f>
        <v>2.6904761904761907</v>
      </c>
      <c r="AJ4" s="14">
        <f>AI4*VLOOKUP('Données projet'!$B$10,Paramètres!$A$1:$I$89,3,0)*VLOOKUP('Données projet'!$B$10,Paramètres!$A$1:$I$89,5,0)</f>
        <v>2.7281428571428576</v>
      </c>
      <c r="AK4" s="14">
        <f>EXP(-1.0587+0.8836*LN(AJ4)+0.284)</f>
        <v>1.1186242800369344</v>
      </c>
      <c r="AL4" s="22">
        <f t="shared" ref="AL4:AL67" si="4">(AJ4+AK4)*0.475*44/12</f>
        <v>6.6997860972548038</v>
      </c>
      <c r="AM4" s="62">
        <f t="shared" ref="AM4:AM67" si="5">AL4+(AD4+AE4)*44/12</f>
        <v>264.58867498614364</v>
      </c>
      <c r="AN4" s="62">
        <f ca="1">AVERAGE(OFFSET($AM$3,0,0,'Données projet'!$E$10+1,1))-AVERAGE(OFFSET($H$3,0,0,'Données projet'!$E$10+1,1))</f>
        <v>363.99473967460347</v>
      </c>
      <c r="AO4" s="62">
        <f>$AO$3</f>
        <v>218.5520645293999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260.86470450884462</v>
      </c>
      <c r="BI4" s="62">
        <f ca="1">AVERAGE(OFFSET($BH$3,0,0,'Données projet'!$E$11+1,1))-AVERAGE(OFFSET($H$3,0,0,'Données projet'!$E$11+1,1))</f>
        <v>321.23599968992932</v>
      </c>
      <c r="BJ4" s="62">
        <f>$BJ$3</f>
        <v>388.05195847800502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2.6904761904761907</v>
      </c>
      <c r="N5" s="14">
        <f>IF('Données projet'!$A$36&gt;35,N4+M5-V4,IF(A5&lt;'Données projet'!$A$36,$K$205^A5,IF(A5='Données projet'!$A$36,'Données projet'!$B$36,N4+M5-V4)))</f>
        <v>5.3809523809523814</v>
      </c>
      <c r="O5" s="14">
        <f>N5*VLOOKUP('Données projet'!$B$9,Paramètres!$A$1:$I$89,3,0)*VLOOKUP('Données projet'!$B$9,Paramètres!$A$1:$I$89,5,0)</f>
        <v>4.8686857142857152</v>
      </c>
      <c r="P5" s="14">
        <f t="shared" ref="P5:P68" si="33">EXP(-1.0587+0.8836*LN(O5)+0.284)</f>
        <v>1.8661608704332051</v>
      </c>
      <c r="Q5" s="22">
        <f t="shared" si="2"/>
        <v>11.729857801718786</v>
      </c>
      <c r="R5" s="62">
        <f t="shared" si="0"/>
        <v>270.84096891282991</v>
      </c>
      <c r="S5" s="62">
        <f ca="1">AVERAGE(OFFSET($R$3,0,0,'Données projet'!$E$9+1,1))-AVERAGE(OFFSET($H$3,0,0,'Données projet'!$E$9+1,1))</f>
        <v>329.14247505779747</v>
      </c>
      <c r="T5" s="62">
        <f t="shared" ref="T5:T68" si="34">$T$3</f>
        <v>199.43308683696642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2.6904761904761907</v>
      </c>
      <c r="AI5" s="14">
        <f>IF('Données projet'!$A$62&gt;35,AI4+AH5-AQ4,IF(A5&lt;'Données projet'!$A$62,$AF$205^A5,IF(A5='Données projet'!$A$62,'Données projet'!$B$62,AI4+AH5-AQ4)))</f>
        <v>5.3809523809523814</v>
      </c>
      <c r="AJ5" s="14">
        <f>AI5*VLOOKUP('Données projet'!$B$10,Paramètres!$A$1:$I$89,3,0)*VLOOKUP('Données projet'!$B$10,Paramètres!$A$1:$I$89,5,0)</f>
        <v>5.4562857142857153</v>
      </c>
      <c r="AK5" s="14">
        <f t="shared" ref="AK5:AK68" si="35">EXP(-1.0587+0.8836*LN(AJ5)+0.284)</f>
        <v>2.0638320179376533</v>
      </c>
      <c r="AL5" s="22">
        <f t="shared" si="4"/>
        <v>13.097538383622366</v>
      </c>
      <c r="AM5" s="62">
        <f t="shared" si="5"/>
        <v>272.20864949473349</v>
      </c>
      <c r="AN5" s="62">
        <f ca="1">AVERAGE(OFFSET($AM$3,0,0,'Données projet'!$E$10+1,1))-AVERAGE(OFFSET($H$3,0,0,'Données projet'!$E$10+1,1))</f>
        <v>363.99473967460347</v>
      </c>
      <c r="AO5" s="62">
        <f t="shared" ref="AO5:AO68" si="36">$AO$3</f>
        <v>218.5520645293999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263.07641376807015</v>
      </c>
      <c r="BI5" s="62">
        <f ca="1">AVERAGE(OFFSET($BH$3,0,0,'Données projet'!$E$11+1,1))-AVERAGE(OFFSET($H$3,0,0,'Données projet'!$E$11+1,1))</f>
        <v>321.23599968992932</v>
      </c>
      <c r="BJ5" s="62">
        <f t="shared" ref="BJ5:BJ68" si="38">$BJ$3</f>
        <v>388.05195847800502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2.6904761904761907</v>
      </c>
      <c r="N6" s="14">
        <f>IF('Données projet'!$A$36&gt;35,N5+M6-V5,IF(A6&lt;'Données projet'!$A$36,$K$205^A6,IF(A6='Données projet'!$A$36,'Données projet'!$B$36,N5+M6-V5)))</f>
        <v>8.071428571428573</v>
      </c>
      <c r="O6" s="14">
        <f>N6*VLOOKUP('Données projet'!$B$9,Paramètres!$A$1:$I$89,3,0)*VLOOKUP('Données projet'!$B$9,Paramètres!$A$1:$I$89,5,0)</f>
        <v>7.3030285714285732</v>
      </c>
      <c r="P6" s="14">
        <f t="shared" si="33"/>
        <v>2.6701970724975985</v>
      </c>
      <c r="Q6" s="22">
        <f t="shared" si="2"/>
        <v>17.370034663171413</v>
      </c>
      <c r="R6" s="62">
        <f t="shared" si="0"/>
        <v>277.70336799650471</v>
      </c>
      <c r="S6" s="62">
        <f ca="1">AVERAGE(OFFSET($R$3,0,0,'Données projet'!$E$9+1,1))-AVERAGE(OFFSET($H$3,0,0,'Données projet'!$E$9+1,1))</f>
        <v>329.14247505779747</v>
      </c>
      <c r="T6" s="62">
        <f t="shared" si="34"/>
        <v>199.43308683696642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2.6904761904761907</v>
      </c>
      <c r="AI6" s="14">
        <f>IF('Données projet'!$A$62&gt;35,AI5+AH6-AQ5,IF(A6&lt;'Données projet'!$A$62,$AF$205^A6,IF(A6='Données projet'!$A$62,'Données projet'!$B$62,AI5+AH6-AQ5)))</f>
        <v>8.071428571428573</v>
      </c>
      <c r="AJ6" s="14">
        <f>AI6*VLOOKUP('Données projet'!$B$10,Paramètres!$A$1:$I$89,3,0)*VLOOKUP('Données projet'!$B$10,Paramètres!$A$1:$I$89,5,0)</f>
        <v>8.1844285714285743</v>
      </c>
      <c r="AK6" s="14">
        <f t="shared" si="35"/>
        <v>2.9530349176942408</v>
      </c>
      <c r="AL6" s="22">
        <f t="shared" si="4"/>
        <v>19.397748910222237</v>
      </c>
      <c r="AM6" s="62">
        <f t="shared" si="5"/>
        <v>279.73108224355553</v>
      </c>
      <c r="AN6" s="62">
        <f ca="1">AVERAGE(OFFSET($AM$3,0,0,'Données projet'!$E$10+1,1))-AVERAGE(OFFSET($H$3,0,0,'Données projet'!$E$10+1,1))</f>
        <v>363.99473967460347</v>
      </c>
      <c r="AO6" s="62">
        <f t="shared" si="36"/>
        <v>218.5520645293999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265.61847972717322</v>
      </c>
      <c r="BI6" s="62">
        <f ca="1">AVERAGE(OFFSET($BH$3,0,0,'Données projet'!$E$11+1,1))-AVERAGE(OFFSET($H$3,0,0,'Données projet'!$E$11+1,1))</f>
        <v>321.23599968992932</v>
      </c>
      <c r="BJ6" s="62">
        <f t="shared" si="38"/>
        <v>388.05195847800502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2.6904761904761907</v>
      </c>
      <c r="N7" s="14">
        <f>IF('Données projet'!$A$36&gt;35,N6+M7-V6,IF(A7&lt;'Données projet'!$A$36,$K$205^A7,IF(A7='Données projet'!$A$36,'Données projet'!$B$36,N6+M7-V6)))</f>
        <v>10.761904761904763</v>
      </c>
      <c r="O7" s="14">
        <f>N7*VLOOKUP('Données projet'!$B$9,Paramètres!$A$1:$I$89,3,0)*VLOOKUP('Données projet'!$B$9,Paramètres!$A$1:$I$89,5,0)</f>
        <v>9.7373714285714303</v>
      </c>
      <c r="P7" s="14">
        <f t="shared" si="33"/>
        <v>3.443017127158444</v>
      </c>
      <c r="Q7" s="22">
        <f t="shared" si="2"/>
        <v>22.955843401229529</v>
      </c>
      <c r="R7" s="62">
        <f t="shared" si="0"/>
        <v>284.51139895678506</v>
      </c>
      <c r="S7" s="62">
        <f ca="1">AVERAGE(OFFSET($R$3,0,0,'Données projet'!$E$9+1,1))-AVERAGE(OFFSET($H$3,0,0,'Données projet'!$E$9+1,1))</f>
        <v>329.14247505779747</v>
      </c>
      <c r="T7" s="62">
        <f t="shared" si="34"/>
        <v>199.43308683696642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2.6904761904761907</v>
      </c>
      <c r="AI7" s="14">
        <f>IF('Données projet'!$A$62&gt;35,AI6+AH7-AQ6,IF(A7&lt;'Données projet'!$A$62,$AF$205^A7,IF(A7='Données projet'!$A$62,'Données projet'!$B$62,AI6+AH7-AQ6)))</f>
        <v>10.761904761904763</v>
      </c>
      <c r="AJ7" s="14">
        <f>AI7*VLOOKUP('Données projet'!$B$10,Paramètres!$A$1:$I$89,3,0)*VLOOKUP('Données projet'!$B$10,Paramètres!$A$1:$I$89,5,0)</f>
        <v>10.912571428571431</v>
      </c>
      <c r="AK7" s="14">
        <f t="shared" si="35"/>
        <v>3.8077151321299487</v>
      </c>
      <c r="AL7" s="22">
        <f t="shared" si="4"/>
        <v>25.637832426554898</v>
      </c>
      <c r="AM7" s="62">
        <f t="shared" si="5"/>
        <v>287.19338798211044</v>
      </c>
      <c r="AN7" s="62">
        <f ca="1">AVERAGE(OFFSET($AM$3,0,0,'Données projet'!$E$10+1,1))-AVERAGE(OFFSET($H$3,0,0,'Données projet'!$E$10+1,1))</f>
        <v>363.99473967460347</v>
      </c>
      <c r="AO7" s="62">
        <f t="shared" si="36"/>
        <v>218.5520645293999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268.60161890936467</v>
      </c>
      <c r="BI7" s="62">
        <f ca="1">AVERAGE(OFFSET($BH$3,0,0,'Données projet'!$E$11+1,1))-AVERAGE(OFFSET($H$3,0,0,'Données projet'!$E$11+1,1))</f>
        <v>321.23599968992932</v>
      </c>
      <c r="BJ7" s="62">
        <f t="shared" si="38"/>
        <v>388.05195847800502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2.6904761904761907</v>
      </c>
      <c r="N8" s="14">
        <f>IF('Données projet'!$A$36&gt;35,N7+M8-V7,IF(A8&lt;'Données projet'!$A$36,$K$205^A8,IF(A8='Données projet'!$A$36,'Données projet'!$B$36,N7+M8-V7)))</f>
        <v>13.452380952380953</v>
      </c>
      <c r="O8" s="14">
        <f>N8*VLOOKUP('Données projet'!$B$9,Paramètres!$A$1:$I$89,3,0)*VLOOKUP('Données projet'!$B$9,Paramètres!$A$1:$I$89,5,0)</f>
        <v>12.171714285714286</v>
      </c>
      <c r="P8" s="14">
        <f t="shared" si="33"/>
        <v>4.1934249090509752</v>
      </c>
      <c r="Q8" s="22">
        <f t="shared" si="2"/>
        <v>28.502617430882832</v>
      </c>
      <c r="R8" s="62">
        <f t="shared" si="0"/>
        <v>291.28039520866059</v>
      </c>
      <c r="S8" s="62">
        <f ca="1">AVERAGE(OFFSET($R$3,0,0,'Données projet'!$E$9+1,1))-AVERAGE(OFFSET($H$3,0,0,'Données projet'!$E$9+1,1))</f>
        <v>329.14247505779747</v>
      </c>
      <c r="T8" s="62">
        <f t="shared" si="34"/>
        <v>199.43308683696642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2.6904761904761907</v>
      </c>
      <c r="AI8" s="14">
        <f>IF('Données projet'!$A$62&gt;35,AI7+AH8-AQ7,IF(A8&lt;'Données projet'!$A$62,$AF$205^A8,IF(A8='Données projet'!$A$62,'Données projet'!$B$62,AI7+AH8-AQ7)))</f>
        <v>13.452380952380953</v>
      </c>
      <c r="AJ8" s="14">
        <f>AI8*VLOOKUP('Données projet'!$B$10,Paramètres!$A$1:$I$89,3,0)*VLOOKUP('Données projet'!$B$10,Paramètres!$A$1:$I$89,5,0)</f>
        <v>13.640714285714285</v>
      </c>
      <c r="AK8" s="14">
        <f t="shared" si="35"/>
        <v>4.6376090771358101</v>
      </c>
      <c r="AL8" s="22">
        <f t="shared" si="4"/>
        <v>31.834746523630582</v>
      </c>
      <c r="AM8" s="62">
        <f t="shared" si="5"/>
        <v>294.61252430140837</v>
      </c>
      <c r="AN8" s="62">
        <f ca="1">AVERAGE(OFFSET($AM$3,0,0,'Données projet'!$E$10+1,1))-AVERAGE(OFFSET($H$3,0,0,'Données projet'!$E$10+1,1))</f>
        <v>363.99473967460347</v>
      </c>
      <c r="AO8" s="62">
        <f t="shared" si="36"/>
        <v>218.5520645293999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272.1737853666977</v>
      </c>
      <c r="BI8" s="62">
        <f ca="1">AVERAGE(OFFSET($BH$3,0,0,'Données projet'!$E$11+1,1))-AVERAGE(OFFSET($H$3,0,0,'Données projet'!$E$11+1,1))</f>
        <v>321.23599968992932</v>
      </c>
      <c r="BJ8" s="62">
        <f t="shared" si="38"/>
        <v>388.05195847800502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2.6904761904761907</v>
      </c>
      <c r="N9" s="14">
        <f>IF('Données projet'!$A$36&gt;35,N8+M9-V8,IF(A9&lt;'Données projet'!$A$36,$K$205^A9,IF(A9='Données projet'!$A$36,'Données projet'!$B$36,N8+M9-V8)))</f>
        <v>16.142857142857142</v>
      </c>
      <c r="O9" s="14">
        <f>N9*VLOOKUP('Données projet'!$B$9,Paramètres!$A$1:$I$89,3,0)*VLOOKUP('Données projet'!$B$9,Paramètres!$A$1:$I$89,5,0)</f>
        <v>14.606057142857141</v>
      </c>
      <c r="P9" s="14">
        <f t="shared" si="33"/>
        <v>4.9264425158391649</v>
      </c>
      <c r="Q9" s="22">
        <f t="shared" si="2"/>
        <v>34.019103572229398</v>
      </c>
      <c r="R9" s="62">
        <f t="shared" si="0"/>
        <v>298.01910357222937</v>
      </c>
      <c r="S9" s="62">
        <f ca="1">AVERAGE(OFFSET($R$3,0,0,'Données projet'!$E$9+1,1))-AVERAGE(OFFSET($H$3,0,0,'Données projet'!$E$9+1,1))</f>
        <v>329.14247505779747</v>
      </c>
      <c r="T9" s="62">
        <f t="shared" si="34"/>
        <v>199.43308683696642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2.6904761904761907</v>
      </c>
      <c r="AI9" s="14">
        <f>IF('Données projet'!$A$62&gt;35,AI8+AH9-AQ8,IF(A9&lt;'Données projet'!$A$62,$AF$205^A9,IF(A9='Données projet'!$A$62,'Données projet'!$B$62,AI8+AH9-AQ8)))</f>
        <v>16.142857142857142</v>
      </c>
      <c r="AJ9" s="14">
        <f>AI9*VLOOKUP('Données projet'!$B$10,Paramètres!$A$1:$I$89,3,0)*VLOOKUP('Données projet'!$B$10,Paramètres!$A$1:$I$89,5,0)</f>
        <v>16.368857142857145</v>
      </c>
      <c r="AK9" s="14">
        <f t="shared" si="35"/>
        <v>5.4482708108427866</v>
      </c>
      <c r="AL9" s="22">
        <f t="shared" si="4"/>
        <v>37.998164519360706</v>
      </c>
      <c r="AM9" s="62">
        <f t="shared" si="5"/>
        <v>301.99816451936073</v>
      </c>
      <c r="AN9" s="62">
        <f ca="1">AVERAGE(OFFSET($AM$3,0,0,'Données projet'!$E$10+1,1))-AVERAGE(OFFSET($H$3,0,0,'Données projet'!$E$10+1,1))</f>
        <v>363.99473967460347</v>
      </c>
      <c r="AO9" s="62">
        <f t="shared" si="36"/>
        <v>218.5520645293999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276.53273587814192</v>
      </c>
      <c r="BI9" s="62">
        <f ca="1">AVERAGE(OFFSET($BH$3,0,0,'Données projet'!$E$11+1,1))-AVERAGE(OFFSET($H$3,0,0,'Données projet'!$E$11+1,1))</f>
        <v>321.23599968992932</v>
      </c>
      <c r="BJ9" s="62">
        <f t="shared" si="38"/>
        <v>388.05195847800502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2.6904761904761907</v>
      </c>
      <c r="N10" s="14">
        <f>IF('Données projet'!$A$36&gt;35,N9+M10-V9,IF(A10&lt;'Données projet'!$A$36,$K$205^A10,IF(A10='Données projet'!$A$36,'Données projet'!$B$36,N9+M10-V9)))</f>
        <v>18.833333333333332</v>
      </c>
      <c r="O10" s="14">
        <f>N10*VLOOKUP('Données projet'!$B$9,Paramètres!$A$1:$I$89,3,0)*VLOOKUP('Données projet'!$B$9,Paramètres!$A$1:$I$89,5,0)</f>
        <v>17.040399999999998</v>
      </c>
      <c r="P10" s="14">
        <f t="shared" si="33"/>
        <v>5.6453074997047406</v>
      </c>
      <c r="Q10" s="22">
        <f t="shared" si="2"/>
        <v>39.510940561985755</v>
      </c>
      <c r="R10" s="62">
        <f t="shared" si="0"/>
        <v>304.73316278420799</v>
      </c>
      <c r="S10" s="62">
        <f ca="1">AVERAGE(OFFSET($R$3,0,0,'Données projet'!$E$9+1,1))-AVERAGE(OFFSET($H$3,0,0,'Données projet'!$E$9+1,1))</f>
        <v>329.14247505779747</v>
      </c>
      <c r="T10" s="62">
        <f t="shared" si="34"/>
        <v>199.43308683696642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2.6904761904761907</v>
      </c>
      <c r="AI10" s="14">
        <f>IF('Données projet'!$A$62&gt;35,AI9+AH10-AQ9,IF(A10&lt;'Données projet'!$A$62,$AF$205^A10,IF(A10='Données projet'!$A$62,'Données projet'!$B$62,AI9+AH10-AQ9)))</f>
        <v>18.833333333333332</v>
      </c>
      <c r="AJ10" s="14">
        <f>AI10*VLOOKUP('Données projet'!$B$10,Paramètres!$A$1:$I$89,3,0)*VLOOKUP('Données projet'!$B$10,Paramètres!$A$1:$I$89,5,0)</f>
        <v>19.097000000000001</v>
      </c>
      <c r="AK10" s="14">
        <f t="shared" si="35"/>
        <v>6.2432808197771195</v>
      </c>
      <c r="AL10" s="22">
        <f t="shared" si="4"/>
        <v>44.134322427778478</v>
      </c>
      <c r="AM10" s="62">
        <f t="shared" si="5"/>
        <v>309.35654465000073</v>
      </c>
      <c r="AN10" s="62">
        <f ca="1">AVERAGE(OFFSET($AM$3,0,0,'Données projet'!$E$10+1,1))-AVERAGE(OFFSET($H$3,0,0,'Données projet'!$E$10+1,1))</f>
        <v>363.99473967460347</v>
      </c>
      <c r="AO10" s="62">
        <f t="shared" si="36"/>
        <v>218.5520645293999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281.94284779668016</v>
      </c>
      <c r="BI10" s="62">
        <f ca="1">AVERAGE(OFFSET($BH$3,0,0,'Données projet'!$E$11+1,1))-AVERAGE(OFFSET($H$3,0,0,'Données projet'!$E$11+1,1))</f>
        <v>321.23599968992932</v>
      </c>
      <c r="BJ10" s="62">
        <f t="shared" si="38"/>
        <v>388.05195847800502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2.6904761904761907</v>
      </c>
      <c r="N11" s="14">
        <f>IF('Données projet'!$A$36&gt;35,N10+M11-V10,IF(A11&lt;'Données projet'!$A$36,$K$205^A11,IF(A11='Données projet'!$A$36,'Données projet'!$B$36,N10+M11-V10)))</f>
        <v>21.523809523809522</v>
      </c>
      <c r="O11" s="14">
        <f>N11*VLOOKUP('Données projet'!$B$9,Paramètres!$A$1:$I$89,3,0)*VLOOKUP('Données projet'!$B$9,Paramètres!$A$1:$I$89,5,0)</f>
        <v>19.474742857142854</v>
      </c>
      <c r="P11" s="14">
        <f t="shared" si="33"/>
        <v>6.3522749435607562</v>
      </c>
      <c r="Q11" s="22">
        <f t="shared" si="2"/>
        <v>44.982056002892115</v>
      </c>
      <c r="R11" s="62">
        <f t="shared" si="0"/>
        <v>311.42650044733659</v>
      </c>
      <c r="S11" s="62">
        <f ca="1">AVERAGE(OFFSET($R$3,0,0,'Données projet'!$E$9+1,1))-AVERAGE(OFFSET($H$3,0,0,'Données projet'!$E$9+1,1))</f>
        <v>329.14247505779747</v>
      </c>
      <c r="T11" s="62">
        <f t="shared" si="34"/>
        <v>199.43308683696642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2.6904761904761907</v>
      </c>
      <c r="AI11" s="14">
        <f>IF('Données projet'!$A$62&gt;35,AI10+AH11-AQ10,IF(A11&lt;'Données projet'!$A$62,$AF$205^A11,IF(A11='Données projet'!$A$62,'Données projet'!$B$62,AI10+AH11-AQ10)))</f>
        <v>21.523809523809522</v>
      </c>
      <c r="AJ11" s="14">
        <f>AI11*VLOOKUP('Données projet'!$B$10,Paramètres!$A$1:$I$89,3,0)*VLOOKUP('Données projet'!$B$10,Paramètres!$A$1:$I$89,5,0)</f>
        <v>21.825142857142858</v>
      </c>
      <c r="AK11" s="14">
        <f t="shared" si="35"/>
        <v>7.0251330541618673</v>
      </c>
      <c r="AL11" s="22">
        <f t="shared" si="4"/>
        <v>50.247563878855722</v>
      </c>
      <c r="AM11" s="62">
        <f t="shared" si="5"/>
        <v>316.69200832330017</v>
      </c>
      <c r="AN11" s="62">
        <f ca="1">AVERAGE(OFFSET($AM$3,0,0,'Données projet'!$E$10+1,1))-AVERAGE(OFFSET($H$3,0,0,'Données projet'!$E$10+1,1))</f>
        <v>363.99473967460347</v>
      </c>
      <c r="AO11" s="62">
        <f t="shared" si="36"/>
        <v>218.5520645293999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288.75763277636707</v>
      </c>
      <c r="BI11" s="62">
        <f ca="1">AVERAGE(OFFSET($BH$3,0,0,'Données projet'!$E$11+1,1))-AVERAGE(OFFSET($H$3,0,0,'Données projet'!$E$11+1,1))</f>
        <v>321.23599968992932</v>
      </c>
      <c r="BJ11" s="62">
        <f t="shared" si="38"/>
        <v>388.05195847800502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2.6904761904761907</v>
      </c>
      <c r="N12" s="14">
        <f>IF('Données projet'!$A$36&gt;35,N11+M12-V11,IF(A12&lt;'Données projet'!$A$36,$K$205^A12,IF(A12='Données projet'!$A$36,'Données projet'!$B$36,N11+M12-V11)))</f>
        <v>24.214285714285712</v>
      </c>
      <c r="O12" s="14">
        <f>N12*VLOOKUP('Données projet'!$B$9,Paramètres!$A$1:$I$89,3,0)*VLOOKUP('Données projet'!$B$9,Paramètres!$A$1:$I$89,5,0)</f>
        <v>21.909085714285712</v>
      </c>
      <c r="P12" s="14">
        <f t="shared" si="33"/>
        <v>7.0490023620352611</v>
      </c>
      <c r="Q12" s="22">
        <f t="shared" si="2"/>
        <v>50.435336732925691</v>
      </c>
      <c r="R12" s="62">
        <f t="shared" si="0"/>
        <v>318.10200339959238</v>
      </c>
      <c r="S12" s="62">
        <f ca="1">AVERAGE(OFFSET($R$3,0,0,'Données projet'!$E$9+1,1))-AVERAGE(OFFSET($H$3,0,0,'Données projet'!$E$9+1,1))</f>
        <v>329.14247505779747</v>
      </c>
      <c r="T12" s="62">
        <f t="shared" si="34"/>
        <v>199.43308683696642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2.6904761904761907</v>
      </c>
      <c r="AI12" s="14">
        <f>IF('Données projet'!$A$62&gt;35,AI11+AH12-AQ11,IF(A12&lt;'Données projet'!$A$62,$AF$205^A12,IF(A12='Données projet'!$A$62,'Données projet'!$B$62,AI11+AH12-AQ11)))</f>
        <v>24.214285714285712</v>
      </c>
      <c r="AJ12" s="14">
        <f>AI12*VLOOKUP('Données projet'!$B$10,Paramètres!$A$1:$I$89,3,0)*VLOOKUP('Données projet'!$B$10,Paramètres!$A$1:$I$89,5,0)</f>
        <v>24.553285714285714</v>
      </c>
      <c r="AK12" s="14">
        <f t="shared" si="35"/>
        <v>7.7956605991365588</v>
      </c>
      <c r="AL12" s="22">
        <f t="shared" si="4"/>
        <v>56.341081495877127</v>
      </c>
      <c r="AM12" s="62">
        <f t="shared" si="5"/>
        <v>324.00774816254381</v>
      </c>
      <c r="AN12" s="62">
        <f ca="1">AVERAGE(OFFSET($AM$3,0,0,'Données projet'!$E$10+1,1))-AVERAGE(OFFSET($H$3,0,0,'Données projet'!$E$10+1,1))</f>
        <v>363.99473967460347</v>
      </c>
      <c r="AO12" s="62">
        <f t="shared" si="36"/>
        <v>218.5520645293999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297.44988061647149</v>
      </c>
      <c r="BI12" s="62">
        <f ca="1">AVERAGE(OFFSET($BH$3,0,0,'Données projet'!$E$11+1,1))-AVERAGE(OFFSET($H$3,0,0,'Données projet'!$E$11+1,1))</f>
        <v>321.23599968992932</v>
      </c>
      <c r="BJ12" s="62">
        <f t="shared" si="38"/>
        <v>388.05195847800502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2.6904761904761907</v>
      </c>
      <c r="N13" s="14">
        <f>IF('Données projet'!$A$36&gt;35,N12+M13-V12,IF(A13&lt;'Données projet'!$A$36,$K$205^A13,IF(A13='Données projet'!$A$36,'Données projet'!$B$36,N12+M13-V12)))</f>
        <v>26.904761904761902</v>
      </c>
      <c r="O13" s="14">
        <f>N13*VLOOKUP('Données projet'!$B$9,Paramètres!$A$1:$I$89,3,0)*VLOOKUP('Données projet'!$B$9,Paramètres!$A$1:$I$89,5,0)</f>
        <v>24.343428571428568</v>
      </c>
      <c r="P13" s="14">
        <f t="shared" si="33"/>
        <v>7.7367573246585843</v>
      </c>
      <c r="Q13" s="22">
        <f t="shared" si="2"/>
        <v>55.872990435685118</v>
      </c>
      <c r="R13" s="62">
        <f t="shared" si="0"/>
        <v>324.76187932457395</v>
      </c>
      <c r="S13" s="62">
        <f ca="1">AVERAGE(OFFSET($R$3,0,0,'Données projet'!$E$9+1,1))-AVERAGE(OFFSET($H$3,0,0,'Données projet'!$E$9+1,1))</f>
        <v>329.14247505779747</v>
      </c>
      <c r="T13" s="62">
        <f t="shared" si="34"/>
        <v>199.43308683696642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2.6904761904761907</v>
      </c>
      <c r="AI13" s="14">
        <f>IF('Données projet'!$A$62&gt;35,AI12+AH13-AQ12,IF(A13&lt;'Données projet'!$A$62,$AF$205^A13,IF(A13='Données projet'!$A$62,'Données projet'!$B$62,AI12+AH13-AQ12)))</f>
        <v>26.904761904761902</v>
      </c>
      <c r="AJ13" s="14">
        <f>AI13*VLOOKUP('Données projet'!$B$10,Paramètres!$A$1:$I$89,3,0)*VLOOKUP('Données projet'!$B$10,Paramètres!$A$1:$I$89,5,0)</f>
        <v>27.28142857142857</v>
      </c>
      <c r="AK13" s="14">
        <f t="shared" si="35"/>
        <v>8.5562652902144691</v>
      </c>
      <c r="AL13" s="22">
        <f t="shared" si="4"/>
        <v>62.417316809028286</v>
      </c>
      <c r="AM13" s="62">
        <f t="shared" si="5"/>
        <v>331.30620569791716</v>
      </c>
      <c r="AN13" s="62">
        <f ca="1">AVERAGE(OFFSET($AM$3,0,0,'Données projet'!$E$10+1,1))-AVERAGE(OFFSET($H$3,0,0,'Données projet'!$E$10+1,1))</f>
        <v>363.99473967460347</v>
      </c>
      <c r="AO13" s="62">
        <f t="shared" si="36"/>
        <v>218.5520645293999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308.65202588598413</v>
      </c>
      <c r="BI13" s="62">
        <f ca="1">AVERAGE(OFFSET($BH$3,0,0,'Données projet'!$E$11+1,1))-AVERAGE(OFFSET($H$3,0,0,'Données projet'!$E$11+1,1))</f>
        <v>321.23599968992932</v>
      </c>
      <c r="BJ13" s="62">
        <f t="shared" si="38"/>
        <v>388.05195847800502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2.6904761904761907</v>
      </c>
      <c r="N14" s="14">
        <f>IF('Données projet'!$A$36&gt;35,N13+M14-V13,IF(A14&lt;'Données projet'!$A$36,$K$205^A14,IF(A14='Données projet'!$A$36,'Données projet'!$B$36,N13+M14-V13)))</f>
        <v>29.595238095238091</v>
      </c>
      <c r="O14" s="14">
        <f>N14*VLOOKUP('Données projet'!$B$9,Paramètres!$A$1:$I$89,3,0)*VLOOKUP('Données projet'!$B$9,Paramètres!$A$1:$I$89,5,0)</f>
        <v>26.777771428571423</v>
      </c>
      <c r="P14" s="14">
        <f t="shared" si="33"/>
        <v>8.4165392168828053</v>
      </c>
      <c r="Q14" s="22">
        <f t="shared" si="2"/>
        <v>61.296757707499445</v>
      </c>
      <c r="R14" s="62">
        <f t="shared" si="0"/>
        <v>331.40786881861061</v>
      </c>
      <c r="S14" s="62">
        <f ca="1">AVERAGE(OFFSET($R$3,0,0,'Données projet'!$E$9+1,1))-AVERAGE(OFFSET($H$3,0,0,'Données projet'!$E$9+1,1))</f>
        <v>329.14247505779747</v>
      </c>
      <c r="T14" s="62">
        <f t="shared" si="34"/>
        <v>199.43308683696642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2.6904761904761907</v>
      </c>
      <c r="AI14" s="14">
        <f>IF('Données projet'!$A$62&gt;35,AI13+AH14-AQ13,IF(A14&lt;'Données projet'!$A$62,$AF$205^A14,IF(A14='Données projet'!$A$62,'Données projet'!$B$62,AI13+AH14-AQ13)))</f>
        <v>29.595238095238091</v>
      </c>
      <c r="AJ14" s="14">
        <f>AI14*VLOOKUP('Données projet'!$B$10,Paramètres!$A$1:$I$89,3,0)*VLOOKUP('Données projet'!$B$10,Paramètres!$A$1:$I$89,5,0)</f>
        <v>30.009571428571427</v>
      </c>
      <c r="AK14" s="14">
        <f t="shared" si="35"/>
        <v>9.3080523717113106</v>
      </c>
      <c r="AL14" s="22">
        <f t="shared" si="4"/>
        <v>68.478194785492434</v>
      </c>
      <c r="AM14" s="62">
        <f t="shared" si="5"/>
        <v>338.58930589660361</v>
      </c>
      <c r="AN14" s="62">
        <f ca="1">AVERAGE(OFFSET($AM$3,0,0,'Données projet'!$E$10+1,1))-AVERAGE(OFFSET($H$3,0,0,'Données projet'!$E$10+1,1))</f>
        <v>363.99473967460347</v>
      </c>
      <c r="AO14" s="62">
        <f t="shared" si="36"/>
        <v>218.5520645293999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323.21021303813882</v>
      </c>
      <c r="BI14" s="62">
        <f ca="1">AVERAGE(OFFSET($BH$3,0,0,'Données projet'!$E$11+1,1))-AVERAGE(OFFSET($H$3,0,0,'Données projet'!$E$11+1,1))</f>
        <v>321.23599968992932</v>
      </c>
      <c r="BJ14" s="62">
        <f t="shared" si="38"/>
        <v>388.05195847800502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2.6904761904761907</v>
      </c>
      <c r="N15" s="14">
        <f>IF('Données projet'!$A$36&gt;35,N14+M15-V14,IF(A15&lt;'Données projet'!$A$36,$K$205^A15,IF(A15='Données projet'!$A$36,'Données projet'!$B$36,N14+M15-V14)))</f>
        <v>32.285714285714285</v>
      </c>
      <c r="O15" s="14">
        <f>N15*VLOOKUP('Données projet'!$B$9,Paramètres!$A$1:$I$89,3,0)*VLOOKUP('Données projet'!$B$9,Paramètres!$A$1:$I$89,5,0)</f>
        <v>29.212114285714282</v>
      </c>
      <c r="P15" s="14">
        <f t="shared" si="33"/>
        <v>9.0891552956301744</v>
      </c>
      <c r="Q15" s="22">
        <f t="shared" si="2"/>
        <v>66.708044520841597</v>
      </c>
      <c r="R15" s="62">
        <f t="shared" si="0"/>
        <v>338.04137785417493</v>
      </c>
      <c r="S15" s="62">
        <f ca="1">AVERAGE(OFFSET($R$3,0,0,'Données projet'!$E$9+1,1))-AVERAGE(OFFSET($H$3,0,0,'Données projet'!$E$9+1,1))</f>
        <v>329.14247505779747</v>
      </c>
      <c r="T15" s="62">
        <f t="shared" si="34"/>
        <v>199.43308683696642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2.6904761904761907</v>
      </c>
      <c r="AI15" s="14">
        <f>IF('Données projet'!$A$62&gt;35,AI14+AH15-AQ14,IF(A15&lt;'Données projet'!$A$62,$AF$205^A15,IF(A15='Données projet'!$A$62,'Données projet'!$B$62,AI14+AH15-AQ14)))</f>
        <v>32.285714285714285</v>
      </c>
      <c r="AJ15" s="14">
        <f>AI15*VLOOKUP('Données projet'!$B$10,Paramètres!$A$1:$I$89,3,0)*VLOOKUP('Données projet'!$B$10,Paramètres!$A$1:$I$89,5,0)</f>
        <v>32.73771428571429</v>
      </c>
      <c r="AK15" s="14">
        <f t="shared" si="35"/>
        <v>10.051914608398462</v>
      </c>
      <c r="AL15" s="22">
        <f t="shared" si="4"/>
        <v>74.525270323913048</v>
      </c>
      <c r="AM15" s="62">
        <f t="shared" si="5"/>
        <v>345.85860365724636</v>
      </c>
      <c r="AN15" s="62">
        <f ca="1">AVERAGE(OFFSET($AM$3,0,0,'Données projet'!$E$10+1,1))-AVERAGE(OFFSET($H$3,0,0,'Données projet'!$E$10+1,1))</f>
        <v>363.99473967460347</v>
      </c>
      <c r="AO15" s="62">
        <f t="shared" si="36"/>
        <v>218.5520645293999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342.256720169272</v>
      </c>
      <c r="BI15" s="62">
        <f ca="1">AVERAGE(OFFSET($BH$3,0,0,'Données projet'!$E$11+1,1))-AVERAGE(OFFSET($H$3,0,0,'Données projet'!$E$11+1,1))</f>
        <v>321.23599968992932</v>
      </c>
      <c r="BJ15" s="62">
        <f t="shared" si="38"/>
        <v>388.05195847800502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2.6904761904761907</v>
      </c>
      <c r="N16" s="14">
        <f>IF('Données projet'!$A$36&gt;35,N15+M16-V15,IF(A16&lt;'Données projet'!$A$36,$K$205^A16,IF(A16='Données projet'!$A$36,'Données projet'!$B$36,N15+M16-V15)))</f>
        <v>34.976190476190474</v>
      </c>
      <c r="O16" s="14">
        <f>N16*VLOOKUP('Données projet'!$B$9,Paramètres!$A$1:$I$89,3,0)*VLOOKUP('Données projet'!$B$9,Paramètres!$A$1:$I$89,5,0)</f>
        <v>31.646457142857141</v>
      </c>
      <c r="P16" s="14">
        <f t="shared" si="33"/>
        <v>9.7552706028032752</v>
      </c>
      <c r="Q16" s="22">
        <f t="shared" si="2"/>
        <v>72.108009157025222</v>
      </c>
      <c r="R16" s="62">
        <f t="shared" si="0"/>
        <v>344.66356471258075</v>
      </c>
      <c r="S16" s="62">
        <f ca="1">AVERAGE(OFFSET($R$3,0,0,'Données projet'!$E$9+1,1))-AVERAGE(OFFSET($H$3,0,0,'Données projet'!$E$9+1,1))</f>
        <v>329.14247505779747</v>
      </c>
      <c r="T16" s="62">
        <f t="shared" si="34"/>
        <v>199.43308683696642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2.6904761904761907</v>
      </c>
      <c r="AI16" s="14">
        <f>IF('Données projet'!$A$62&gt;35,AI15+AH16-AQ15,IF(A16&lt;'Données projet'!$A$62,$AF$205^A16,IF(A16='Données projet'!$A$62,'Données projet'!$B$62,AI15+AH16-AQ15)))</f>
        <v>34.976190476190474</v>
      </c>
      <c r="AJ16" s="14">
        <f>AI16*VLOOKUP('Données projet'!$B$10,Paramètres!$A$1:$I$89,3,0)*VLOOKUP('Données projet'!$B$10,Paramètres!$A$1:$I$89,5,0)</f>
        <v>35.465857142857146</v>
      </c>
      <c r="AK16" s="14">
        <f t="shared" si="35"/>
        <v>10.78858748604973</v>
      </c>
      <c r="AL16" s="22">
        <f t="shared" si="4"/>
        <v>80.559824395346126</v>
      </c>
      <c r="AM16" s="62">
        <f t="shared" si="5"/>
        <v>353.11537995090168</v>
      </c>
      <c r="AN16" s="62">
        <f ca="1">AVERAGE(OFFSET($AM$3,0,0,'Données projet'!$E$10+1,1))-AVERAGE(OFFSET($H$3,0,0,'Données projet'!$E$10+1,1))</f>
        <v>363.99473967460347</v>
      </c>
      <c r="AO16" s="62">
        <f t="shared" si="36"/>
        <v>218.5520645293999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367.30699048697261</v>
      </c>
      <c r="BI16" s="62">
        <f ca="1">AVERAGE(OFFSET($BH$3,0,0,'Données projet'!$E$11+1,1))-AVERAGE(OFFSET($H$3,0,0,'Données projet'!$E$11+1,1))</f>
        <v>321.23599968992932</v>
      </c>
      <c r="BJ16" s="62">
        <f t="shared" si="38"/>
        <v>388.05195847800502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2.6904761904761907</v>
      </c>
      <c r="N17" s="14">
        <f>IF('Données projet'!$A$36&gt;35,N16+M17-V16,IF(A17&lt;'Données projet'!$A$36,$K$205^A17,IF(A17='Données projet'!$A$36,'Données projet'!$B$36,N16+M17-V16)))</f>
        <v>37.666666666666664</v>
      </c>
      <c r="O17" s="14">
        <f>N17*VLOOKUP('Données projet'!$B$9,Paramètres!$A$1:$I$89,3,0)*VLOOKUP('Données projet'!$B$9,Paramètres!$A$1:$I$89,5,0)</f>
        <v>34.080799999999996</v>
      </c>
      <c r="P17" s="14">
        <f t="shared" si="33"/>
        <v>10.415442054064398</v>
      </c>
      <c r="Q17" s="22">
        <f t="shared" si="2"/>
        <v>77.497621577495494</v>
      </c>
      <c r="R17" s="62">
        <f t="shared" si="0"/>
        <v>351.27539935527329</v>
      </c>
      <c r="S17" s="62">
        <f ca="1">AVERAGE(OFFSET($R$3,0,0,'Données projet'!$E$9+1,1))-AVERAGE(OFFSET($H$3,0,0,'Données projet'!$E$9+1,1))</f>
        <v>329.14247505779747</v>
      </c>
      <c r="T17" s="62">
        <f t="shared" si="34"/>
        <v>199.43308683696642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2.6904761904761907</v>
      </c>
      <c r="AI17" s="14">
        <f>IF('Données projet'!$A$62&gt;35,AI16+AH17-AQ16,IF(A17&lt;'Données projet'!$A$62,$AF$205^A17,IF(A17='Données projet'!$A$62,'Données projet'!$B$62,AI16+AH17-AQ16)))</f>
        <v>37.666666666666664</v>
      </c>
      <c r="AJ17" s="14">
        <f>AI17*VLOOKUP('Données projet'!$B$10,Paramètres!$A$1:$I$89,3,0)*VLOOKUP('Données projet'!$B$10,Paramètres!$A$1:$I$89,5,0)</f>
        <v>38.194000000000003</v>
      </c>
      <c r="AK17" s="14">
        <f t="shared" si="35"/>
        <v>11.518686911039172</v>
      </c>
      <c r="AL17" s="22">
        <f t="shared" si="4"/>
        <v>86.582929703393233</v>
      </c>
      <c r="AM17" s="62">
        <f t="shared" si="5"/>
        <v>360.360707481171</v>
      </c>
      <c r="AN17" s="62">
        <f ca="1">AVERAGE(OFFSET($AM$3,0,0,'Données projet'!$E$10+1,1))-AVERAGE(OFFSET($H$3,0,0,'Données projet'!$E$10+1,1))</f>
        <v>363.99473967460347</v>
      </c>
      <c r="AO17" s="62">
        <f t="shared" si="36"/>
        <v>218.5520645293999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400.38965230191957</v>
      </c>
      <c r="BI17" s="62">
        <f ca="1">AVERAGE(OFFSET($BH$3,0,0,'Données projet'!$E$11+1,1))-AVERAGE(OFFSET($H$3,0,0,'Données projet'!$E$11+1,1))</f>
        <v>321.23599968992932</v>
      </c>
      <c r="BJ17" s="62">
        <f t="shared" si="38"/>
        <v>388.05195847800502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2.6904761904761907</v>
      </c>
      <c r="N18" s="14">
        <f>IF('Données projet'!$A$36&gt;35,N17+M18-V17,IF(A18&lt;'Données projet'!$A$36,$K$205^A18,IF(A18='Données projet'!$A$36,'Données projet'!$B$36,N17+M18-V17)))</f>
        <v>40.357142857142854</v>
      </c>
      <c r="O18" s="14">
        <f>N18*VLOOKUP('Données projet'!$B$9,Paramètres!$A$1:$I$89,3,0)*VLOOKUP('Données projet'!$B$9,Paramètres!$A$1:$I$89,5,0)</f>
        <v>36.515142857142855</v>
      </c>
      <c r="P18" s="14">
        <f t="shared" si="33"/>
        <v>11.070142497485797</v>
      </c>
      <c r="Q18" s="22">
        <f t="shared" si="2"/>
        <v>82.877705325978226</v>
      </c>
      <c r="R18" s="62">
        <f t="shared" si="0"/>
        <v>357.87770532597824</v>
      </c>
      <c r="S18" s="62">
        <f ca="1">AVERAGE(OFFSET($R$3,0,0,'Données projet'!$E$9+1,1))-AVERAGE(OFFSET($H$3,0,0,'Données projet'!$E$9+1,1))</f>
        <v>329.14247505779747</v>
      </c>
      <c r="T18" s="62">
        <f t="shared" si="34"/>
        <v>199.43308683696642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2.6904761904761907</v>
      </c>
      <c r="AI18" s="14">
        <f>IF('Données projet'!$A$62&gt;35,AI17+AH18-AQ17,IF(A18&lt;'Données projet'!$A$62,$AF$205^A18,IF(A18='Données projet'!$A$62,'Données projet'!$B$62,AI17+AH18-AQ17)))</f>
        <v>40.357142857142854</v>
      </c>
      <c r="AJ18" s="14">
        <f>AI18*VLOOKUP('Données projet'!$B$10,Paramètres!$A$1:$I$89,3,0)*VLOOKUP('Données projet'!$B$10,Paramètres!$A$1:$I$89,5,0)</f>
        <v>40.922142857142859</v>
      </c>
      <c r="AK18" s="14">
        <f t="shared" si="35"/>
        <v>12.242735817378851</v>
      </c>
      <c r="AL18" s="22">
        <f t="shared" si="4"/>
        <v>92.595497024791982</v>
      </c>
      <c r="AM18" s="62">
        <f t="shared" si="5"/>
        <v>367.595497024792</v>
      </c>
      <c r="AN18" s="62">
        <f ca="1">AVERAGE(OFFSET($AM$3,0,0,'Données projet'!$E$10+1,1))-AVERAGE(OFFSET($H$3,0,0,'Données projet'!$E$10+1,1))</f>
        <v>363.99473967460347</v>
      </c>
      <c r="AO18" s="62">
        <f t="shared" si="36"/>
        <v>218.5520645293999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444.2207687360675</v>
      </c>
      <c r="BI18" s="62">
        <f ca="1">AVERAGE(OFFSET($BH$3,0,0,'Données projet'!$E$11+1,1))-AVERAGE(OFFSET($H$3,0,0,'Données projet'!$E$11+1,1))</f>
        <v>321.23599968992932</v>
      </c>
      <c r="BJ18" s="62">
        <f t="shared" si="38"/>
        <v>388.05195847800502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21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2.6904761904761907</v>
      </c>
      <c r="N19" s="14">
        <f>IF('Données projet'!$A$36&gt;35,N18+M19-V18,IF(A19&lt;'Données projet'!$A$36,$K$205^A19,IF(A19='Données projet'!$A$36,'Données projet'!$B$36,N18+M19-V18)))</f>
        <v>43.047619047619044</v>
      </c>
      <c r="O19" s="14">
        <f>N19*VLOOKUP('Données projet'!$B$9,Paramètres!$A$1:$I$89,3,0)*VLOOKUP('Données projet'!$B$9,Paramètres!$A$1:$I$89,5,0)</f>
        <v>38.949485714285707</v>
      </c>
      <c r="P19" s="14">
        <f t="shared" si="33"/>
        <v>11.719778167903632</v>
      </c>
      <c r="Q19" s="22">
        <f t="shared" si="2"/>
        <v>88.248967928146428</v>
      </c>
      <c r="R19" s="62">
        <f t="shared" si="0"/>
        <v>364.47119015036867</v>
      </c>
      <c r="S19" s="62">
        <f ca="1">AVERAGE(OFFSET($R$3,0,0,'Données projet'!$E$9+1,1))-AVERAGE(OFFSET($H$3,0,0,'Données projet'!$E$9+1,1))</f>
        <v>329.14247505779747</v>
      </c>
      <c r="T19" s="62">
        <f t="shared" si="34"/>
        <v>199.43308683696642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2.6904761904761907</v>
      </c>
      <c r="AI19" s="14">
        <f>IF('Données projet'!$A$62&gt;35,AI18+AH19-AQ18,IF(A19&lt;'Données projet'!$A$62,$AF$205^A19,IF(A19='Données projet'!$A$62,'Données projet'!$B$62,AI18+AH19-AQ18)))</f>
        <v>43.047619047619044</v>
      </c>
      <c r="AJ19" s="14">
        <f>AI19*VLOOKUP('Données projet'!$B$10,Paramètres!$A$1:$I$89,3,0)*VLOOKUP('Données projet'!$B$10,Paramètres!$A$1:$I$89,5,0)</f>
        <v>43.650285714285715</v>
      </c>
      <c r="AK19" s="14">
        <f t="shared" si="35"/>
        <v>12.961183469907045</v>
      </c>
      <c r="AL19" s="22">
        <f t="shared" si="4"/>
        <v>98.598308829135718</v>
      </c>
      <c r="AM19" s="62">
        <f t="shared" si="5"/>
        <v>374.82053105135793</v>
      </c>
      <c r="AN19" s="62">
        <f ca="1">AVERAGE(OFFSET($AM$3,0,0,'Données projet'!$E$10+1,1))-AVERAGE(OFFSET($H$3,0,0,'Données projet'!$E$10+1,1))</f>
        <v>363.99473967460347</v>
      </c>
      <c r="AO19" s="62">
        <f t="shared" si="36"/>
        <v>218.5520645293999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80.2</v>
      </c>
      <c r="BE19" s="14">
        <f>BD19*VLOOKUP('Données projet'!$B$11,Paramètres!$A$1:$I$89,3,0)*VLOOKUP('Données projet'!$B$11,Paramètres!$A$1:$I$89,5,0)</f>
        <v>70.062720000000013</v>
      </c>
      <c r="BF19" s="14">
        <f t="shared" si="37"/>
        <v>19.689032345957123</v>
      </c>
      <c r="BG19" s="22">
        <f t="shared" si="7"/>
        <v>156.31763533587534</v>
      </c>
      <c r="BH19" s="62">
        <f t="shared" si="8"/>
        <v>432.53985755809754</v>
      </c>
      <c r="BI19" s="62">
        <f ca="1">AVERAGE(OFFSET($BH$3,0,0,'Données projet'!$E$11+1,1))-AVERAGE(OFFSET($H$3,0,0,'Données projet'!$E$11+1,1))</f>
        <v>321.23599968992932</v>
      </c>
      <c r="BJ19" s="62">
        <f t="shared" si="38"/>
        <v>388.05195847800502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2.6904761904761907</v>
      </c>
      <c r="N20" s="14">
        <f>IF('Données projet'!$A$36&gt;35,N19+M20-V19,IF(A20&lt;'Données projet'!$A$36,$K$205^A20,IF(A20='Données projet'!$A$36,'Données projet'!$B$36,N19+M20-V19)))</f>
        <v>45.738095238095234</v>
      </c>
      <c r="O20" s="14">
        <f>N20*VLOOKUP('Données projet'!$B$9,Paramètres!$A$1:$I$89,3,0)*VLOOKUP('Données projet'!$B$9,Paramètres!$A$1:$I$89,5,0)</f>
        <v>41.383828571428566</v>
      </c>
      <c r="P20" s="14">
        <f t="shared" si="33"/>
        <v>12.364701650741173</v>
      </c>
      <c r="Q20" s="22">
        <f t="shared" si="2"/>
        <v>93.61202347027897</v>
      </c>
      <c r="R20" s="62">
        <f t="shared" si="0"/>
        <v>371.05646791472344</v>
      </c>
      <c r="S20" s="62">
        <f ca="1">AVERAGE(OFFSET($R$3,0,0,'Données projet'!$E$9+1,1))-AVERAGE(OFFSET($H$3,0,0,'Données projet'!$E$9+1,1))</f>
        <v>329.14247505779747</v>
      </c>
      <c r="T20" s="62">
        <f t="shared" si="34"/>
        <v>199.43308683696642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2.6904761904761907</v>
      </c>
      <c r="AI20" s="14">
        <f>IF('Données projet'!$A$62&gt;35,AI19+AH20-AQ19,IF(A20&lt;'Données projet'!$A$62,$AF$205^A20,IF(A20='Données projet'!$A$62,'Données projet'!$B$62,AI19+AH20-AQ19)))</f>
        <v>45.738095238095234</v>
      </c>
      <c r="AJ20" s="14">
        <f>AI20*VLOOKUP('Données projet'!$B$10,Paramètres!$A$1:$I$89,3,0)*VLOOKUP('Données projet'!$B$10,Paramètres!$A$1:$I$89,5,0)</f>
        <v>46.378428571428572</v>
      </c>
      <c r="AK20" s="14">
        <f t="shared" si="35"/>
        <v>13.674419801290952</v>
      </c>
      <c r="AL20" s="22">
        <f t="shared" si="4"/>
        <v>104.59204424915316</v>
      </c>
      <c r="AM20" s="62">
        <f t="shared" si="5"/>
        <v>382.03648869359762</v>
      </c>
      <c r="AN20" s="62">
        <f ca="1">AVERAGE(OFFSET($AM$3,0,0,'Données projet'!$E$10+1,1))-AVERAGE(OFFSET($H$3,0,0,'Données projet'!$E$10+1,1))</f>
        <v>363.99473967460347</v>
      </c>
      <c r="AO20" s="62">
        <f t="shared" si="36"/>
        <v>218.5520645293999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94.4</v>
      </c>
      <c r="BE20" s="14">
        <f>BD20*VLOOKUP('Données projet'!$B$11,Paramètres!$A$1:$I$89,3,0)*VLOOKUP('Données projet'!$B$11,Paramètres!$A$1:$I$89,5,0)</f>
        <v>82.467840000000024</v>
      </c>
      <c r="BF20" s="14">
        <f t="shared" si="37"/>
        <v>22.739512759227473</v>
      </c>
      <c r="BG20" s="22">
        <f t="shared" si="7"/>
        <v>183.23613938898788</v>
      </c>
      <c r="BH20" s="62">
        <f t="shared" si="8"/>
        <v>460.68058383343237</v>
      </c>
      <c r="BI20" s="62">
        <f ca="1">AVERAGE(OFFSET($BH$3,0,0,'Données projet'!$E$11+1,1))-AVERAGE(OFFSET($H$3,0,0,'Données projet'!$E$11+1,1))</f>
        <v>321.23599968992932</v>
      </c>
      <c r="BJ20" s="62">
        <f t="shared" si="38"/>
        <v>388.05195847800502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2.6904761904761907</v>
      </c>
      <c r="N21" s="14">
        <f>IF('Données projet'!$A$36&gt;35,N20+M21-V20,IF(A21&lt;'Données projet'!$A$36,$K$205^A21,IF(A21='Données projet'!$A$36,'Données projet'!$B$36,N20+M21-V20)))</f>
        <v>48.428571428571423</v>
      </c>
      <c r="O21" s="14">
        <f>N21*VLOOKUP('Données projet'!$B$9,Paramètres!$A$1:$I$89,3,0)*VLOOKUP('Données projet'!$B$9,Paramètres!$A$1:$I$89,5,0)</f>
        <v>43.818171428571425</v>
      </c>
      <c r="P21" s="14">
        <f t="shared" si="33"/>
        <v>13.005221707512169</v>
      </c>
      <c r="Q21" s="22">
        <f t="shared" si="2"/>
        <v>98.96740971201227</v>
      </c>
      <c r="R21" s="62">
        <f t="shared" si="0"/>
        <v>377.63407637867897</v>
      </c>
      <c r="S21" s="62">
        <f ca="1">AVERAGE(OFFSET($R$3,0,0,'Données projet'!$E$9+1,1))-AVERAGE(OFFSET($H$3,0,0,'Données projet'!$E$9+1,1))</f>
        <v>329.14247505779747</v>
      </c>
      <c r="T21" s="62">
        <f t="shared" si="34"/>
        <v>199.43308683696642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2.6904761904761907</v>
      </c>
      <c r="AI21" s="14">
        <f>IF('Données projet'!$A$62&gt;35,AI20+AH21-AQ20,IF(A21&lt;'Données projet'!$A$62,$AF$205^A21,IF(A21='Données projet'!$A$62,'Données projet'!$B$62,AI20+AH21-AQ20)))</f>
        <v>48.428571428571423</v>
      </c>
      <c r="AJ21" s="14">
        <f>AI21*VLOOKUP('Données projet'!$B$10,Paramètres!$A$1:$I$89,3,0)*VLOOKUP('Données projet'!$B$10,Paramètres!$A$1:$I$89,5,0)</f>
        <v>49.106571428571428</v>
      </c>
      <c r="AK21" s="14">
        <f t="shared" si="35"/>
        <v>14.382786278286252</v>
      </c>
      <c r="AL21" s="22">
        <f t="shared" si="4"/>
        <v>110.57729800611047</v>
      </c>
      <c r="AM21" s="62">
        <f t="shared" si="5"/>
        <v>389.24396467277717</v>
      </c>
      <c r="AN21" s="62">
        <f ca="1">AVERAGE(OFFSET($AM$3,0,0,'Données projet'!$E$10+1,1))-AVERAGE(OFFSET($H$3,0,0,'Données projet'!$E$10+1,1))</f>
        <v>363.99473967460347</v>
      </c>
      <c r="AO21" s="62">
        <f t="shared" si="36"/>
        <v>218.5520645293999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108.60000000000001</v>
      </c>
      <c r="BE21" s="14">
        <f>BD21*VLOOKUP('Données projet'!$B$11,Paramètres!$A$1:$I$89,3,0)*VLOOKUP('Données projet'!$B$11,Paramètres!$A$1:$I$89,5,0)</f>
        <v>94.87296000000002</v>
      </c>
      <c r="BF21" s="14">
        <f t="shared" si="37"/>
        <v>25.736834760472274</v>
      </c>
      <c r="BG21" s="22">
        <f t="shared" si="7"/>
        <v>210.06205920782259</v>
      </c>
      <c r="BH21" s="62">
        <f t="shared" si="8"/>
        <v>488.72872587448927</v>
      </c>
      <c r="BI21" s="62">
        <f ca="1">AVERAGE(OFFSET($BH$3,0,0,'Données projet'!$E$11+1,1))-AVERAGE(OFFSET($H$3,0,0,'Données projet'!$E$11+1,1))</f>
        <v>321.23599968992932</v>
      </c>
      <c r="BJ21" s="62">
        <f t="shared" si="38"/>
        <v>388.05195847800502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2.6904761904761907</v>
      </c>
      <c r="N22" s="14">
        <f>IF('Données projet'!$A$36&gt;35,N21+M22-V21,IF(A22&lt;'Données projet'!$A$36,$K$205^A22,IF(A22='Données projet'!$A$36,'Données projet'!$B$36,N21+M22-V21)))</f>
        <v>51.119047619047613</v>
      </c>
      <c r="O22" s="14">
        <f>N22*VLOOKUP('Données projet'!$B$9,Paramètres!$A$1:$I$89,3,0)*VLOOKUP('Données projet'!$B$9,Paramètres!$A$1:$I$89,5,0)</f>
        <v>46.252514285714277</v>
      </c>
      <c r="P22" s="14">
        <f t="shared" si="33"/>
        <v>13.641610855281657</v>
      </c>
      <c r="Q22" s="22">
        <f t="shared" si="2"/>
        <v>104.31560128723459</v>
      </c>
      <c r="R22" s="62">
        <f t="shared" si="0"/>
        <v>384.20449017612344</v>
      </c>
      <c r="S22" s="62">
        <f ca="1">AVERAGE(OFFSET($R$3,0,0,'Données projet'!$E$9+1,1))-AVERAGE(OFFSET($H$3,0,0,'Données projet'!$E$9+1,1))</f>
        <v>329.14247505779747</v>
      </c>
      <c r="T22" s="62">
        <f t="shared" si="34"/>
        <v>199.43308683696642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2.6904761904761907</v>
      </c>
      <c r="AI22" s="14">
        <f>IF('Données projet'!$A$62&gt;35,AI21+AH22-AQ21,IF(A22&lt;'Données projet'!$A$62,$AF$205^A22,IF(A22='Données projet'!$A$62,'Données projet'!$B$62,AI21+AH22-AQ21)))</f>
        <v>51.119047619047613</v>
      </c>
      <c r="AJ22" s="14">
        <f>AI22*VLOOKUP('Données projet'!$B$10,Paramètres!$A$1:$I$89,3,0)*VLOOKUP('Données projet'!$B$10,Paramètres!$A$1:$I$89,5,0)</f>
        <v>51.834714285714277</v>
      </c>
      <c r="AK22" s="14">
        <f t="shared" si="35"/>
        <v>15.086584284044363</v>
      </c>
      <c r="AL22" s="22">
        <f t="shared" si="4"/>
        <v>116.55459500899632</v>
      </c>
      <c r="AM22" s="62">
        <f t="shared" si="5"/>
        <v>396.44348389788519</v>
      </c>
      <c r="AN22" s="62">
        <f ca="1">AVERAGE(OFFSET($AM$3,0,0,'Données projet'!$E$10+1,1))-AVERAGE(OFFSET($H$3,0,0,'Données projet'!$E$10+1,1))</f>
        <v>363.99473967460347</v>
      </c>
      <c r="AO22" s="62">
        <f t="shared" si="36"/>
        <v>218.5520645293999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122.80000000000001</v>
      </c>
      <c r="BE22" s="14">
        <f>BD22*VLOOKUP('Données projet'!$B$11,Paramètres!$A$1:$I$89,3,0)*VLOOKUP('Données projet'!$B$11,Paramètres!$A$1:$I$89,5,0)</f>
        <v>107.27808000000003</v>
      </c>
      <c r="BF22" s="14">
        <f t="shared" si="37"/>
        <v>28.688746800886673</v>
      </c>
      <c r="BG22" s="22">
        <f t="shared" si="7"/>
        <v>236.80889001154432</v>
      </c>
      <c r="BH22" s="62">
        <f t="shared" si="8"/>
        <v>516.69777890043315</v>
      </c>
      <c r="BI22" s="62">
        <f ca="1">AVERAGE(OFFSET($BH$3,0,0,'Données projet'!$E$11+1,1))-AVERAGE(OFFSET($H$3,0,0,'Données projet'!$E$11+1,1))</f>
        <v>321.23599968992932</v>
      </c>
      <c r="BJ22" s="62">
        <f t="shared" si="38"/>
        <v>388.05195847800502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2.6904761904761907</v>
      </c>
      <c r="N23" s="14">
        <f>IF('Données projet'!$A$36&gt;35,N22+M23-V22,IF(A23&lt;'Données projet'!$A$36,$K$205^A23,IF(A23='Données projet'!$A$36,'Données projet'!$B$36,N22+M23-V22)))</f>
        <v>53.809523809523803</v>
      </c>
      <c r="O23" s="14">
        <f>N23*VLOOKUP('Données projet'!$B$9,Paramètres!$A$1:$I$89,3,0)*VLOOKUP('Données projet'!$B$9,Paramètres!$A$1:$I$89,5,0)</f>
        <v>48.686857142857136</v>
      </c>
      <c r="P23" s="14">
        <f t="shared" si="33"/>
        <v>14.274111304929692</v>
      </c>
      <c r="Q23" s="22">
        <f t="shared" si="2"/>
        <v>109.65702004656204</v>
      </c>
      <c r="R23" s="62">
        <f t="shared" si="0"/>
        <v>390.76813115767317</v>
      </c>
      <c r="S23" s="62">
        <f ca="1">AVERAGE(OFFSET($R$3,0,0,'Données projet'!$E$9+1,1))-AVERAGE(OFFSET($H$3,0,0,'Données projet'!$E$9+1,1))</f>
        <v>329.14247505779747</v>
      </c>
      <c r="T23" s="62">
        <f t="shared" si="34"/>
        <v>199.43308683696642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2.6904761904761907</v>
      </c>
      <c r="AI23" s="14">
        <f>IF('Données projet'!$A$62&gt;35,AI22+AH23-AQ22,IF(A23&lt;'Données projet'!$A$62,$AF$205^A23,IF(A23='Données projet'!$A$62,'Données projet'!$B$62,AI22+AH23-AQ22)))</f>
        <v>53.809523809523803</v>
      </c>
      <c r="AJ23" s="14">
        <f>AI23*VLOOKUP('Données projet'!$B$10,Paramètres!$A$1:$I$89,3,0)*VLOOKUP('Données projet'!$B$10,Paramètres!$A$1:$I$89,5,0)</f>
        <v>54.562857142857141</v>
      </c>
      <c r="AK23" s="14">
        <f t="shared" si="35"/>
        <v>15.786081685380697</v>
      </c>
      <c r="AL23" s="22">
        <f t="shared" si="4"/>
        <v>122.52440179251424</v>
      </c>
      <c r="AM23" s="62">
        <f t="shared" si="5"/>
        <v>403.6355129036254</v>
      </c>
      <c r="AN23" s="62">
        <f ca="1">AVERAGE(OFFSET($AM$3,0,0,'Données projet'!$E$10+1,1))-AVERAGE(OFFSET($H$3,0,0,'Données projet'!$E$10+1,1))</f>
        <v>363.99473967460347</v>
      </c>
      <c r="AO23" s="62">
        <f t="shared" si="36"/>
        <v>218.5520645293999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137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119.68320000000003</v>
      </c>
      <c r="BF23" s="14">
        <f t="shared" si="37"/>
        <v>31.601099532596194</v>
      </c>
      <c r="BG23" s="22">
        <f t="shared" si="7"/>
        <v>263.48682168593842</v>
      </c>
      <c r="BH23" s="62">
        <f t="shared" si="8"/>
        <v>544.59793279704957</v>
      </c>
      <c r="BI23" s="62">
        <f ca="1">AVERAGE(OFFSET($BH$3,0,0,'Données projet'!$E$11+1,1))-AVERAGE(OFFSET($H$3,0,0,'Données projet'!$E$11+1,1))</f>
        <v>321.23599968992932</v>
      </c>
      <c r="BJ23" s="62">
        <f t="shared" si="38"/>
        <v>388.05195847800502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35.443399841768489</v>
      </c>
      <c r="BS23" s="24">
        <f t="shared" si="9"/>
        <v>35.443399841768489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2.6904761904761907</v>
      </c>
      <c r="N24" s="14">
        <f>IF('Données projet'!$A$36&gt;35,N23+M24-V23,IF(A24&lt;'Données projet'!$A$36,$K$205^A24,IF(A24='Données projet'!$A$36,'Données projet'!$B$36,N23+M24-V23)))</f>
        <v>56.499999999999993</v>
      </c>
      <c r="O24" s="14">
        <f>N24*VLOOKUP('Données projet'!$B$9,Paramètres!$A$1:$I$89,3,0)*VLOOKUP('Données projet'!$B$9,Paramètres!$A$1:$I$89,5,0)</f>
        <v>51.121199999999995</v>
      </c>
      <c r="P24" s="14">
        <f t="shared" si="33"/>
        <v>14.902939678011313</v>
      </c>
      <c r="Q24" s="22">
        <f t="shared" si="2"/>
        <v>114.99204327253635</v>
      </c>
      <c r="R24" s="62">
        <f t="shared" si="0"/>
        <v>397.32537660586968</v>
      </c>
      <c r="S24" s="62">
        <f ca="1">AVERAGE(OFFSET($R$3,0,0,'Données projet'!$E$9+1,1))-AVERAGE(OFFSET($H$3,0,0,'Données projet'!$E$9+1,1))</f>
        <v>329.14247505779747</v>
      </c>
      <c r="T24" s="62">
        <f t="shared" si="34"/>
        <v>199.43308683696642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2.6904761904761907</v>
      </c>
      <c r="AI24" s="14">
        <f>IF('Données projet'!$A$62&gt;35,AI23+AH24-AQ23,IF(A24&lt;'Données projet'!$A$62,$AF$205^A24,IF(A24='Données projet'!$A$62,'Données projet'!$B$62,AI23+AH24-AQ23)))</f>
        <v>56.499999999999993</v>
      </c>
      <c r="AJ24" s="14">
        <f>AI24*VLOOKUP('Données projet'!$B$10,Paramètres!$A$1:$I$89,3,0)*VLOOKUP('Données projet'!$B$10,Paramètres!$A$1:$I$89,5,0)</f>
        <v>57.29099999999999</v>
      </c>
      <c r="AK24" s="14">
        <f t="shared" si="35"/>
        <v>16.481518049262991</v>
      </c>
      <c r="AL24" s="22">
        <f t="shared" si="4"/>
        <v>128.48713560246634</v>
      </c>
      <c r="AM24" s="62">
        <f t="shared" si="5"/>
        <v>410.82046893579968</v>
      </c>
      <c r="AN24" s="62">
        <f ca="1">AVERAGE(OFFSET($AM$3,0,0,'Données projet'!$E$10+1,1))-AVERAGE(OFFSET($H$3,0,0,'Données projet'!$E$10+1,1))</f>
        <v>363.99473967460347</v>
      </c>
      <c r="AO24" s="62">
        <f t="shared" si="36"/>
        <v>218.5520645293999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107.80000000000001</v>
      </c>
      <c r="BE24" s="14">
        <f>BD24*VLOOKUP('Données projet'!$B$11,Paramètres!$A$1:$I$89,3,0)*VLOOKUP('Données projet'!$B$11,Paramètres!$A$1:$I$89,5,0)</f>
        <v>94.174080000000018</v>
      </c>
      <c r="BF24" s="14">
        <f t="shared" si="37"/>
        <v>25.569241067746205</v>
      </c>
      <c r="BG24" s="22">
        <f t="shared" si="7"/>
        <v>208.55295085965801</v>
      </c>
      <c r="BH24" s="62">
        <f t="shared" si="8"/>
        <v>490.8862841929913</v>
      </c>
      <c r="BI24" s="62">
        <f ca="1">AVERAGE(OFFSET($BH$3,0,0,'Données projet'!$E$11+1,1))-AVERAGE(OFFSET($H$3,0,0,'Données projet'!$E$11+1,1))</f>
        <v>321.23599968992932</v>
      </c>
      <c r="BJ24" s="62">
        <f t="shared" si="38"/>
        <v>388.05195847800502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25.062268376420707</v>
      </c>
      <c r="BS24" s="24">
        <f t="shared" si="9"/>
        <v>25.062268376420707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2.6904761904761907</v>
      </c>
      <c r="N25" s="14">
        <f>IF('Données projet'!$A$36&gt;35,N24+M25-V24,IF(A25&lt;'Données projet'!$A$36,$K$205^A25,IF(A25='Données projet'!$A$36,'Données projet'!$B$36,N24+M25-V24)))</f>
        <v>59.190476190476183</v>
      </c>
      <c r="O25" s="14">
        <f>N25*VLOOKUP('Données projet'!$B$9,Paramètres!$A$1:$I$89,3,0)*VLOOKUP('Données projet'!$B$9,Paramètres!$A$1:$I$89,5,0)</f>
        <v>53.555542857142846</v>
      </c>
      <c r="P25" s="14">
        <f t="shared" si="33"/>
        <v>15.528290799710788</v>
      </c>
      <c r="Q25" s="22">
        <f t="shared" si="2"/>
        <v>120.32101028568674</v>
      </c>
      <c r="R25" s="62">
        <f t="shared" si="0"/>
        <v>403.87656584124227</v>
      </c>
      <c r="S25" s="62">
        <f ca="1">AVERAGE(OFFSET($R$3,0,0,'Données projet'!$E$9+1,1))-AVERAGE(OFFSET($H$3,0,0,'Données projet'!$E$9+1,1))</f>
        <v>329.14247505779747</v>
      </c>
      <c r="T25" s="62">
        <f t="shared" si="34"/>
        <v>199.43308683696642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2.6904761904761907</v>
      </c>
      <c r="AI25" s="14">
        <f>IF('Données projet'!$A$62&gt;35,AI24+AH25-AQ24,IF(A25&lt;'Données projet'!$A$62,$AF$205^A25,IF(A25='Données projet'!$A$62,'Données projet'!$B$62,AI24+AH25-AQ24)))</f>
        <v>59.190476190476183</v>
      </c>
      <c r="AJ25" s="14">
        <f>AI25*VLOOKUP('Données projet'!$B$10,Paramètres!$A$1:$I$89,3,0)*VLOOKUP('Données projet'!$B$10,Paramètres!$A$1:$I$89,5,0)</f>
        <v>60.019142857142853</v>
      </c>
      <c r="AK25" s="14">
        <f t="shared" si="35"/>
        <v>17.17310883753035</v>
      </c>
      <c r="AL25" s="22">
        <f t="shared" si="4"/>
        <v>134.44317170155583</v>
      </c>
      <c r="AM25" s="62">
        <f t="shared" si="5"/>
        <v>417.99872725711134</v>
      </c>
      <c r="AN25" s="62">
        <f ca="1">AVERAGE(OFFSET($AM$3,0,0,'Données projet'!$E$10+1,1))-AVERAGE(OFFSET($H$3,0,0,'Données projet'!$E$10+1,1))</f>
        <v>363.99473967460347</v>
      </c>
      <c r="AO25" s="62">
        <f t="shared" si="36"/>
        <v>218.5520645293999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121.60000000000001</v>
      </c>
      <c r="BE25" s="14">
        <f>BD25*VLOOKUP('Données projet'!$B$11,Paramètres!$A$1:$I$89,3,0)*VLOOKUP('Données projet'!$B$11,Paramètres!$A$1:$I$89,5,0)</f>
        <v>106.22976000000003</v>
      </c>
      <c r="BF25" s="14">
        <f t="shared" si="37"/>
        <v>28.440891625171492</v>
      </c>
      <c r="BG25" s="22">
        <f t="shared" si="7"/>
        <v>234.55138491384039</v>
      </c>
      <c r="BH25" s="62">
        <f t="shared" si="8"/>
        <v>518.10694046939591</v>
      </c>
      <c r="BI25" s="62">
        <f ca="1">AVERAGE(OFFSET($BH$3,0,0,'Données projet'!$E$11+1,1))-AVERAGE(OFFSET($H$3,0,0,'Données projet'!$E$11+1,1))</f>
        <v>321.23599968992932</v>
      </c>
      <c r="BJ25" s="62">
        <f t="shared" si="38"/>
        <v>388.05195847800502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17.721699920884248</v>
      </c>
      <c r="BS25" s="24">
        <f t="shared" si="9"/>
        <v>17.721699920884248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2.6904761904761907</v>
      </c>
      <c r="N26" s="14">
        <f>IF('Données projet'!$A$36&gt;35,N25+M26-V25,IF(A26&lt;'Données projet'!$A$36,$K$205^A26,IF(A26='Données projet'!$A$36,'Données projet'!$B$36,N25+M26-V25)))</f>
        <v>61.880952380952372</v>
      </c>
      <c r="O26" s="14">
        <f>N26*VLOOKUP('Données projet'!$B$9,Paramètres!$A$1:$I$89,3,0)*VLOOKUP('Données projet'!$B$9,Paramètres!$A$1:$I$89,5,0)</f>
        <v>55.989885714285698</v>
      </c>
      <c r="P26" s="14">
        <f t="shared" si="33"/>
        <v>16.150340782673716</v>
      </c>
      <c r="Q26" s="22">
        <f t="shared" si="2"/>
        <v>125.64422781553765</v>
      </c>
      <c r="R26" s="62">
        <f t="shared" si="0"/>
        <v>410.42200559331542</v>
      </c>
      <c r="S26" s="62">
        <f ca="1">AVERAGE(OFFSET($R$3,0,0,'Données projet'!$E$9+1,1))-AVERAGE(OFFSET($H$3,0,0,'Données projet'!$E$9+1,1))</f>
        <v>329.14247505779747</v>
      </c>
      <c r="T26" s="62">
        <f t="shared" si="34"/>
        <v>199.43308683696642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2.6904761904761907</v>
      </c>
      <c r="AI26" s="14">
        <f>IF('Données projet'!$A$62&gt;35,AI25+AH26-AQ25,IF(A26&lt;'Données projet'!$A$62,$AF$205^A26,IF(A26='Données projet'!$A$62,'Données projet'!$B$62,AI25+AH26-AQ25)))</f>
        <v>61.880952380952372</v>
      </c>
      <c r="AJ26" s="14">
        <f>AI26*VLOOKUP('Données projet'!$B$10,Paramètres!$A$1:$I$89,3,0)*VLOOKUP('Données projet'!$B$10,Paramètres!$A$1:$I$89,5,0)</f>
        <v>62.747285714285709</v>
      </c>
      <c r="AK26" s="14">
        <f t="shared" si="35"/>
        <v>17.861048817377036</v>
      </c>
      <c r="AL26" s="22">
        <f t="shared" si="4"/>
        <v>140.39284930931262</v>
      </c>
      <c r="AM26" s="62">
        <f t="shared" si="5"/>
        <v>425.17062708709039</v>
      </c>
      <c r="AN26" s="62">
        <f ca="1">AVERAGE(OFFSET($AM$3,0,0,'Données projet'!$E$10+1,1))-AVERAGE(OFFSET($H$3,0,0,'Données projet'!$E$10+1,1))</f>
        <v>363.99473967460347</v>
      </c>
      <c r="AO26" s="62">
        <f t="shared" si="36"/>
        <v>218.5520645293999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135.4</v>
      </c>
      <c r="BE26" s="14">
        <f>BD26*VLOOKUP('Données projet'!$B$11,Paramètres!$A$1:$I$89,3,0)*VLOOKUP('Données projet'!$B$11,Paramètres!$A$1:$I$89,5,0)</f>
        <v>118.28544000000002</v>
      </c>
      <c r="BF26" s="14">
        <f t="shared" si="37"/>
        <v>31.274772013169596</v>
      </c>
      <c r="BG26" s="22">
        <f t="shared" si="7"/>
        <v>260.48403592293715</v>
      </c>
      <c r="BH26" s="62">
        <f t="shared" si="8"/>
        <v>545.26181370071492</v>
      </c>
      <c r="BI26" s="62">
        <f ca="1">AVERAGE(OFFSET($BH$3,0,0,'Données projet'!$E$11+1,1))-AVERAGE(OFFSET($H$3,0,0,'Données projet'!$E$11+1,1))</f>
        <v>321.23599968992932</v>
      </c>
      <c r="BJ26" s="62">
        <f t="shared" si="38"/>
        <v>388.05195847800502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12.531134188210356</v>
      </c>
      <c r="BS26" s="24">
        <f t="shared" si="9"/>
        <v>12.531134188210356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2.6904761904761907</v>
      </c>
      <c r="N27" s="14">
        <f>IF('Données projet'!$A$36&gt;35,N26+M27-V26,IF(A27&lt;'Données projet'!$A$36,$K$205^A27,IF(A27='Données projet'!$A$36,'Données projet'!$B$36,N26+M27-V26)))</f>
        <v>64.571428571428569</v>
      </c>
      <c r="O27" s="14">
        <f>N27*VLOOKUP('Données projet'!$B$9,Paramètres!$A$1:$I$89,3,0)*VLOOKUP('Données projet'!$B$9,Paramètres!$A$1:$I$89,5,0)</f>
        <v>58.424228571428564</v>
      </c>
      <c r="P27" s="14">
        <f t="shared" si="33"/>
        <v>16.769249559387148</v>
      </c>
      <c r="Q27" s="22">
        <f t="shared" si="2"/>
        <v>130.9619744111707</v>
      </c>
      <c r="R27" s="62">
        <f t="shared" si="0"/>
        <v>416.96197441117067</v>
      </c>
      <c r="S27" s="62">
        <f ca="1">AVERAGE(OFFSET($R$3,0,0,'Données projet'!$E$9+1,1))-AVERAGE(OFFSET($H$3,0,0,'Données projet'!$E$9+1,1))</f>
        <v>329.14247505779747</v>
      </c>
      <c r="T27" s="62">
        <f t="shared" si="34"/>
        <v>199.43308683696642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2.6904761904761907</v>
      </c>
      <c r="AI27" s="14">
        <f>IF('Données projet'!$A$62&gt;35,AI26+AH27-AQ26,IF(A27&lt;'Données projet'!$A$62,$AF$205^A27,IF(A27='Données projet'!$A$62,'Données projet'!$B$62,AI26+AH27-AQ26)))</f>
        <v>64.571428571428569</v>
      </c>
      <c r="AJ27" s="14">
        <f>AI27*VLOOKUP('Données projet'!$B$10,Paramètres!$A$1:$I$89,3,0)*VLOOKUP('Données projet'!$B$10,Paramètres!$A$1:$I$89,5,0)</f>
        <v>65.47542857142858</v>
      </c>
      <c r="AK27" s="14">
        <f t="shared" si="35"/>
        <v>18.545514861972247</v>
      </c>
      <c r="AL27" s="22">
        <f t="shared" si="4"/>
        <v>146.33647647983977</v>
      </c>
      <c r="AM27" s="62">
        <f t="shared" si="5"/>
        <v>432.3364764798398</v>
      </c>
      <c r="AN27" s="62">
        <f ca="1">AVERAGE(OFFSET($AM$3,0,0,'Données projet'!$E$10+1,1))-AVERAGE(OFFSET($H$3,0,0,'Données projet'!$E$10+1,1))</f>
        <v>363.99473967460347</v>
      </c>
      <c r="AO27" s="62">
        <f t="shared" si="36"/>
        <v>218.5520645293999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149.20000000000002</v>
      </c>
      <c r="BE27" s="14">
        <f>BD27*VLOOKUP('Données projet'!$B$11,Paramètres!$A$1:$I$89,3,0)*VLOOKUP('Données projet'!$B$11,Paramètres!$A$1:$I$89,5,0)</f>
        <v>130.34112000000005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572.35837196420744</v>
      </c>
      <c r="BI27" s="62">
        <f ca="1">AVERAGE(OFFSET($BH$3,0,0,'Données projet'!$E$11+1,1))-AVERAGE(OFFSET($H$3,0,0,'Données projet'!$E$11+1,1))</f>
        <v>321.23599968992932</v>
      </c>
      <c r="BJ27" s="62">
        <f t="shared" si="38"/>
        <v>388.05195847800502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8.8608499604421258</v>
      </c>
      <c r="BS27" s="24">
        <f t="shared" si="9"/>
        <v>8.8608499604421258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2.6904761904761907</v>
      </c>
      <c r="N28" s="14">
        <f>IF('Données projet'!$A$36&gt;35,N27+M28-V27,IF(A28&lt;'Données projet'!$A$36,$K$205^A28,IF(A28='Données projet'!$A$36,'Données projet'!$B$36,N27+M28-V27)))</f>
        <v>67.261904761904759</v>
      </c>
      <c r="O28" s="14">
        <f>N28*VLOOKUP('Données projet'!$B$9,Paramètres!$A$1:$I$89,3,0)*VLOOKUP('Données projet'!$B$9,Paramètres!$A$1:$I$89,5,0)</f>
        <v>60.858571428571423</v>
      </c>
      <c r="P28" s="14">
        <f t="shared" si="33"/>
        <v>17.385162980603361</v>
      </c>
      <c r="Q28" s="22">
        <f t="shared" si="2"/>
        <v>136.27450409597938</v>
      </c>
      <c r="R28" s="62">
        <f t="shared" si="0"/>
        <v>423.49672631820158</v>
      </c>
      <c r="S28" s="62">
        <f ca="1">AVERAGE(OFFSET($R$3,0,0,'Données projet'!$E$9+1,1))-AVERAGE(OFFSET($H$3,0,0,'Données projet'!$E$9+1,1))</f>
        <v>329.14247505779747</v>
      </c>
      <c r="T28" s="62">
        <f t="shared" si="34"/>
        <v>199.43308683696642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2.6904761904761907</v>
      </c>
      <c r="AI28" s="14">
        <f>IF('Données projet'!$A$62&gt;35,AI27+AH28-AQ27,IF(A28&lt;'Données projet'!$A$62,$AF$205^A28,IF(A28='Données projet'!$A$62,'Données projet'!$B$62,AI27+AH28-AQ27)))</f>
        <v>67.261904761904759</v>
      </c>
      <c r="AJ28" s="14">
        <f>AI28*VLOOKUP('Données projet'!$B$10,Paramètres!$A$1:$I$89,3,0)*VLOOKUP('Données projet'!$B$10,Paramètres!$A$1:$I$89,5,0)</f>
        <v>68.203571428571436</v>
      </c>
      <c r="AK28" s="14">
        <f t="shared" si="35"/>
        <v>19.226668271157425</v>
      </c>
      <c r="AL28" s="22">
        <f t="shared" si="4"/>
        <v>152.27433414369443</v>
      </c>
      <c r="AM28" s="62">
        <f t="shared" si="5"/>
        <v>439.49655636591666</v>
      </c>
      <c r="AN28" s="62">
        <f ca="1">AVERAGE(OFFSET($AM$3,0,0,'Données projet'!$E$10+1,1))-AVERAGE(OFFSET($H$3,0,0,'Données projet'!$E$10+1,1))</f>
        <v>363.99473967460347</v>
      </c>
      <c r="AO28" s="62">
        <f t="shared" si="36"/>
        <v>218.5520645293999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163.00000000000003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599.40262249435295</v>
      </c>
      <c r="BI28" s="62">
        <f ca="1">AVERAGE(OFFSET($BH$3,0,0,'Données projet'!$E$11+1,1))-AVERAGE(OFFSET($H$3,0,0,'Données projet'!$E$11+1,1))</f>
        <v>321.23599968992932</v>
      </c>
      <c r="BJ28" s="62">
        <f t="shared" si="38"/>
        <v>388.05195847800502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42.533232048472939</v>
      </c>
      <c r="BS28" s="24">
        <f t="shared" si="9"/>
        <v>42.533232048472939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2.6904761904761907</v>
      </c>
      <c r="N29" s="14">
        <f>IF('Données projet'!$A$36&gt;35,N28+M29-V28,IF(A29&lt;'Données projet'!$A$36,$K$205^A29,IF(A29='Données projet'!$A$36,'Données projet'!$B$36,N28+M29-V28)))</f>
        <v>69.952380952380949</v>
      </c>
      <c r="O29" s="14">
        <f>N29*VLOOKUP('Données projet'!$B$9,Paramètres!$A$1:$I$89,3,0)*VLOOKUP('Données projet'!$B$9,Paramètres!$A$1:$I$89,5,0)</f>
        <v>63.292914285714282</v>
      </c>
      <c r="P29" s="14">
        <f t="shared" si="33"/>
        <v>17.998214568565054</v>
      </c>
      <c r="Q29" s="22">
        <f t="shared" si="2"/>
        <v>141.58204942120318</v>
      </c>
      <c r="R29" s="62">
        <f t="shared" si="0"/>
        <v>430.02649386564764</v>
      </c>
      <c r="S29" s="62">
        <f ca="1">AVERAGE(OFFSET($R$3,0,0,'Données projet'!$E$9+1,1))-AVERAGE(OFFSET($H$3,0,0,'Données projet'!$E$9+1,1))</f>
        <v>329.14247505779747</v>
      </c>
      <c r="T29" s="62">
        <f t="shared" si="34"/>
        <v>199.43308683696642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2.6904761904761907</v>
      </c>
      <c r="AI29" s="14">
        <f>IF('Données projet'!$A$62&gt;35,AI28+AH29-AQ28,IF(A29&lt;'Données projet'!$A$62,$AF$205^A29,IF(A29='Données projet'!$A$62,'Données projet'!$B$62,AI28+AH29-AQ28)))</f>
        <v>69.952380952380949</v>
      </c>
      <c r="AJ29" s="14">
        <f>AI29*VLOOKUP('Données projet'!$B$10,Paramètres!$A$1:$I$89,3,0)*VLOOKUP('Données projet'!$B$10,Paramètres!$A$1:$I$89,5,0)</f>
        <v>70.931714285714293</v>
      </c>
      <c r="AK29" s="14">
        <f t="shared" si="35"/>
        <v>19.904656710379786</v>
      </c>
      <c r="AL29" s="22">
        <f t="shared" si="4"/>
        <v>158.20667948486386</v>
      </c>
      <c r="AM29" s="62">
        <f t="shared" si="5"/>
        <v>446.65112392930831</v>
      </c>
      <c r="AN29" s="62">
        <f ca="1">AVERAGE(OFFSET($AM$3,0,0,'Données projet'!$E$10+1,1))-AVERAGE(OFFSET($H$3,0,0,'Données projet'!$E$10+1,1))</f>
        <v>363.99473967460347</v>
      </c>
      <c r="AO29" s="62">
        <f t="shared" si="36"/>
        <v>218.5520645293999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</v>
      </c>
      <c r="BD29" s="13">
        <f>IF('Données projet'!$A$88&gt;35,BD28+BC29-BL28,IF(A29&lt;'Données projet'!$A$88,$BA$205^A29,IF(A29='Données projet'!$A$88,'Données projet'!$B$88,BD28+BC29-BL28)))</f>
        <v>132.00000000000003</v>
      </c>
      <c r="BE29" s="14">
        <f>BD29*VLOOKUP('Données projet'!$B$11,Paramètres!$A$1:$I$89,3,0)*VLOOKUP('Données projet'!$B$11,Paramètres!$A$1:$I$89,5,0)</f>
        <v>115.31520000000003</v>
      </c>
      <c r="BF29" s="14">
        <f t="shared" si="37"/>
        <v>30.579827148797317</v>
      </c>
      <c r="BG29" s="22">
        <f t="shared" si="7"/>
        <v>254.10050561748869</v>
      </c>
      <c r="BH29" s="62">
        <f t="shared" si="8"/>
        <v>542.54495006193315</v>
      </c>
      <c r="BI29" s="62">
        <f ca="1">AVERAGE(OFFSET($BH$3,0,0,'Données projet'!$E$11+1,1))-AVERAGE(OFFSET($H$3,0,0,'Données projet'!$E$11+1,1))</f>
        <v>321.23599968992932</v>
      </c>
      <c r="BJ29" s="62">
        <f t="shared" si="38"/>
        <v>388.05195847800502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30.075536807256206</v>
      </c>
      <c r="BS29" s="24">
        <f t="shared" si="9"/>
        <v>30.075536807256206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2.6904761904761907</v>
      </c>
      <c r="N30" s="14">
        <f>IF('Données projet'!$A$36&gt;35,N29+M30-V29,IF(A30&lt;'Données projet'!$A$36,$K$205^A30,IF(A30='Données projet'!$A$36,'Données projet'!$B$36,N29+M30-V29)))</f>
        <v>72.642857142857139</v>
      </c>
      <c r="O30" s="14">
        <f>N30*VLOOKUP('Données projet'!$B$9,Paramètres!$A$1:$I$89,3,0)*VLOOKUP('Données projet'!$B$9,Paramètres!$A$1:$I$89,5,0)</f>
        <v>65.727257142857141</v>
      </c>
      <c r="P30" s="14">
        <f t="shared" si="33"/>
        <v>18.608526992916694</v>
      </c>
      <c r="Q30" s="22">
        <f t="shared" si="2"/>
        <v>146.88482403647276</v>
      </c>
      <c r="R30" s="62">
        <f t="shared" si="0"/>
        <v>436.55149070313945</v>
      </c>
      <c r="S30" s="62">
        <f ca="1">AVERAGE(OFFSET($R$3,0,0,'Données projet'!$E$9+1,1))-AVERAGE(OFFSET($H$3,0,0,'Données projet'!$E$9+1,1))</f>
        <v>329.14247505779747</v>
      </c>
      <c r="T30" s="62">
        <f t="shared" si="34"/>
        <v>199.43308683696642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2.6904761904761907</v>
      </c>
      <c r="AI30" s="14">
        <f>IF('Données projet'!$A$62&gt;35,AI29+AH30-AQ29,IF(A30&lt;'Données projet'!$A$62,$AF$205^A30,IF(A30='Données projet'!$A$62,'Données projet'!$B$62,AI29+AH30-AQ29)))</f>
        <v>72.642857142857139</v>
      </c>
      <c r="AJ30" s="14">
        <f>AI30*VLOOKUP('Données projet'!$B$10,Paramètres!$A$1:$I$89,3,0)*VLOOKUP('Données projet'!$B$10,Paramètres!$A$1:$I$89,5,0)</f>
        <v>73.659857142857149</v>
      </c>
      <c r="AK30" s="14">
        <f t="shared" si="35"/>
        <v>20.579615842938225</v>
      </c>
      <c r="AL30" s="22">
        <f t="shared" si="4"/>
        <v>164.1337487835936</v>
      </c>
      <c r="AM30" s="62">
        <f t="shared" si="5"/>
        <v>453.80041545026029</v>
      </c>
      <c r="AN30" s="62">
        <f ca="1">AVERAGE(OFFSET($AM$3,0,0,'Données projet'!$E$10+1,1))-AVERAGE(OFFSET($H$3,0,0,'Données projet'!$E$10+1,1))</f>
        <v>363.99473967460347</v>
      </c>
      <c r="AO30" s="62">
        <f t="shared" si="36"/>
        <v>218.5520645293999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</v>
      </c>
      <c r="BD30" s="13">
        <f>IF('Données projet'!$A$88&gt;35,BD29+BC30-BL29,IF(A30&lt;'Données projet'!$A$88,$BA$205^A30,IF(A30='Données projet'!$A$88,'Données projet'!$B$88,BD29+BC30-BL29)))</f>
        <v>145.00000000000003</v>
      </c>
      <c r="BE30" s="14">
        <f>BD30*VLOOKUP('Données projet'!$B$11,Paramètres!$A$1:$I$89,3,0)*VLOOKUP('Données projet'!$B$11,Paramètres!$A$1:$I$89,5,0)</f>
        <v>126.67200000000003</v>
      </c>
      <c r="BF30" s="14">
        <f t="shared" si="37"/>
        <v>33.226199426361347</v>
      </c>
      <c r="BG30" s="22">
        <f t="shared" si="7"/>
        <v>278.48936400091276</v>
      </c>
      <c r="BH30" s="62">
        <f t="shared" si="8"/>
        <v>568.15603066757944</v>
      </c>
      <c r="BI30" s="62">
        <f ca="1">AVERAGE(OFFSET($BH$3,0,0,'Données projet'!$E$11+1,1))-AVERAGE(OFFSET($H$3,0,0,'Données projet'!$E$11+1,1))</f>
        <v>321.23599968992932</v>
      </c>
      <c r="BJ30" s="62">
        <f t="shared" si="38"/>
        <v>388.05195847800502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21.266616024236473</v>
      </c>
      <c r="BS30" s="24">
        <f t="shared" si="9"/>
        <v>21.266616024236473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2.6904761904761907</v>
      </c>
      <c r="N31" s="14">
        <f>IF('Données projet'!$A$36&gt;35,N30+M31-V30,IF(A31&lt;'Données projet'!$A$36,$K$205^A31,IF(A31='Données projet'!$A$36,'Données projet'!$B$36,N30+M31-V30)))</f>
        <v>75.333333333333329</v>
      </c>
      <c r="O31" s="14">
        <f>N31*VLOOKUP('Données projet'!$B$9,Paramètres!$A$1:$I$89,3,0)*VLOOKUP('Données projet'!$B$9,Paramètres!$A$1:$I$89,5,0)</f>
        <v>68.161599999999993</v>
      </c>
      <c r="P31" s="14">
        <f t="shared" si="33"/>
        <v>19.216213321815864</v>
      </c>
      <c r="Q31" s="22">
        <f t="shared" si="2"/>
        <v>152.18302486882931</v>
      </c>
      <c r="R31" s="62">
        <f t="shared" si="0"/>
        <v>443.07191375771816</v>
      </c>
      <c r="S31" s="62">
        <f ca="1">AVERAGE(OFFSET($R$3,0,0,'Données projet'!$E$9+1,1))-AVERAGE(OFFSET($H$3,0,0,'Données projet'!$E$9+1,1))</f>
        <v>329.14247505779747</v>
      </c>
      <c r="T31" s="62">
        <f t="shared" si="34"/>
        <v>199.43308683696642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2.6904761904761907</v>
      </c>
      <c r="AI31" s="14">
        <f>IF('Données projet'!$A$62&gt;35,AI30+AH31-AQ30,IF(A31&lt;'Données projet'!$A$62,$AF$205^A31,IF(A31='Données projet'!$A$62,'Données projet'!$B$62,AI30+AH31-AQ30)))</f>
        <v>75.333333333333329</v>
      </c>
      <c r="AJ31" s="14">
        <f>AI31*VLOOKUP('Données projet'!$B$10,Paramètres!$A$1:$I$89,3,0)*VLOOKUP('Données projet'!$B$10,Paramètres!$A$1:$I$89,5,0)</f>
        <v>76.388000000000005</v>
      </c>
      <c r="AK31" s="14">
        <f t="shared" si="35"/>
        <v>21.251670713617155</v>
      </c>
      <c r="AL31" s="22">
        <f t="shared" si="4"/>
        <v>170.05575982621656</v>
      </c>
      <c r="AM31" s="62">
        <f t="shared" si="5"/>
        <v>460.94464871510542</v>
      </c>
      <c r="AN31" s="62">
        <f ca="1">AVERAGE(OFFSET($AM$3,0,0,'Données projet'!$E$10+1,1))-AVERAGE(OFFSET($H$3,0,0,'Données projet'!$E$10+1,1))</f>
        <v>363.99473967460347</v>
      </c>
      <c r="AO31" s="62">
        <f t="shared" si="36"/>
        <v>218.5520645293999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</v>
      </c>
      <c r="BD31" s="13">
        <f>IF('Données projet'!$A$88&gt;35,BD30+BC31-BL30,IF(A31&lt;'Données projet'!$A$88,$BA$205^A31,IF(A31='Données projet'!$A$88,'Données projet'!$B$88,BD30+BC31-BL30)))</f>
        <v>158.00000000000003</v>
      </c>
      <c r="BE31" s="14">
        <f>BD31*VLOOKUP('Données projet'!$B$11,Paramètres!$A$1:$I$89,3,0)*VLOOKUP('Données projet'!$B$11,Paramètres!$A$1:$I$89,5,0)</f>
        <v>138.02880000000005</v>
      </c>
      <c r="BF31" s="14">
        <f t="shared" si="37"/>
        <v>35.845059256813073</v>
      </c>
      <c r="BG31" s="22">
        <f t="shared" si="7"/>
        <v>302.83030487228285</v>
      </c>
      <c r="BH31" s="62">
        <f t="shared" si="8"/>
        <v>593.71919376117171</v>
      </c>
      <c r="BI31" s="62">
        <f ca="1">AVERAGE(OFFSET($BH$3,0,0,'Données projet'!$E$11+1,1))-AVERAGE(OFFSET($H$3,0,0,'Données projet'!$E$11+1,1))</f>
        <v>321.23599968992932</v>
      </c>
      <c r="BJ31" s="62">
        <f t="shared" si="38"/>
        <v>388.05195847800502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15.037768403628107</v>
      </c>
      <c r="BS31" s="24">
        <f t="shared" si="9"/>
        <v>15.037768403628107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2.6904761904761907</v>
      </c>
      <c r="N32" s="14">
        <f>IF('Données projet'!$A$36&gt;35,N31+M32-V31,IF(A32&lt;'Données projet'!$A$36,$K$205^A32,IF(A32='Données projet'!$A$36,'Données projet'!$B$36,N31+M32-V31)))</f>
        <v>78.023809523809518</v>
      </c>
      <c r="O32" s="14">
        <f>N32*VLOOKUP('Données projet'!$B$9,Paramètres!$A$1:$I$89,3,0)*VLOOKUP('Données projet'!$B$9,Paramètres!$A$1:$I$89,5,0)</f>
        <v>70.595942857142845</v>
      </c>
      <c r="P32" s="14">
        <f t="shared" si="33"/>
        <v>19.82137808929166</v>
      </c>
      <c r="Q32" s="22">
        <f t="shared" si="2"/>
        <v>157.47683398170673</v>
      </c>
      <c r="R32" s="62">
        <f t="shared" si="0"/>
        <v>449.5879450928179</v>
      </c>
      <c r="S32" s="62">
        <f ca="1">AVERAGE(OFFSET($R$3,0,0,'Données projet'!$E$9+1,1))-AVERAGE(OFFSET($H$3,0,0,'Données projet'!$E$9+1,1))</f>
        <v>329.14247505779747</v>
      </c>
      <c r="T32" s="62">
        <f t="shared" si="34"/>
        <v>199.43308683696642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2.6904761904761907</v>
      </c>
      <c r="AI32" s="14">
        <f>IF('Données projet'!$A$62&gt;35,AI31+AH32-AQ31,IF(A32&lt;'Données projet'!$A$62,$AF$205^A32,IF(A32='Données projet'!$A$62,'Données projet'!$B$62,AI31+AH32-AQ31)))</f>
        <v>78.023809523809518</v>
      </c>
      <c r="AJ32" s="14">
        <f>AI32*VLOOKUP('Données projet'!$B$10,Paramètres!$A$1:$I$89,3,0)*VLOOKUP('Données projet'!$B$10,Paramètres!$A$1:$I$89,5,0)</f>
        <v>79.116142857142862</v>
      </c>
      <c r="AK32" s="14">
        <f t="shared" si="35"/>
        <v>21.920936929103938</v>
      </c>
      <c r="AL32" s="22">
        <f t="shared" si="4"/>
        <v>175.97291396104652</v>
      </c>
      <c r="AM32" s="62">
        <f t="shared" si="5"/>
        <v>468.08402507215766</v>
      </c>
      <c r="AN32" s="62">
        <f ca="1">AVERAGE(OFFSET($AM$3,0,0,'Données projet'!$E$10+1,1))-AVERAGE(OFFSET($H$3,0,0,'Données projet'!$E$10+1,1))</f>
        <v>363.99473967460347</v>
      </c>
      <c r="AO32" s="62">
        <f t="shared" si="36"/>
        <v>218.5520645293999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171.00000000000003</v>
      </c>
      <c r="BE32" s="14">
        <f>BD32*VLOOKUP('Données projet'!$B$11,Paramètres!$A$1:$I$89,3,0)*VLOOKUP('Données projet'!$B$11,Paramètres!$A$1:$I$89,5,0)</f>
        <v>149.38560000000004</v>
      </c>
      <c r="BF32" s="14">
        <f t="shared" si="37"/>
        <v>38.438927680599591</v>
      </c>
      <c r="BG32" s="22">
        <f t="shared" si="7"/>
        <v>327.12771904371101</v>
      </c>
      <c r="BH32" s="62">
        <f t="shared" si="8"/>
        <v>619.23883015482215</v>
      </c>
      <c r="BI32" s="62">
        <f ca="1">AVERAGE(OFFSET($BH$3,0,0,'Données projet'!$E$11+1,1))-AVERAGE(OFFSET($H$3,0,0,'Données projet'!$E$11+1,1))</f>
        <v>321.23599968992932</v>
      </c>
      <c r="BJ32" s="62">
        <f t="shared" si="38"/>
        <v>388.05195847800502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10.633308012118238</v>
      </c>
      <c r="BS32" s="24">
        <f t="shared" si="9"/>
        <v>10.633308012118238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2.6904761904761907</v>
      </c>
      <c r="N33" s="14">
        <f>IF('Données projet'!$A$36&gt;35,N32+M33-V32,IF(A33&lt;'Données projet'!$A$36,$K$205^A33,IF(A33='Données projet'!$A$36,'Données projet'!$B$36,N32+M33-V32)))</f>
        <v>80.714285714285708</v>
      </c>
      <c r="O33" s="14">
        <f>N33*VLOOKUP('Données projet'!$B$9,Paramètres!$A$1:$I$89,3,0)*VLOOKUP('Données projet'!$B$9,Paramètres!$A$1:$I$89,5,0)</f>
        <v>73.030285714285711</v>
      </c>
      <c r="P33" s="14">
        <f t="shared" si="33"/>
        <v>20.424118211245272</v>
      </c>
      <c r="Q33" s="22">
        <f t="shared" si="2"/>
        <v>162.76642017029977</v>
      </c>
      <c r="R33" s="62">
        <f t="shared" si="0"/>
        <v>456.09975350363311</v>
      </c>
      <c r="S33" s="62">
        <f ca="1">AVERAGE(OFFSET($R$3,0,0,'Données projet'!$E$9+1,1))-AVERAGE(OFFSET($H$3,0,0,'Données projet'!$E$9+1,1))</f>
        <v>329.14247505779747</v>
      </c>
      <c r="T33" s="62">
        <f t="shared" si="34"/>
        <v>199.43308683696642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2.6904761904761907</v>
      </c>
      <c r="AI33" s="14">
        <f>IF('Données projet'!$A$62&gt;35,AI32+AH33-AQ32,IF(A33&lt;'Données projet'!$A$62,$AF$205^A33,IF(A33='Données projet'!$A$62,'Données projet'!$B$62,AI32+AH33-AQ32)))</f>
        <v>80.714285714285708</v>
      </c>
      <c r="AJ33" s="14">
        <f>AI33*VLOOKUP('Données projet'!$B$10,Paramètres!$A$1:$I$89,3,0)*VLOOKUP('Données projet'!$B$10,Paramètres!$A$1:$I$89,5,0)</f>
        <v>81.844285714285718</v>
      </c>
      <c r="AK33" s="14">
        <f t="shared" si="35"/>
        <v>22.587521671015683</v>
      </c>
      <c r="AL33" s="22">
        <f t="shared" si="4"/>
        <v>181.88539786273327</v>
      </c>
      <c r="AM33" s="62">
        <f t="shared" si="5"/>
        <v>475.21873119606659</v>
      </c>
      <c r="AN33" s="62">
        <f ca="1">AVERAGE(OFFSET($AM$3,0,0,'Données projet'!$E$10+1,1))-AVERAGE(OFFSET($H$3,0,0,'Données projet'!$E$10+1,1))</f>
        <v>363.99473967460347</v>
      </c>
      <c r="AO33" s="62">
        <f t="shared" si="36"/>
        <v>218.5520645293999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184</v>
      </c>
      <c r="BB33" s="13">
        <f>VLOOKUP(A33,'Données projet'!$A$87:$I$107,9,0)</f>
        <v>13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184.00000000000003</v>
      </c>
      <c r="BE33" s="14">
        <f>BD33*VLOOKUP('Données projet'!$B$11,Paramètres!$A$1:$I$89,3,0)*VLOOKUP('Données projet'!$B$11,Paramètres!$A$1:$I$89,5,0)</f>
        <v>160.74240000000003</v>
      </c>
      <c r="BF33" s="14">
        <f t="shared" si="37"/>
        <v>41.009920657227809</v>
      </c>
      <c r="BG33" s="22">
        <f t="shared" si="7"/>
        <v>351.38529181133845</v>
      </c>
      <c r="BH33" s="62">
        <f t="shared" si="8"/>
        <v>644.71862514467171</v>
      </c>
      <c r="BI33" s="62">
        <f ca="1">AVERAGE(OFFSET($BH$3,0,0,'Données projet'!$E$11+1,1))-AVERAGE(OFFSET($H$3,0,0,'Données projet'!$E$11+1,1))</f>
        <v>321.23599968992932</v>
      </c>
      <c r="BJ33" s="62">
        <f t="shared" si="38"/>
        <v>388.05195847800502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44</v>
      </c>
      <c r="BM33" s="17">
        <f>IF(ISNA(VLOOKUP(A33,'Données projet'!$A$87:$I$107,5,0)),0%,VLOOKUP(A33,'Données projet'!$A$87:$I$107,5,0)*VLOOKUP('Données projet'!$B$11,Paramètres!$A$1:$I$89,7,0))</f>
        <v>4.3000000000000003E-2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0.9</v>
      </c>
      <c r="BP33" s="23">
        <f>EXP(-LN(2)/35)*BP32+(1-EXP(-LN(2)/35))/(LN(2)/35)*BL33*BM33*VLOOKUP('Données projet'!$B$11,Paramètres!$A$1:$I$89,3,0)*0.475*44/12</f>
        <v>1.8271780433754923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40.159782660745037</v>
      </c>
      <c r="BS33" s="24">
        <f t="shared" si="9"/>
        <v>41.986960704120527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2.6904761904761907</v>
      </c>
      <c r="N34" s="14">
        <f>IF('Données projet'!$A$36&gt;35,N33+M34-V33,IF(A34&lt;'Données projet'!$A$36,$K$205^A34,IF(A34='Données projet'!$A$36,'Données projet'!$B$36,N33+M34-V33)))</f>
        <v>83.404761904761898</v>
      </c>
      <c r="O34" s="14">
        <f>N34*VLOOKUP('Données projet'!$B$9,Paramètres!$A$1:$I$89,3,0)*VLOOKUP('Données projet'!$B$9,Paramètres!$A$1:$I$89,5,0)</f>
        <v>75.464628571428563</v>
      </c>
      <c r="P34" s="14">
        <f t="shared" si="33"/>
        <v>21.024523775886198</v>
      </c>
      <c r="Q34" s="22">
        <f t="shared" si="2"/>
        <v>168.05194033823986</v>
      </c>
      <c r="R34" s="62">
        <f t="shared" si="0"/>
        <v>461.38527367157315</v>
      </c>
      <c r="S34" s="62">
        <f ca="1">AVERAGE(OFFSET($R$3,0,0,'Données projet'!$E$9+1,1))-AVERAGE(OFFSET($H$3,0,0,'Données projet'!$E$9+1,1))</f>
        <v>329.14247505779747</v>
      </c>
      <c r="T34" s="62">
        <f t="shared" si="34"/>
        <v>199.43308683696642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2.6904761904761907</v>
      </c>
      <c r="AI34" s="14">
        <f>IF('Données projet'!$A$62&gt;35,AI33+AH34-AQ33,IF(A34&lt;'Données projet'!$A$62,$AF$205^A34,IF(A34='Données projet'!$A$62,'Données projet'!$B$62,AI33+AH34-AQ33)))</f>
        <v>83.404761904761898</v>
      </c>
      <c r="AJ34" s="14">
        <f>AI34*VLOOKUP('Données projet'!$B$10,Paramètres!$A$1:$I$89,3,0)*VLOOKUP('Données projet'!$B$10,Paramètres!$A$1:$I$89,5,0)</f>
        <v>84.572428571428574</v>
      </c>
      <c r="AK34" s="14">
        <f t="shared" si="35"/>
        <v>23.251524570061715</v>
      </c>
      <c r="AL34" s="22">
        <f t="shared" si="4"/>
        <v>187.79338505476224</v>
      </c>
      <c r="AM34" s="62">
        <f t="shared" si="5"/>
        <v>481.12671838809558</v>
      </c>
      <c r="AN34" s="62">
        <f ca="1">AVERAGE(OFFSET($AM$3,0,0,'Données projet'!$E$10+1,1))-AVERAGE(OFFSET($H$3,0,0,'Données projet'!$E$10+1,1))</f>
        <v>363.99473967460347</v>
      </c>
      <c r="AO34" s="62">
        <f t="shared" si="36"/>
        <v>218.5520645293999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12.2</v>
      </c>
      <c r="BD34" s="13">
        <f>IF('Données projet'!$A$88&gt;35,BD33+BC34-BL33,IF(A34&lt;'Données projet'!$A$88,$BA$205^A34,IF(A34='Données projet'!$A$88,'Données projet'!$B$88,BD33+BC34-BL33)))</f>
        <v>152.20000000000002</v>
      </c>
      <c r="BE34" s="14">
        <f>BD34*VLOOKUP('Données projet'!$B$11,Paramètres!$A$1:$I$89,3,0)*VLOOKUP('Données projet'!$B$11,Paramètres!$A$1:$I$89,5,0)</f>
        <v>132.96192000000002</v>
      </c>
      <c r="BF34" s="14">
        <f t="shared" si="37"/>
        <v>34.679872132599144</v>
      </c>
      <c r="BG34" s="22">
        <f t="shared" si="7"/>
        <v>291.97612129761018</v>
      </c>
      <c r="BH34" s="62">
        <f t="shared" si="8"/>
        <v>585.30945463094349</v>
      </c>
      <c r="BI34" s="62">
        <f ca="1">AVERAGE(OFFSET($BH$3,0,0,'Données projet'!$E$11+1,1))-AVERAGE(OFFSET($H$3,0,0,'Données projet'!$E$11+1,1))</f>
        <v>321.23599968992932</v>
      </c>
      <c r="BJ34" s="62">
        <f t="shared" si="38"/>
        <v>388.05195847800502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1.7913481964134608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28.397254650390749</v>
      </c>
      <c r="BS34" s="24">
        <f t="shared" si="9"/>
        <v>30.188602846804208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2.6904761904761907</v>
      </c>
      <c r="N35" s="14">
        <f>IF('Données projet'!$A$36&gt;35,N34+M35-V34,IF(A35&lt;'Données projet'!$A$36,$K$205^A35,IF(A35='Données projet'!$A$36,'Données projet'!$B$36,N34+M35-V34)))</f>
        <v>86.095238095238088</v>
      </c>
      <c r="O35" s="14">
        <f>N35*VLOOKUP('Données projet'!$B$9,Paramètres!$A$1:$I$89,3,0)*VLOOKUP('Données projet'!$B$9,Paramètres!$A$1:$I$89,5,0)</f>
        <v>77.898971428571414</v>
      </c>
      <c r="P35" s="14">
        <f t="shared" si="33"/>
        <v>21.622678729311669</v>
      </c>
      <c r="Q35" s="22">
        <f t="shared" ref="Q35:Q66" si="53">(O35+P35)*0.475*44/12</f>
        <v>173.33354069164636</v>
      </c>
      <c r="R35" s="62">
        <f t="shared" si="0"/>
        <v>466.66687402497968</v>
      </c>
      <c r="S35" s="62">
        <f ca="1">AVERAGE(OFFSET($R$3,0,0,'Données projet'!$E$9+1,1))-AVERAGE(OFFSET($H$3,0,0,'Données projet'!$E$9+1,1))</f>
        <v>329.14247505779747</v>
      </c>
      <c r="T35" s="62">
        <f t="shared" si="34"/>
        <v>199.43308683696642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2.6904761904761907</v>
      </c>
      <c r="AI35" s="14">
        <f>IF('Données projet'!$A$62&gt;35,AI34+AH35-AQ34,IF(A35&lt;'Données projet'!$A$62,$AF$205^A35,IF(A35='Données projet'!$A$62,'Données projet'!$B$62,AI34+AH35-AQ34)))</f>
        <v>86.095238095238088</v>
      </c>
      <c r="AJ35" s="14">
        <f>AI35*VLOOKUP('Données projet'!$B$10,Paramètres!$A$1:$I$89,3,0)*VLOOKUP('Données projet'!$B$10,Paramètres!$A$1:$I$89,5,0)</f>
        <v>87.30057142857143</v>
      </c>
      <c r="AK35" s="14">
        <f t="shared" si="35"/>
        <v>23.91303846424216</v>
      </c>
      <c r="AL35" s="22">
        <f t="shared" si="4"/>
        <v>193.69703722998369</v>
      </c>
      <c r="AM35" s="62">
        <f t="shared" si="5"/>
        <v>487.03037056331698</v>
      </c>
      <c r="AN35" s="62">
        <f ca="1">AVERAGE(OFFSET($AM$3,0,0,'Données projet'!$E$10+1,1))-AVERAGE(OFFSET($H$3,0,0,'Données projet'!$E$10+1,1))</f>
        <v>363.99473967460347</v>
      </c>
      <c r="AO35" s="62">
        <f t="shared" si="36"/>
        <v>218.5520645293999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12.2</v>
      </c>
      <c r="BD35" s="13">
        <f>IF('Données projet'!$A$88&gt;35,BD34+BC35-BL34,IF(A35&lt;'Données projet'!$A$88,$BA$205^A35,IF(A35='Données projet'!$A$88,'Données projet'!$B$88,BD34+BC35-BL34)))</f>
        <v>164.4</v>
      </c>
      <c r="BE35" s="14">
        <f>BD35*VLOOKUP('Données projet'!$B$11,Paramètres!$A$1:$I$89,3,0)*VLOOKUP('Données projet'!$B$11,Paramètres!$A$1:$I$89,5,0)</f>
        <v>143.61984000000001</v>
      </c>
      <c r="BF35" s="14">
        <f t="shared" si="37"/>
        <v>37.125023974706046</v>
      </c>
      <c r="BG35" s="22">
        <f t="shared" si="7"/>
        <v>314.79730475594641</v>
      </c>
      <c r="BH35" s="62">
        <f t="shared" si="8"/>
        <v>608.13063808927973</v>
      </c>
      <c r="BI35" s="62">
        <f ca="1">AVERAGE(OFFSET($BH$3,0,0,'Données projet'!$E$11+1,1))-AVERAGE(OFFSET($H$3,0,0,'Données projet'!$E$11+1,1))</f>
        <v>321.23599968992932</v>
      </c>
      <c r="BJ35" s="62">
        <f t="shared" si="38"/>
        <v>388.05195847800502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1.7562209508963058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20.079891330372522</v>
      </c>
      <c r="BS35" s="24">
        <f t="shared" si="9"/>
        <v>21.836112281268829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2.6904761904761907</v>
      </c>
      <c r="N36" s="14">
        <f>IF('Données projet'!$A$36&gt;35,N35+M36-V35,IF(A36&lt;'Données projet'!$A$36,$K$205^A36,IF(A36='Données projet'!$A$36,'Données projet'!$B$36,N35+M36-V35)))</f>
        <v>88.785714285714278</v>
      </c>
      <c r="O36" s="14">
        <f>N36*VLOOKUP('Données projet'!$B$9,Paramètres!$A$1:$I$89,3,0)*VLOOKUP('Données projet'!$B$9,Paramètres!$A$1:$I$89,5,0)</f>
        <v>80.33331428571428</v>
      </c>
      <c r="P36" s="14">
        <f t="shared" si="33"/>
        <v>22.218661472981104</v>
      </c>
      <c r="Q36" s="22">
        <f t="shared" si="53"/>
        <v>178.6113577797278</v>
      </c>
      <c r="R36" s="62">
        <f t="shared" si="0"/>
        <v>471.94469111306114</v>
      </c>
      <c r="S36" s="62">
        <f ca="1">AVERAGE(OFFSET($R$3,0,0,'Données projet'!$E$9+1,1))-AVERAGE(OFFSET($H$3,0,0,'Données projet'!$E$9+1,1))</f>
        <v>329.14247505779747</v>
      </c>
      <c r="T36" s="62">
        <f t="shared" si="34"/>
        <v>199.43308683696642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2.6904761904761907</v>
      </c>
      <c r="AI36" s="14">
        <f>IF('Données projet'!$A$62&gt;35,AI35+AH36-AQ35,IF(A36&lt;'Données projet'!$A$62,$AF$205^A36,IF(A36='Données projet'!$A$62,'Données projet'!$B$62,AI35+AH36-AQ35)))</f>
        <v>88.785714285714278</v>
      </c>
      <c r="AJ36" s="14">
        <f>AI36*VLOOKUP('Données projet'!$B$10,Paramètres!$A$1:$I$89,3,0)*VLOOKUP('Données projet'!$B$10,Paramètres!$A$1:$I$89,5,0)</f>
        <v>90.028714285714287</v>
      </c>
      <c r="AK36" s="14">
        <f t="shared" si="35"/>
        <v>24.572150059609498</v>
      </c>
      <c r="AL36" s="22">
        <f t="shared" si="4"/>
        <v>199.59650540143889</v>
      </c>
      <c r="AM36" s="62">
        <f t="shared" si="5"/>
        <v>492.9298387347722</v>
      </c>
      <c r="AN36" s="62">
        <f ca="1">AVERAGE(OFFSET($AM$3,0,0,'Données projet'!$E$10+1,1))-AVERAGE(OFFSET($H$3,0,0,'Données projet'!$E$10+1,1))</f>
        <v>363.99473967460347</v>
      </c>
      <c r="AO36" s="62">
        <f t="shared" si="36"/>
        <v>218.5520645293999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12.2</v>
      </c>
      <c r="BD36" s="13">
        <f>IF('Données projet'!$A$88&gt;35,BD35+BC36-BL35,IF(A36&lt;'Données projet'!$A$88,$BA$205^A36,IF(A36='Données projet'!$A$88,'Données projet'!$B$88,BD35+BC36-BL35)))</f>
        <v>176.6</v>
      </c>
      <c r="BE36" s="14">
        <f>BD36*VLOOKUP('Données projet'!$B$11,Paramètres!$A$1:$I$89,3,0)*VLOOKUP('Données projet'!$B$11,Paramètres!$A$1:$I$89,5,0)</f>
        <v>154.27776</v>
      </c>
      <c r="BF36" s="14">
        <f t="shared" si="37"/>
        <v>39.549125277353333</v>
      </c>
      <c r="BG36" s="22">
        <f t="shared" si="7"/>
        <v>337.58182519139035</v>
      </c>
      <c r="BH36" s="62">
        <f t="shared" si="8"/>
        <v>630.91515852472367</v>
      </c>
      <c r="BI36" s="62">
        <f ca="1">AVERAGE(OFFSET($BH$3,0,0,'Données projet'!$E$11+1,1))-AVERAGE(OFFSET($H$3,0,0,'Données projet'!$E$11+1,1))</f>
        <v>321.23599968992932</v>
      </c>
      <c r="BJ36" s="62">
        <f t="shared" si="38"/>
        <v>388.05195847800502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1.7217825292382383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14.198627325195377</v>
      </c>
      <c r="BS36" s="24">
        <f t="shared" si="9"/>
        <v>15.920409854433615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2.6904761904761907</v>
      </c>
      <c r="N37" s="14">
        <f>IF('Données projet'!$A$36&gt;35,N36+M37-V36,IF(A37&lt;'Données projet'!$A$36,$K$205^A37,IF(A37='Données projet'!$A$36,'Données projet'!$B$36,N36+M37-V36)))</f>
        <v>91.476190476190467</v>
      </c>
      <c r="O37" s="14">
        <f>N37*VLOOKUP('Données projet'!$B$9,Paramètres!$A$1:$I$89,3,0)*VLOOKUP('Données projet'!$B$9,Paramètres!$A$1:$I$89,5,0)</f>
        <v>82.767657142857132</v>
      </c>
      <c r="P37" s="14">
        <f t="shared" si="33"/>
        <v>22.812545386734861</v>
      </c>
      <c r="Q37" s="22">
        <f t="shared" si="53"/>
        <v>183.88551940570605</v>
      </c>
      <c r="R37" s="62">
        <f t="shared" si="0"/>
        <v>477.21885273903933</v>
      </c>
      <c r="S37" s="62">
        <f ca="1">AVERAGE(OFFSET($R$3,0,0,'Données projet'!$E$9+1,1))-AVERAGE(OFFSET($H$3,0,0,'Données projet'!$E$9+1,1))</f>
        <v>329.14247505779747</v>
      </c>
      <c r="T37" s="62">
        <f t="shared" si="34"/>
        <v>199.43308683696642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2.6904761904761907</v>
      </c>
      <c r="AI37" s="14">
        <f>IF('Données projet'!$A$62&gt;35,AI36+AH37-AQ36,IF(A37&lt;'Données projet'!$A$62,$AF$205^A37,IF(A37='Données projet'!$A$62,'Données projet'!$B$62,AI36+AH37-AQ36)))</f>
        <v>91.476190476190467</v>
      </c>
      <c r="AJ37" s="14">
        <f>AI37*VLOOKUP('Données projet'!$B$10,Paramètres!$A$1:$I$89,3,0)*VLOOKUP('Données projet'!$B$10,Paramètres!$A$1:$I$89,5,0)</f>
        <v>92.756857142857143</v>
      </c>
      <c r="AK37" s="14">
        <f t="shared" si="35"/>
        <v>25.228940508687224</v>
      </c>
      <c r="AL37" s="22">
        <f t="shared" si="4"/>
        <v>205.49193090977312</v>
      </c>
      <c r="AM37" s="62">
        <f t="shared" si="5"/>
        <v>498.8252642431064</v>
      </c>
      <c r="AN37" s="62">
        <f ca="1">AVERAGE(OFFSET($AM$3,0,0,'Données projet'!$E$10+1,1))-AVERAGE(OFFSET($H$3,0,0,'Données projet'!$E$10+1,1))</f>
        <v>363.99473967460347</v>
      </c>
      <c r="AO37" s="62">
        <f t="shared" si="36"/>
        <v>218.5520645293999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12.2</v>
      </c>
      <c r="BD37" s="13">
        <f>IF('Données projet'!$A$88&gt;35,BD36+BC37-BL36,IF(A37&lt;'Données projet'!$A$88,$BA$205^A37,IF(A37='Données projet'!$A$88,'Données projet'!$B$88,BD36+BC37-BL36)))</f>
        <v>188.79999999999998</v>
      </c>
      <c r="BE37" s="14">
        <f>BD37*VLOOKUP('Données projet'!$B$11,Paramètres!$A$1:$I$89,3,0)*VLOOKUP('Données projet'!$B$11,Paramètres!$A$1:$I$89,5,0)</f>
        <v>164.93567999999999</v>
      </c>
      <c r="BF37" s="14">
        <f t="shared" si="37"/>
        <v>41.953795695589498</v>
      </c>
      <c r="BG37" s="22">
        <f t="shared" si="7"/>
        <v>360.33250350315166</v>
      </c>
      <c r="BH37" s="62">
        <f t="shared" si="8"/>
        <v>653.66583683648491</v>
      </c>
      <c r="BI37" s="62">
        <f ca="1">AVERAGE(OFFSET($BH$3,0,0,'Données projet'!$E$11+1,1))-AVERAGE(OFFSET($H$3,0,0,'Données projet'!$E$11+1,1))</f>
        <v>321.23599968992932</v>
      </c>
      <c r="BJ37" s="62">
        <f t="shared" si="38"/>
        <v>388.05195847800502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1.6880194240235222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10.039945665186263</v>
      </c>
      <c r="BS37" s="24">
        <f t="shared" si="9"/>
        <v>11.727965089209786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2.6904761904761907</v>
      </c>
      <c r="N38" s="14">
        <f>IF('Données projet'!$A$36&gt;35,N37+M38-V37,IF(A38&lt;'Données projet'!$A$36,$K$205^A38,IF(A38='Données projet'!$A$36,'Données projet'!$B$36,N37+M38-V37)))</f>
        <v>94.166666666666657</v>
      </c>
      <c r="O38" s="14">
        <f>N38*VLOOKUP('Données projet'!$B$9,Paramètres!$A$1:$I$89,3,0)*VLOOKUP('Données projet'!$B$9,Paramètres!$A$1:$I$89,5,0)</f>
        <v>85.201999999999998</v>
      </c>
      <c r="P38" s="14">
        <f t="shared" si="33"/>
        <v>23.404399288552128</v>
      </c>
      <c r="Q38" s="22">
        <f t="shared" si="53"/>
        <v>189.1561454275616</v>
      </c>
      <c r="R38" s="62">
        <f t="shared" si="0"/>
        <v>482.48947876089494</v>
      </c>
      <c r="S38" s="62">
        <f ca="1">AVERAGE(OFFSET($R$3,0,0,'Données projet'!$E$9+1,1))-AVERAGE(OFFSET($H$3,0,0,'Données projet'!$E$9+1,1))</f>
        <v>329.14247505779747</v>
      </c>
      <c r="T38" s="62">
        <f t="shared" si="34"/>
        <v>199.43308683696642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2.6904761904761907</v>
      </c>
      <c r="AI38" s="14">
        <f>IF('Données projet'!$A$62&gt;35,AI37+AH38-AQ37,IF(A38&lt;'Données projet'!$A$62,$AF$205^A38,IF(A38='Données projet'!$A$62,'Données projet'!$B$62,AI37+AH38-AQ37)))</f>
        <v>94.166666666666657</v>
      </c>
      <c r="AJ38" s="14">
        <f>AI38*VLOOKUP('Données projet'!$B$10,Paramètres!$A$1:$I$89,3,0)*VLOOKUP('Données projet'!$B$10,Paramètres!$A$1:$I$89,5,0)</f>
        <v>95.484999999999999</v>
      </c>
      <c r="AK38" s="14">
        <f t="shared" si="35"/>
        <v>25.883485918927366</v>
      </c>
      <c r="AL38" s="22">
        <f t="shared" si="4"/>
        <v>211.38344630879848</v>
      </c>
      <c r="AM38" s="62">
        <f t="shared" si="5"/>
        <v>504.71677964213177</v>
      </c>
      <c r="AN38" s="62">
        <f ca="1">AVERAGE(OFFSET($AM$3,0,0,'Données projet'!$E$10+1,1))-AVERAGE(OFFSET($H$3,0,0,'Données projet'!$E$10+1,1))</f>
        <v>363.99473967460347</v>
      </c>
      <c r="AO38" s="62">
        <f t="shared" si="36"/>
        <v>218.5520645293999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12.2</v>
      </c>
      <c r="BC38" s="13">
        <f t="array" ref="BC38">INDEX(BB:BB,MIN(IF(ISNUMBER(BB38:BB234),ROW(BB38:BB234),"")))</f>
        <v>12.2</v>
      </c>
      <c r="BD38" s="13">
        <f>IF('Données projet'!$A$88&gt;35,BD37+BC38-BL37,IF(A38&lt;'Données projet'!$A$88,$BA$205^A38,IF(A38='Données projet'!$A$88,'Données projet'!$B$88,BD37+BC38-BL37)))</f>
        <v>200.99999999999997</v>
      </c>
      <c r="BE38" s="14">
        <f>BD38*VLOOKUP('Données projet'!$B$11,Paramètres!$A$1:$I$89,3,0)*VLOOKUP('Données projet'!$B$11,Paramètres!$A$1:$I$89,5,0)</f>
        <v>175.59359999999998</v>
      </c>
      <c r="BF38" s="14">
        <f t="shared" si="37"/>
        <v>44.340433728638573</v>
      </c>
      <c r="BG38" s="22">
        <f t="shared" si="7"/>
        <v>383.05177541071208</v>
      </c>
      <c r="BH38" s="62">
        <f t="shared" si="8"/>
        <v>676.3851087440454</v>
      </c>
      <c r="BI38" s="62">
        <f ca="1">AVERAGE(OFFSET($BH$3,0,0,'Données projet'!$E$11+1,1))-AVERAGE(OFFSET($H$3,0,0,'Données projet'!$E$11+1,1))</f>
        <v>321.23599968992932</v>
      </c>
      <c r="BJ38" s="62">
        <f t="shared" si="38"/>
        <v>388.05195847800502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1.654918392708606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7.0993136625976891</v>
      </c>
      <c r="BS38" s="24">
        <f t="shared" si="9"/>
        <v>8.7542320553062947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2.6904761904761907</v>
      </c>
      <c r="N39" s="14">
        <f>IF('Données projet'!$A$36&gt;35,N38+M39-V38,IF(A39&lt;'Données projet'!$A$36,$K$205^A39,IF(A39='Données projet'!$A$36,'Données projet'!$B$36,N38+M39-V38)))</f>
        <v>96.857142857142847</v>
      </c>
      <c r="O39" s="14">
        <f>N39*VLOOKUP('Données projet'!$B$9,Paramètres!$A$1:$I$89,3,0)*VLOOKUP('Données projet'!$B$9,Paramètres!$A$1:$I$89,5,0)</f>
        <v>87.63634285714285</v>
      </c>
      <c r="P39" s="14">
        <f t="shared" si="33"/>
        <v>23.994287840288255</v>
      </c>
      <c r="Q39" s="22">
        <f t="shared" si="53"/>
        <v>194.42334846469248</v>
      </c>
      <c r="R39" s="62">
        <f t="shared" si="0"/>
        <v>487.7566817980258</v>
      </c>
      <c r="S39" s="62">
        <f ca="1">AVERAGE(OFFSET($R$3,0,0,'Données projet'!$E$9+1,1))-AVERAGE(OFFSET($H$3,0,0,'Données projet'!$E$9+1,1))</f>
        <v>329.14247505779747</v>
      </c>
      <c r="T39" s="62">
        <f t="shared" si="34"/>
        <v>199.43308683696642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2.6904761904761907</v>
      </c>
      <c r="AI39" s="14">
        <f>IF('Données projet'!$A$62&gt;35,AI38+AH39-AQ38,IF(A39&lt;'Données projet'!$A$62,$AF$205^A39,IF(A39='Données projet'!$A$62,'Données projet'!$B$62,AI38+AH39-AQ38)))</f>
        <v>96.857142857142847</v>
      </c>
      <c r="AJ39" s="14">
        <f>AI39*VLOOKUP('Données projet'!$B$10,Paramètres!$A$1:$I$89,3,0)*VLOOKUP('Données projet'!$B$10,Paramètres!$A$1:$I$89,5,0)</f>
        <v>98.213142857142856</v>
      </c>
      <c r="AK39" s="14">
        <f t="shared" si="35"/>
        <v>26.535857801424978</v>
      </c>
      <c r="AL39" s="22">
        <f t="shared" si="4"/>
        <v>217.27117614700566</v>
      </c>
      <c r="AM39" s="62">
        <f t="shared" si="5"/>
        <v>510.60450948033895</v>
      </c>
      <c r="AN39" s="62">
        <f ca="1">AVERAGE(OFFSET($AM$3,0,0,'Données projet'!$E$10+1,1))-AVERAGE(OFFSET($H$3,0,0,'Données projet'!$E$10+1,1))</f>
        <v>363.99473967460347</v>
      </c>
      <c r="AO39" s="62">
        <f t="shared" si="36"/>
        <v>218.5520645293999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10.8</v>
      </c>
      <c r="BD39" s="13">
        <f>IF('Données projet'!$A$88&gt;35,BD38+BC39-BL38,IF(A39&lt;'Données projet'!$A$88,$BA$205^A39,IF(A39='Données projet'!$A$88,'Données projet'!$B$88,BD38+BC39-BL38)))</f>
        <v>169.79999999999998</v>
      </c>
      <c r="BE39" s="14">
        <f>BD39*VLOOKUP('Données projet'!$B$11,Paramètres!$A$1:$I$89,3,0)*VLOOKUP('Données projet'!$B$11,Paramètres!$A$1:$I$89,5,0)</f>
        <v>148.33727999999999</v>
      </c>
      <c r="BF39" s="14">
        <f t="shared" si="37"/>
        <v>38.200481752654802</v>
      </c>
      <c r="BG39" s="22">
        <f t="shared" si="7"/>
        <v>324.88660171920714</v>
      </c>
      <c r="BH39" s="62">
        <f t="shared" si="8"/>
        <v>618.21993505254045</v>
      </c>
      <c r="BI39" s="62">
        <f ca="1">AVERAGE(OFFSET($BH$3,0,0,'Données projet'!$E$11+1,1))-AVERAGE(OFFSET($H$3,0,0,'Données projet'!$E$11+1,1))</f>
        <v>321.23599968992932</v>
      </c>
      <c r="BJ39" s="62">
        <f t="shared" si="38"/>
        <v>388.05195847800502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1.6224664524281398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5.0199728325931314</v>
      </c>
      <c r="BS39" s="24">
        <f t="shared" si="9"/>
        <v>6.642439285021271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2.6904761904761907</v>
      </c>
      <c r="N40" s="14">
        <f>IF('Données projet'!$A$36&gt;35,N39+M40-V39,IF(A40&lt;'Données projet'!$A$36,$K$205^A40,IF(A40='Données projet'!$A$36,'Données projet'!$B$36,N39+M40-V39)))</f>
        <v>99.547619047619037</v>
      </c>
      <c r="O40" s="14">
        <f>N40*VLOOKUP('Données projet'!$B$9,Paramètres!$A$1:$I$89,3,0)*VLOOKUP('Données projet'!$B$9,Paramètres!$A$1:$I$89,5,0)</f>
        <v>90.070685714285702</v>
      </c>
      <c r="P40" s="14">
        <f t="shared" si="33"/>
        <v>24.582271907062804</v>
      </c>
      <c r="Q40" s="22">
        <f t="shared" si="53"/>
        <v>199.68723452384862</v>
      </c>
      <c r="R40" s="62">
        <f t="shared" si="0"/>
        <v>493.02056785718196</v>
      </c>
      <c r="S40" s="62">
        <f ca="1">AVERAGE(OFFSET($R$3,0,0,'Données projet'!$E$9+1,1))-AVERAGE(OFFSET($H$3,0,0,'Données projet'!$E$9+1,1))</f>
        <v>329.14247505779747</v>
      </c>
      <c r="T40" s="62">
        <f t="shared" si="34"/>
        <v>199.43308683696642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2.6904761904761907</v>
      </c>
      <c r="AI40" s="14">
        <f>IF('Données projet'!$A$62&gt;35,AI39+AH40-AQ39,IF(A40&lt;'Données projet'!$A$62,$AF$205^A40,IF(A40='Données projet'!$A$62,'Données projet'!$B$62,AI39+AH40-AQ39)))</f>
        <v>99.547619047619037</v>
      </c>
      <c r="AJ40" s="14">
        <f>AI40*VLOOKUP('Données projet'!$B$10,Paramètres!$A$1:$I$89,3,0)*VLOOKUP('Données projet'!$B$10,Paramètres!$A$1:$I$89,5,0)</f>
        <v>100.94128571428573</v>
      </c>
      <c r="AK40" s="14">
        <f t="shared" si="35"/>
        <v>27.186123468374046</v>
      </c>
      <c r="AL40" s="22">
        <f t="shared" si="4"/>
        <v>223.15523765979904</v>
      </c>
      <c r="AM40" s="62">
        <f t="shared" si="5"/>
        <v>516.48857099313238</v>
      </c>
      <c r="AN40" s="62">
        <f ca="1">AVERAGE(OFFSET($AM$3,0,0,'Données projet'!$E$10+1,1))-AVERAGE(OFFSET($H$3,0,0,'Données projet'!$E$10+1,1))</f>
        <v>363.99473967460347</v>
      </c>
      <c r="AO40" s="62">
        <f t="shared" si="36"/>
        <v>218.5520645293999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10.8</v>
      </c>
      <c r="BD40" s="13">
        <f>IF('Données projet'!$A$88&gt;35,BD39+BC40-BL39,IF(A40&lt;'Données projet'!$A$88,$BA$205^A40,IF(A40='Données projet'!$A$88,'Données projet'!$B$88,BD39+BC40-BL39)))</f>
        <v>180.6</v>
      </c>
      <c r="BE40" s="14">
        <f>BD40*VLOOKUP('Données projet'!$B$11,Paramètres!$A$1:$I$89,3,0)*VLOOKUP('Données projet'!$B$11,Paramètres!$A$1:$I$89,5,0)</f>
        <v>157.77216000000001</v>
      </c>
      <c r="BF40" s="14">
        <f t="shared" si="37"/>
        <v>40.339610539653599</v>
      </c>
      <c r="BG40" s="22">
        <f t="shared" si="7"/>
        <v>345.04466702323003</v>
      </c>
      <c r="BH40" s="62">
        <f t="shared" si="8"/>
        <v>638.37800035656335</v>
      </c>
      <c r="BI40" s="62">
        <f ca="1">AVERAGE(OFFSET($BH$3,0,0,'Données projet'!$E$11+1,1))-AVERAGE(OFFSET($H$3,0,0,'Données projet'!$E$11+1,1))</f>
        <v>321.23599968992932</v>
      </c>
      <c r="BJ40" s="62">
        <f t="shared" si="38"/>
        <v>388.05195847800502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1.5906508749028445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3.5496568312988446</v>
      </c>
      <c r="BS40" s="24">
        <f t="shared" si="9"/>
        <v>5.1403077062016891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2.6904761904761907</v>
      </c>
      <c r="N41" s="14">
        <f>IF('Données projet'!$A$36&gt;35,N40+M41-V40,IF(A41&lt;'Données projet'!$A$36,$K$205^A41,IF(A41='Données projet'!$A$36,'Données projet'!$B$36,N40+M41-V40)))</f>
        <v>102.23809523809523</v>
      </c>
      <c r="O41" s="14">
        <f>N41*VLOOKUP('Données projet'!$B$9,Paramètres!$A$1:$I$89,3,0)*VLOOKUP('Données projet'!$B$9,Paramètres!$A$1:$I$89,5,0)</f>
        <v>92.505028571428554</v>
      </c>
      <c r="P41" s="14">
        <f t="shared" si="33"/>
        <v>25.168408876702141</v>
      </c>
      <c r="Q41" s="22">
        <f t="shared" si="53"/>
        <v>204.94790355549432</v>
      </c>
      <c r="R41" s="62">
        <f t="shared" si="0"/>
        <v>498.28123688882761</v>
      </c>
      <c r="S41" s="62">
        <f ca="1">AVERAGE(OFFSET($R$3,0,0,'Données projet'!$E$9+1,1))-AVERAGE(OFFSET($H$3,0,0,'Données projet'!$E$9+1,1))</f>
        <v>329.14247505779747</v>
      </c>
      <c r="T41" s="62">
        <f t="shared" si="34"/>
        <v>199.43308683696642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2.6904761904761907</v>
      </c>
      <c r="AI41" s="14">
        <f>IF('Données projet'!$A$62&gt;35,AI40+AH41-AQ40,IF(A41&lt;'Données projet'!$A$62,$AF$205^A41,IF(A41='Données projet'!$A$62,'Données projet'!$B$62,AI40+AH41-AQ40)))</f>
        <v>102.23809523809523</v>
      </c>
      <c r="AJ41" s="14">
        <f>AI41*VLOOKUP('Données projet'!$B$10,Paramètres!$A$1:$I$89,3,0)*VLOOKUP('Données projet'!$B$10,Paramètres!$A$1:$I$89,5,0)</f>
        <v>103.66942857142855</v>
      </c>
      <c r="AK41" s="14">
        <f t="shared" si="35"/>
        <v>27.834346386346731</v>
      </c>
      <c r="AL41" s="22">
        <f t="shared" si="4"/>
        <v>229.03574138479192</v>
      </c>
      <c r="AM41" s="62">
        <f t="shared" si="5"/>
        <v>522.36907471812526</v>
      </c>
      <c r="AN41" s="62">
        <f ca="1">AVERAGE(OFFSET($AM$3,0,0,'Données projet'!$E$10+1,1))-AVERAGE(OFFSET($H$3,0,0,'Données projet'!$E$10+1,1))</f>
        <v>363.99473967460347</v>
      </c>
      <c r="AO41" s="62">
        <f t="shared" si="36"/>
        <v>218.5520645293999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</v>
      </c>
      <c r="BD41" s="13">
        <f>IF('Données projet'!$A$88&gt;35,BD40+BC41-BL40,IF(A41&lt;'Données projet'!$A$88,$BA$205^A41,IF(A41='Données projet'!$A$88,'Données projet'!$B$88,BD40+BC41-BL40)))</f>
        <v>191.4</v>
      </c>
      <c r="BE41" s="14">
        <f>BD41*VLOOKUP('Données projet'!$B$11,Paramètres!$A$1:$I$89,3,0)*VLOOKUP('Données projet'!$B$11,Paramètres!$A$1:$I$89,5,0)</f>
        <v>167.20704000000003</v>
      </c>
      <c r="BF41" s="14">
        <f t="shared" si="37"/>
        <v>42.463891647822834</v>
      </c>
      <c r="BG41" s="22">
        <f t="shared" si="7"/>
        <v>365.17687261995815</v>
      </c>
      <c r="BH41" s="62">
        <f t="shared" si="8"/>
        <v>658.51020595329146</v>
      </c>
      <c r="BI41" s="62">
        <f ca="1">AVERAGE(OFFSET($BH$3,0,0,'Données projet'!$E$11+1,1))-AVERAGE(OFFSET($H$3,0,0,'Données projet'!$E$11+1,1))</f>
        <v>321.23599968992932</v>
      </c>
      <c r="BJ41" s="62">
        <f t="shared" si="38"/>
        <v>388.05195847800502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1.5594591814472341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2.5099864162965657</v>
      </c>
      <c r="BS41" s="24">
        <f t="shared" si="9"/>
        <v>4.0694455977437993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2.6904761904761907</v>
      </c>
      <c r="N42" s="14">
        <f>IF('Données projet'!$A$36&gt;35,N41+M42-V41,IF(A42&lt;'Données projet'!$A$36,$K$205^A42,IF(A42='Données projet'!$A$36,'Données projet'!$B$36,N41+M42-V41)))</f>
        <v>104.92857142857142</v>
      </c>
      <c r="O42" s="14">
        <f>N42*VLOOKUP('Données projet'!$B$9,Paramètres!$A$1:$I$89,3,0)*VLOOKUP('Données projet'!$B$9,Paramètres!$A$1:$I$89,5,0)</f>
        <v>94.939371428571405</v>
      </c>
      <c r="P42" s="14">
        <f t="shared" si="33"/>
        <v>25.752752944610702</v>
      </c>
      <c r="Q42" s="22">
        <f t="shared" si="53"/>
        <v>210.20544994995885</v>
      </c>
      <c r="R42" s="62">
        <f t="shared" si="0"/>
        <v>503.53878328329216</v>
      </c>
      <c r="S42" s="62">
        <f ca="1">AVERAGE(OFFSET($R$3,0,0,'Données projet'!$E$9+1,1))-AVERAGE(OFFSET($H$3,0,0,'Données projet'!$E$9+1,1))</f>
        <v>329.14247505779747</v>
      </c>
      <c r="T42" s="62">
        <f t="shared" si="34"/>
        <v>199.43308683696642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2.6904761904761907</v>
      </c>
      <c r="AI42" s="14">
        <f>IF('Données projet'!$A$62&gt;35,AI41+AH42-AQ41,IF(A42&lt;'Données projet'!$A$62,$AF$205^A42,IF(A42='Données projet'!$A$62,'Données projet'!$B$62,AI41+AH42-AQ41)))</f>
        <v>104.92857142857142</v>
      </c>
      <c r="AJ42" s="14">
        <f>AI42*VLOOKUP('Données projet'!$B$10,Paramètres!$A$1:$I$89,3,0)*VLOOKUP('Données projet'!$B$10,Paramètres!$A$1:$I$89,5,0)</f>
        <v>106.39757142857142</v>
      </c>
      <c r="AK42" s="14">
        <f t="shared" si="35"/>
        <v>28.480586491339245</v>
      </c>
      <c r="AL42" s="22">
        <f t="shared" si="4"/>
        <v>234.9127917105111</v>
      </c>
      <c r="AM42" s="62">
        <f t="shared" si="5"/>
        <v>528.24612504384436</v>
      </c>
      <c r="AN42" s="62">
        <f ca="1">AVERAGE(OFFSET($AM$3,0,0,'Données projet'!$E$10+1,1))-AVERAGE(OFFSET($H$3,0,0,'Données projet'!$E$10+1,1))</f>
        <v>363.99473967460347</v>
      </c>
      <c r="AO42" s="62">
        <f t="shared" si="36"/>
        <v>218.5520645293999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</v>
      </c>
      <c r="BD42" s="13">
        <f>IF('Données projet'!$A$88&gt;35,BD41+BC42-BL41,IF(A42&lt;'Données projet'!$A$88,$BA$205^A42,IF(A42='Données projet'!$A$88,'Données projet'!$B$88,BD41+BC42-BL41)))</f>
        <v>202.20000000000002</v>
      </c>
      <c r="BE42" s="14">
        <f>BD42*VLOOKUP('Données projet'!$B$11,Paramètres!$A$1:$I$89,3,0)*VLOOKUP('Données projet'!$B$11,Paramètres!$A$1:$I$89,5,0)</f>
        <v>176.64192000000003</v>
      </c>
      <c r="BF42" s="14">
        <f t="shared" si="37"/>
        <v>44.574258350008236</v>
      </c>
      <c r="BG42" s="22">
        <f t="shared" si="7"/>
        <v>385.28484395959771</v>
      </c>
      <c r="BH42" s="62">
        <f t="shared" si="8"/>
        <v>678.61817729293102</v>
      </c>
      <c r="BI42" s="62">
        <f ca="1">AVERAGE(OFFSET($BH$3,0,0,'Données projet'!$E$11+1,1))-AVERAGE(OFFSET($H$3,0,0,'Données projet'!$E$11+1,1))</f>
        <v>321.23599968992932</v>
      </c>
      <c r="BJ42" s="62">
        <f t="shared" si="38"/>
        <v>388.05195847800502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1.5288791380752336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1.7748284156494223</v>
      </c>
      <c r="BS42" s="24">
        <f t="shared" si="9"/>
        <v>3.3037075537246556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2.6904761904761907</v>
      </c>
      <c r="N43" s="14">
        <f>IF('Données projet'!$A$36&gt;35,N42+M43-V42,IF(A43&lt;'Données projet'!$A$36,$K$205^A43,IF(A43='Données projet'!$A$36,'Données projet'!$B$36,N42+M43-V42)))</f>
        <v>107.61904761904761</v>
      </c>
      <c r="O43" s="14">
        <f>N43*VLOOKUP('Données projet'!$B$9,Paramètres!$A$1:$I$89,3,0)*VLOOKUP('Données projet'!$B$9,Paramètres!$A$1:$I$89,5,0)</f>
        <v>97.373714285714271</v>
      </c>
      <c r="P43" s="14">
        <f t="shared" si="33"/>
        <v>26.335355368602432</v>
      </c>
      <c r="Q43" s="22">
        <f t="shared" si="53"/>
        <v>215.45996298126826</v>
      </c>
      <c r="R43" s="62">
        <f t="shared" si="0"/>
        <v>508.79329631460155</v>
      </c>
      <c r="S43" s="62">
        <f ca="1">AVERAGE(OFFSET($R$3,0,0,'Données projet'!$E$9+1,1))-AVERAGE(OFFSET($H$3,0,0,'Données projet'!$E$9+1,1))</f>
        <v>329.14247505779747</v>
      </c>
      <c r="T43" s="62">
        <f t="shared" si="34"/>
        <v>199.43308683696642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2.6904761904761907</v>
      </c>
      <c r="AI43" s="14">
        <f>IF('Données projet'!$A$62&gt;35,AI42+AH43-AQ42,IF(A43&lt;'Données projet'!$A$62,$AF$205^A43,IF(A43='Données projet'!$A$62,'Données projet'!$B$62,AI42+AH43-AQ42)))</f>
        <v>107.61904761904761</v>
      </c>
      <c r="AJ43" s="14">
        <f>AI43*VLOOKUP('Données projet'!$B$10,Paramètres!$A$1:$I$89,3,0)*VLOOKUP('Données projet'!$B$10,Paramètres!$A$1:$I$89,5,0)</f>
        <v>109.12571428571428</v>
      </c>
      <c r="AK43" s="14">
        <f t="shared" si="35"/>
        <v>29.124900470596057</v>
      </c>
      <c r="AL43" s="22">
        <f t="shared" si="4"/>
        <v>240.78648736724048</v>
      </c>
      <c r="AM43" s="62">
        <f t="shared" si="5"/>
        <v>534.11982070057377</v>
      </c>
      <c r="AN43" s="62">
        <f ca="1">AVERAGE(OFFSET($AM$3,0,0,'Données projet'!$E$10+1,1))-AVERAGE(OFFSET($H$3,0,0,'Données projet'!$E$10+1,1))</f>
        <v>363.99473967460347</v>
      </c>
      <c r="AO43" s="62">
        <f t="shared" si="36"/>
        <v>218.5520645293999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213</v>
      </c>
      <c r="BB43" s="13">
        <f>VLOOKUP(A43,'Données projet'!$A$87:$I$107,9,0)</f>
        <v>10.8</v>
      </c>
      <c r="BC43" s="13">
        <f t="array" ref="BC43">INDEX(BB:BB,MIN(IF(ISNUMBER(BB43:BB239),ROW(BB43:BB239),"")))</f>
        <v>10.8</v>
      </c>
      <c r="BD43" s="13">
        <f>IF('Données projet'!$A$88&gt;35,BD42+BC43-BL42,IF(A43&lt;'Données projet'!$A$88,$BA$205^A43,IF(A43='Données projet'!$A$88,'Données projet'!$B$88,BD42+BC43-BL42)))</f>
        <v>213.00000000000003</v>
      </c>
      <c r="BE43" s="14">
        <f>BD43*VLOOKUP('Données projet'!$B$11,Paramètres!$A$1:$I$89,3,0)*VLOOKUP('Données projet'!$B$11,Paramètres!$A$1:$I$89,5,0)</f>
        <v>186.07680000000005</v>
      </c>
      <c r="BF43" s="14">
        <f t="shared" si="37"/>
        <v>46.671538591528673</v>
      </c>
      <c r="BG43" s="22">
        <f t="shared" si="7"/>
        <v>405.37002304691242</v>
      </c>
      <c r="BH43" s="62">
        <f t="shared" si="8"/>
        <v>698.70335638024574</v>
      </c>
      <c r="BI43" s="62">
        <f ca="1">AVERAGE(OFFSET($BH$3,0,0,'Données projet'!$E$11+1,1))-AVERAGE(OFFSET($H$3,0,0,'Données projet'!$E$11+1,1))</f>
        <v>321.23599968992932</v>
      </c>
      <c r="BJ43" s="62">
        <f t="shared" si="38"/>
        <v>388.05195847800502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39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1.4988987507017733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1.2549932081482829</v>
      </c>
      <c r="BS43" s="24">
        <f t="shared" si="9"/>
        <v>2.7538919588500561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2.6904761904761907</v>
      </c>
      <c r="N44" s="14">
        <f>IF('Données projet'!$A$36&gt;35,N43+M44-V43,IF(A44&lt;'Données projet'!$A$36,$K$205^A44,IF(A44='Données projet'!$A$36,'Données projet'!$B$36,N43+M44-V43)))</f>
        <v>110.3095238095238</v>
      </c>
      <c r="O44" s="14">
        <f>N44*VLOOKUP('Données projet'!$B$9,Paramètres!$A$1:$I$89,3,0)*VLOOKUP('Données projet'!$B$9,Paramètres!$A$1:$I$89,5,0)</f>
        <v>99.808057142857123</v>
      </c>
      <c r="P44" s="14">
        <f t="shared" si="33"/>
        <v>26.916264697531815</v>
      </c>
      <c r="Q44" s="22">
        <f t="shared" si="53"/>
        <v>220.71152720534405</v>
      </c>
      <c r="R44" s="62">
        <f t="shared" si="0"/>
        <v>514.04486053867731</v>
      </c>
      <c r="S44" s="62">
        <f ca="1">AVERAGE(OFFSET($R$3,0,0,'Données projet'!$E$9+1,1))-AVERAGE(OFFSET($H$3,0,0,'Données projet'!$E$9+1,1))</f>
        <v>329.14247505779747</v>
      </c>
      <c r="T44" s="62">
        <f t="shared" si="34"/>
        <v>199.43308683696642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2.6904761904761907</v>
      </c>
      <c r="AI44" s="14">
        <f>IF('Données projet'!$A$62&gt;35,AI43+AH44-AQ43,IF(A44&lt;'Données projet'!$A$62,$AF$205^A44,IF(A44='Données projet'!$A$62,'Données projet'!$B$62,AI43+AH44-AQ43)))</f>
        <v>110.3095238095238</v>
      </c>
      <c r="AJ44" s="14">
        <f>AI44*VLOOKUP('Données projet'!$B$10,Paramètres!$A$1:$I$89,3,0)*VLOOKUP('Données projet'!$B$10,Paramètres!$A$1:$I$89,5,0)</f>
        <v>111.85385714285715</v>
      </c>
      <c r="AK44" s="14">
        <f t="shared" si="35"/>
        <v>29.767342015458599</v>
      </c>
      <c r="AL44" s="22">
        <f t="shared" si="4"/>
        <v>246.65692186739997</v>
      </c>
      <c r="AM44" s="62">
        <f t="shared" si="5"/>
        <v>539.99025520073326</v>
      </c>
      <c r="AN44" s="62">
        <f ca="1">AVERAGE(OFFSET($AM$3,0,0,'Données projet'!$E$10+1,1))-AVERAGE(OFFSET($H$3,0,0,'Données projet'!$E$10+1,1))</f>
        <v>363.99473967460347</v>
      </c>
      <c r="AO44" s="62">
        <f t="shared" si="36"/>
        <v>218.5520645293999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183.80000000000004</v>
      </c>
      <c r="BE44" s="14">
        <f>BD44*VLOOKUP('Données projet'!$B$11,Paramètres!$A$1:$I$89,3,0)*VLOOKUP('Données projet'!$B$11,Paramètres!$A$1:$I$89,5,0)</f>
        <v>160.56768000000005</v>
      </c>
      <c r="BF44" s="14">
        <f t="shared" si="37"/>
        <v>40.970530810309882</v>
      </c>
      <c r="BG44" s="22">
        <f t="shared" si="7"/>
        <v>351.0123838279564</v>
      </c>
      <c r="BH44" s="62">
        <f t="shared" si="8"/>
        <v>644.34571716128971</v>
      </c>
      <c r="BI44" s="62">
        <f ca="1">AVERAGE(OFFSET($BH$3,0,0,'Données projet'!$E$11+1,1))-AVERAGE(OFFSET($H$3,0,0,'Données projet'!$E$11+1,1))</f>
        <v>321.23599968992932</v>
      </c>
      <c r="BJ44" s="62">
        <f t="shared" si="38"/>
        <v>388.05195847800502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1.4695062604384759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0.88741420782471114</v>
      </c>
      <c r="BS44" s="24">
        <f t="shared" si="9"/>
        <v>2.356920468263187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113</v>
      </c>
      <c r="L45" s="13">
        <f>VLOOKUP(A45,'Données projet'!$A$35:$I$55,9,0)</f>
        <v>2.6904761904761907</v>
      </c>
      <c r="M45" s="13">
        <f t="array" ref="M45">INDEX(L:L,MIN(IF(ISNUMBER(L45:L241),ROW(L45:L241),"")))</f>
        <v>2.6904761904761907</v>
      </c>
      <c r="N45" s="14">
        <f>IF('Données projet'!$A$36&gt;35,N44+M45-V44,IF(A45&lt;'Données projet'!$A$36,$K$205^A45,IF(A45='Données projet'!$A$36,'Données projet'!$B$36,N44+M45-V44)))</f>
        <v>112.99999999999999</v>
      </c>
      <c r="O45" s="14">
        <f>N45*VLOOKUP('Données projet'!$B$9,Paramètres!$A$1:$I$89,3,0)*VLOOKUP('Données projet'!$B$9,Paramètres!$A$1:$I$89,5,0)</f>
        <v>102.24239999999999</v>
      </c>
      <c r="P45" s="14">
        <f t="shared" si="33"/>
        <v>27.495526976991481</v>
      </c>
      <c r="Q45" s="22">
        <f t="shared" si="53"/>
        <v>225.96022281826015</v>
      </c>
      <c r="R45" s="62">
        <f t="shared" si="0"/>
        <v>519.29355615159352</v>
      </c>
      <c r="S45" s="62">
        <f ca="1">AVERAGE(OFFSET($R$3,0,0,'Données projet'!$E$9+1,1))-AVERAGE(OFFSET($H$3,0,0,'Données projet'!$E$9+1,1))</f>
        <v>329.14247505779747</v>
      </c>
      <c r="T45" s="62">
        <f t="shared" si="34"/>
        <v>199.43308683696642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30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113</v>
      </c>
      <c r="AG45" s="13">
        <f>VLOOKUP(A45,'Données projet'!$A$61:$I$81,9,0)</f>
        <v>2.6904761904761907</v>
      </c>
      <c r="AH45" s="13">
        <f t="array" ref="AH45">INDEX(AG:AG,MIN(IF(ISNUMBER(AG45:AG241),ROW(AG45:AG241),"")))</f>
        <v>2.6904761904761907</v>
      </c>
      <c r="AI45" s="14">
        <f>IF('Données projet'!$A$62&gt;35,AI44+AH45-AQ44,IF(A45&lt;'Données projet'!$A$62,$AF$205^A45,IF(A45='Données projet'!$A$62,'Données projet'!$B$62,AI44+AH45-AQ44)))</f>
        <v>112.99999999999999</v>
      </c>
      <c r="AJ45" s="14">
        <f>AI45*VLOOKUP('Données projet'!$B$10,Paramètres!$A$1:$I$89,3,0)*VLOOKUP('Données projet'!$B$10,Paramètres!$A$1:$I$89,5,0)</f>
        <v>114.58199999999998</v>
      </c>
      <c r="AK45" s="14">
        <f t="shared" si="35"/>
        <v>30.407962048850919</v>
      </c>
      <c r="AL45" s="22">
        <f t="shared" si="4"/>
        <v>252.52418390174861</v>
      </c>
      <c r="AM45" s="62">
        <f t="shared" si="5"/>
        <v>545.8575172350819</v>
      </c>
      <c r="AN45" s="62">
        <f ca="1">AVERAGE(OFFSET($AM$3,0,0,'Données projet'!$E$10+1,1))-AVERAGE(OFFSET($H$3,0,0,'Données projet'!$E$10+1,1))</f>
        <v>363.99473967460347</v>
      </c>
      <c r="AO45" s="62">
        <f t="shared" si="36"/>
        <v>218.5520645293999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30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193.60000000000005</v>
      </c>
      <c r="BE45" s="14">
        <f>BD45*VLOOKUP('Données projet'!$B$11,Paramètres!$A$1:$I$89,3,0)*VLOOKUP('Données projet'!$B$11,Paramètres!$A$1:$I$89,5,0)</f>
        <v>169.12896000000006</v>
      </c>
      <c r="BF45" s="14">
        <f t="shared" si="37"/>
        <v>42.894881315146776</v>
      </c>
      <c r="BG45" s="22">
        <f t="shared" si="7"/>
        <v>369.27485695721407</v>
      </c>
      <c r="BH45" s="62">
        <f t="shared" si="8"/>
        <v>662.60819029054733</v>
      </c>
      <c r="BI45" s="62">
        <f ca="1">AVERAGE(OFFSET($BH$3,0,0,'Données projet'!$E$11+1,1))-AVERAGE(OFFSET($H$3,0,0,'Données projet'!$E$11+1,1))</f>
        <v>321.23599968992932</v>
      </c>
      <c r="BJ45" s="62">
        <f t="shared" si="38"/>
        <v>388.05195847800502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1.4406901389815929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0.62749660407414143</v>
      </c>
      <c r="BS45" s="24">
        <f t="shared" si="9"/>
        <v>2.0681867430557341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6.166666666666667</v>
      </c>
      <c r="N46" s="14">
        <f>IF('Données projet'!$A$36&gt;35,N45+M46-V45,IF(A46&lt;'Données projet'!$A$36,$K$205^A46,IF(A46='Données projet'!$A$36,'Données projet'!$B$36,N45+M46-V45)))</f>
        <v>89.166666666666657</v>
      </c>
      <c r="O46" s="14">
        <f>N46*VLOOKUP('Données projet'!$B$9,Paramètres!$A$1:$I$89,3,0)*VLOOKUP('Données projet'!$B$9,Paramètres!$A$1:$I$89,5,0)</f>
        <v>80.677999999999983</v>
      </c>
      <c r="P46" s="14">
        <f t="shared" si="33"/>
        <v>22.302877142655586</v>
      </c>
      <c r="Q46" s="22">
        <f t="shared" si="53"/>
        <v>179.35836102345846</v>
      </c>
      <c r="R46" s="62">
        <f t="shared" si="0"/>
        <v>472.6916943567918</v>
      </c>
      <c r="S46" s="62">
        <f ca="1">AVERAGE(OFFSET($R$3,0,0,'Données projet'!$E$9+1,1))-AVERAGE(OFFSET($H$3,0,0,'Données projet'!$E$9+1,1))</f>
        <v>329.14247505779747</v>
      </c>
      <c r="T46" s="62">
        <f t="shared" si="34"/>
        <v>199.43308683696642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6.166666666666667</v>
      </c>
      <c r="AI46" s="14">
        <f>IF('Données projet'!$A$62&gt;35,AI45+AH46-AQ45,IF(A46&lt;'Données projet'!$A$62,$AF$205^A46,IF(A46='Données projet'!$A$62,'Données projet'!$B$62,AI45+AH46-AQ45)))</f>
        <v>89.166666666666657</v>
      </c>
      <c r="AJ46" s="14">
        <f>AI46*VLOOKUP('Données projet'!$B$10,Paramètres!$A$1:$I$89,3,0)*VLOOKUP('Données projet'!$B$10,Paramètres!$A$1:$I$89,5,0)</f>
        <v>90.414999999999992</v>
      </c>
      <c r="AK46" s="14">
        <f t="shared" si="35"/>
        <v>24.665286186424698</v>
      </c>
      <c r="AL46" s="22">
        <f t="shared" si="4"/>
        <v>200.43149844135633</v>
      </c>
      <c r="AM46" s="62">
        <f t="shared" si="5"/>
        <v>493.76483177468964</v>
      </c>
      <c r="AN46" s="62">
        <f ca="1">AVERAGE(OFFSET($AM$3,0,0,'Données projet'!$E$10+1,1))-AVERAGE(OFFSET($H$3,0,0,'Données projet'!$E$10+1,1))</f>
        <v>363.99473967460347</v>
      </c>
      <c r="AO46" s="62">
        <f t="shared" si="36"/>
        <v>218.5520645293999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203.40000000000006</v>
      </c>
      <c r="BE46" s="14">
        <f>BD46*VLOOKUP('Données projet'!$B$11,Paramètres!$A$1:$I$89,3,0)*VLOOKUP('Données projet'!$B$11,Paramètres!$A$1:$I$89,5,0)</f>
        <v>177.69024000000007</v>
      </c>
      <c r="BF46" s="14">
        <f t="shared" si="37"/>
        <v>44.807921499827692</v>
      </c>
      <c r="BG46" s="22">
        <f t="shared" si="7"/>
        <v>387.5176312788667</v>
      </c>
      <c r="BH46" s="62">
        <f t="shared" si="8"/>
        <v>680.85096461219996</v>
      </c>
      <c r="BI46" s="62">
        <f ca="1">AVERAGE(OFFSET($BH$3,0,0,'Données projet'!$E$11+1,1))-AVERAGE(OFFSET($H$3,0,0,'Données projet'!$E$11+1,1))</f>
        <v>321.23599968992932</v>
      </c>
      <c r="BJ46" s="62">
        <f t="shared" si="38"/>
        <v>388.05195847800502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1.4124390840903809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0.44370710391235557</v>
      </c>
      <c r="BS46" s="24">
        <f t="shared" si="9"/>
        <v>1.8561461880027363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6.166666666666667</v>
      </c>
      <c r="N47" s="14">
        <f>IF('Données projet'!$A$36&gt;35,N46+M47-V46,IF(A47&lt;'Données projet'!$A$36,$K$205^A47,IF(A47='Données projet'!$A$36,'Données projet'!$B$36,N46+M47-V46)))</f>
        <v>95.333333333333329</v>
      </c>
      <c r="O47" s="14">
        <f>N47*VLOOKUP('Données projet'!$B$9,Paramètres!$A$1:$I$89,3,0)*VLOOKUP('Données projet'!$B$9,Paramètres!$A$1:$I$89,5,0)</f>
        <v>86.257599999999996</v>
      </c>
      <c r="P47" s="14">
        <f t="shared" si="33"/>
        <v>23.660429354093463</v>
      </c>
      <c r="Q47" s="22">
        <f t="shared" si="53"/>
        <v>191.44056779171277</v>
      </c>
      <c r="R47" s="62">
        <f t="shared" si="0"/>
        <v>484.77390112504611</v>
      </c>
      <c r="S47" s="62">
        <f ca="1">AVERAGE(OFFSET($R$3,0,0,'Données projet'!$E$9+1,1))-AVERAGE(OFFSET($H$3,0,0,'Données projet'!$E$9+1,1))</f>
        <v>329.14247505779747</v>
      </c>
      <c r="T47" s="62">
        <f t="shared" si="34"/>
        <v>199.43308683696642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6.166666666666667</v>
      </c>
      <c r="AI47" s="14">
        <f>IF('Données projet'!$A$62&gt;35,AI46+AH47-AQ46,IF(A47&lt;'Données projet'!$A$62,$AF$205^A47,IF(A47='Données projet'!$A$62,'Données projet'!$B$62,AI46+AH47-AQ46)))</f>
        <v>95.333333333333329</v>
      </c>
      <c r="AJ47" s="14">
        <f>AI47*VLOOKUP('Données projet'!$B$10,Paramètres!$A$1:$I$89,3,0)*VLOOKUP('Données projet'!$B$10,Paramètres!$A$1:$I$89,5,0)</f>
        <v>96.668000000000006</v>
      </c>
      <c r="AK47" s="14">
        <f t="shared" si="35"/>
        <v>26.166635702630764</v>
      </c>
      <c r="AL47" s="22">
        <f t="shared" si="4"/>
        <v>213.93699051541526</v>
      </c>
      <c r="AM47" s="62">
        <f t="shared" si="5"/>
        <v>507.2703238487486</v>
      </c>
      <c r="AN47" s="62">
        <f ca="1">AVERAGE(OFFSET($AM$3,0,0,'Données projet'!$E$10+1,1))-AVERAGE(OFFSET($H$3,0,0,'Données projet'!$E$10+1,1))</f>
        <v>363.99473967460347</v>
      </c>
      <c r="AO47" s="62">
        <f t="shared" si="36"/>
        <v>218.5520645293999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213.20000000000007</v>
      </c>
      <c r="BE47" s="14">
        <f>BD47*VLOOKUP('Données projet'!$B$11,Paramètres!$A$1:$I$89,3,0)*VLOOKUP('Données projet'!$B$11,Paramètres!$A$1:$I$89,5,0)</f>
        <v>186.25152000000008</v>
      </c>
      <c r="BF47" s="14">
        <f t="shared" si="37"/>
        <v>46.71025851515671</v>
      </c>
      <c r="BG47" s="22">
        <f t="shared" si="7"/>
        <v>405.7417642472314</v>
      </c>
      <c r="BH47" s="62">
        <f t="shared" si="8"/>
        <v>699.07509758056472</v>
      </c>
      <c r="BI47" s="62">
        <f ca="1">AVERAGE(OFFSET($BH$3,0,0,'Données projet'!$E$11+1,1))-AVERAGE(OFFSET($H$3,0,0,'Données projet'!$E$11+1,1))</f>
        <v>321.23599968992932</v>
      </c>
      <c r="BJ47" s="62">
        <f t="shared" si="38"/>
        <v>388.05195847800502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1.3847420151541434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0.31374830203707071</v>
      </c>
      <c r="BS47" s="24">
        <f t="shared" si="9"/>
        <v>1.6984903171912142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6.166666666666667</v>
      </c>
      <c r="N48" s="14">
        <f>IF('Données projet'!$A$36&gt;35,N47+M48-V47,IF(A48&lt;'Données projet'!$A$36,$K$205^A48,IF(A48='Données projet'!$A$36,'Données projet'!$B$36,N47+M48-V47)))</f>
        <v>101.5</v>
      </c>
      <c r="O48" s="14">
        <f>N48*VLOOKUP('Données projet'!$B$9,Paramètres!$A$1:$I$89,3,0)*VLOOKUP('Données projet'!$B$9,Paramètres!$A$1:$I$89,5,0)</f>
        <v>91.837199999999996</v>
      </c>
      <c r="P48" s="14">
        <f t="shared" si="33"/>
        <v>25.007790936639388</v>
      </c>
      <c r="Q48" s="22">
        <f t="shared" si="53"/>
        <v>203.5050258813136</v>
      </c>
      <c r="R48" s="62">
        <f t="shared" si="0"/>
        <v>496.83835921464691</v>
      </c>
      <c r="S48" s="62">
        <f ca="1">AVERAGE(OFFSET($R$3,0,0,'Données projet'!$E$9+1,1))-AVERAGE(OFFSET($H$3,0,0,'Données projet'!$E$9+1,1))</f>
        <v>329.14247505779747</v>
      </c>
      <c r="T48" s="62">
        <f t="shared" si="34"/>
        <v>199.43308683696642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6.166666666666667</v>
      </c>
      <c r="AI48" s="14">
        <f>IF('Données projet'!$A$62&gt;35,AI47+AH48-AQ47,IF(A48&lt;'Données projet'!$A$62,$AF$205^A48,IF(A48='Données projet'!$A$62,'Données projet'!$B$62,AI47+AH48-AQ47)))</f>
        <v>101.5</v>
      </c>
      <c r="AJ48" s="14">
        <f>AI48*VLOOKUP('Données projet'!$B$10,Paramètres!$A$1:$I$89,3,0)*VLOOKUP('Données projet'!$B$10,Paramètres!$A$1:$I$89,5,0)</f>
        <v>102.92100000000002</v>
      </c>
      <c r="AK48" s="14">
        <f t="shared" si="35"/>
        <v>27.656715158188064</v>
      </c>
      <c r="AL48" s="22">
        <f t="shared" si="4"/>
        <v>227.42285390051089</v>
      </c>
      <c r="AM48" s="62">
        <f t="shared" si="5"/>
        <v>520.75618723384423</v>
      </c>
      <c r="AN48" s="62">
        <f ca="1">AVERAGE(OFFSET($AM$3,0,0,'Données projet'!$E$10+1,1))-AVERAGE(OFFSET($H$3,0,0,'Données projet'!$E$10+1,1))</f>
        <v>363.99473967460347</v>
      </c>
      <c r="AO48" s="62">
        <f t="shared" si="36"/>
        <v>218.5520645293999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223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223.00000000000009</v>
      </c>
      <c r="BE48" s="14">
        <f>BD48*VLOOKUP('Données projet'!$B$11,Paramètres!$A$1:$I$89,3,0)*VLOOKUP('Données projet'!$B$11,Paramètres!$A$1:$I$89,5,0)</f>
        <v>194.81280000000012</v>
      </c>
      <c r="BF48" s="14">
        <f t="shared" si="37"/>
        <v>48.602440540253902</v>
      </c>
      <c r="BG48" s="22">
        <f t="shared" si="7"/>
        <v>423.9482106076091</v>
      </c>
      <c r="BH48" s="62">
        <f t="shared" si="8"/>
        <v>717.28154394094236</v>
      </c>
      <c r="BI48" s="62">
        <f ca="1">AVERAGE(OFFSET($BH$3,0,0,'Données projet'!$E$11+1,1))-AVERAGE(OFFSET($H$3,0,0,'Données projet'!$E$11+1,1))</f>
        <v>321.23599968992932</v>
      </c>
      <c r="BJ48" s="62">
        <f t="shared" si="38"/>
        <v>388.05195847800502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1.3575880688462016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0.22185355195617779</v>
      </c>
      <c r="BS48" s="24">
        <f t="shared" si="9"/>
        <v>1.5794416208023794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6.166666666666667</v>
      </c>
      <c r="N49" s="14">
        <f>IF('Données projet'!$A$36&gt;35,N48+M49-V48,IF(A49&lt;'Données projet'!$A$36,$K$205^A49,IF(A49='Données projet'!$A$36,'Données projet'!$B$36,N48+M49-V48)))</f>
        <v>107.66666666666667</v>
      </c>
      <c r="O49" s="14">
        <f>N49*VLOOKUP('Données projet'!$B$9,Paramètres!$A$1:$I$89,3,0)*VLOOKUP('Données projet'!$B$9,Paramètres!$A$1:$I$89,5,0)</f>
        <v>97.416799999999995</v>
      </c>
      <c r="P49" s="14">
        <f t="shared" si="33"/>
        <v>26.345651528270771</v>
      </c>
      <c r="Q49" s="22">
        <f t="shared" si="53"/>
        <v>215.55293641173822</v>
      </c>
      <c r="R49" s="62">
        <f t="shared" si="0"/>
        <v>508.88626974507156</v>
      </c>
      <c r="S49" s="62">
        <f ca="1">AVERAGE(OFFSET($R$3,0,0,'Données projet'!$E$9+1,1))-AVERAGE(OFFSET($H$3,0,0,'Données projet'!$E$9+1,1))</f>
        <v>329.14247505779747</v>
      </c>
      <c r="T49" s="62">
        <f t="shared" si="34"/>
        <v>199.43308683696642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6.166666666666667</v>
      </c>
      <c r="AI49" s="14">
        <f>IF('Données projet'!$A$62&gt;35,AI48+AH49-AQ48,IF(A49&lt;'Données projet'!$A$62,$AF$205^A49,IF(A49='Données projet'!$A$62,'Données projet'!$B$62,AI48+AH49-AQ48)))</f>
        <v>107.66666666666667</v>
      </c>
      <c r="AJ49" s="14">
        <f>AI49*VLOOKUP('Données projet'!$B$10,Paramètres!$A$1:$I$89,3,0)*VLOOKUP('Données projet'!$B$10,Paramètres!$A$1:$I$89,5,0)</f>
        <v>109.17400000000001</v>
      </c>
      <c r="AK49" s="14">
        <f t="shared" si="35"/>
        <v>29.136287240258813</v>
      </c>
      <c r="AL49" s="22">
        <f t="shared" si="4"/>
        <v>240.89041694345076</v>
      </c>
      <c r="AM49" s="62">
        <f t="shared" si="5"/>
        <v>534.22375027678413</v>
      </c>
      <c r="AN49" s="62">
        <f ca="1">AVERAGE(OFFSET($AM$3,0,0,'Données projet'!$E$10+1,1))-AVERAGE(OFFSET($H$3,0,0,'Données projet'!$E$10+1,1))</f>
        <v>363.99473967460347</v>
      </c>
      <c r="AO49" s="62">
        <f t="shared" si="36"/>
        <v>218.5520645293999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8.8000000000000007</v>
      </c>
      <c r="BD49" s="13">
        <f>IF('Données projet'!$A$88&gt;35,BD48+BC49-BL48,IF(A49&lt;'Données projet'!$A$88,$BA$205^A49,IF(A49='Données projet'!$A$88,'Données projet'!$B$88,BD48+BC49-BL48)))</f>
        <v>195.8000000000001</v>
      </c>
      <c r="BE49" s="14">
        <f>BD49*VLOOKUP('Données projet'!$B$11,Paramètres!$A$1:$I$89,3,0)*VLOOKUP('Données projet'!$B$11,Paramètres!$A$1:$I$89,5,0)</f>
        <v>171.05088000000012</v>
      </c>
      <c r="BF49" s="14">
        <f t="shared" si="37"/>
        <v>43.325301264581704</v>
      </c>
      <c r="BG49" s="22">
        <f t="shared" si="7"/>
        <v>373.37184903581334</v>
      </c>
      <c r="BH49" s="62">
        <f t="shared" si="8"/>
        <v>666.70518236914666</v>
      </c>
      <c r="BI49" s="62">
        <f ca="1">AVERAGE(OFFSET($BH$3,0,0,'Données projet'!$E$11+1,1))-AVERAGE(OFFSET($H$3,0,0,'Données projet'!$E$11+1,1))</f>
        <v>321.23599968992932</v>
      </c>
      <c r="BJ49" s="62">
        <f t="shared" si="38"/>
        <v>388.05195847800502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1.3309665948630869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0.15687415101853536</v>
      </c>
      <c r="BS49" s="24">
        <f t="shared" si="9"/>
        <v>1.4878407458816223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6.166666666666667</v>
      </c>
      <c r="N50" s="14">
        <f>IF('Données projet'!$A$36&gt;35,N49+M50-V49,IF(A50&lt;'Données projet'!$A$36,$K$205^A50,IF(A50='Données projet'!$A$36,'Données projet'!$B$36,N49+M50-V49)))</f>
        <v>113.83333333333334</v>
      </c>
      <c r="O50" s="14">
        <f>N50*VLOOKUP('Données projet'!$B$9,Paramètres!$A$1:$I$89,3,0)*VLOOKUP('Données projet'!$B$9,Paramètres!$A$1:$I$89,5,0)</f>
        <v>102.99640000000001</v>
      </c>
      <c r="P50" s="14">
        <f t="shared" si="33"/>
        <v>27.674617306062274</v>
      </c>
      <c r="Q50" s="22">
        <f t="shared" si="53"/>
        <v>227.5853551413918</v>
      </c>
      <c r="R50" s="62">
        <f t="shared" si="0"/>
        <v>520.91868847472506</v>
      </c>
      <c r="S50" s="62">
        <f ca="1">AVERAGE(OFFSET($R$3,0,0,'Données projet'!$E$9+1,1))-AVERAGE(OFFSET($H$3,0,0,'Données projet'!$E$9+1,1))</f>
        <v>329.14247505779747</v>
      </c>
      <c r="T50" s="62">
        <f t="shared" si="34"/>
        <v>199.43308683696642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6.166666666666667</v>
      </c>
      <c r="AI50" s="14">
        <f>IF('Données projet'!$A$62&gt;35,AI49+AH50-AQ49,IF(A50&lt;'Données projet'!$A$62,$AF$205^A50,IF(A50='Données projet'!$A$62,'Données projet'!$B$62,AI49+AH50-AQ49)))</f>
        <v>113.83333333333334</v>
      </c>
      <c r="AJ50" s="14">
        <f>AI50*VLOOKUP('Données projet'!$B$10,Paramètres!$A$1:$I$89,3,0)*VLOOKUP('Données projet'!$B$10,Paramètres!$A$1:$I$89,5,0)</f>
        <v>115.42700000000002</v>
      </c>
      <c r="AK50" s="14">
        <f t="shared" si="35"/>
        <v>30.606022334593323</v>
      </c>
      <c r="AL50" s="22">
        <f t="shared" si="4"/>
        <v>254.34084723275001</v>
      </c>
      <c r="AM50" s="62">
        <f t="shared" si="5"/>
        <v>547.67418056608335</v>
      </c>
      <c r="AN50" s="62">
        <f ca="1">AVERAGE(OFFSET($AM$3,0,0,'Données projet'!$E$10+1,1))-AVERAGE(OFFSET($H$3,0,0,'Données projet'!$E$10+1,1))</f>
        <v>363.99473967460347</v>
      </c>
      <c r="AO50" s="62">
        <f t="shared" si="36"/>
        <v>218.5520645293999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8.8000000000000007</v>
      </c>
      <c r="BD50" s="13">
        <f>IF('Données projet'!$A$88&gt;35,BD49+BC50-BL49,IF(A50&lt;'Données projet'!$A$88,$BA$205^A50,IF(A50='Données projet'!$A$88,'Données projet'!$B$88,BD49+BC50-BL49)))</f>
        <v>204.60000000000011</v>
      </c>
      <c r="BE50" s="14">
        <f>BD50*VLOOKUP('Données projet'!$B$11,Paramètres!$A$1:$I$89,3,0)*VLOOKUP('Données projet'!$B$11,Paramètres!$A$1:$I$89,5,0)</f>
        <v>178.73856000000012</v>
      </c>
      <c r="BF50" s="14">
        <f t="shared" si="37"/>
        <v>45.041424241265368</v>
      </c>
      <c r="BG50" s="22">
        <f t="shared" si="7"/>
        <v>389.75013922020406</v>
      </c>
      <c r="BH50" s="62">
        <f t="shared" si="8"/>
        <v>683.08347255353738</v>
      </c>
      <c r="BI50" s="62">
        <f ca="1">AVERAGE(OFFSET($BH$3,0,0,'Données projet'!$E$11+1,1))-AVERAGE(OFFSET($H$3,0,0,'Données projet'!$E$11+1,1))</f>
        <v>321.23599968992932</v>
      </c>
      <c r="BJ50" s="62">
        <f t="shared" si="38"/>
        <v>388.05195847800502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1.3048671517472852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0.11092677597808889</v>
      </c>
      <c r="BS50" s="24">
        <f t="shared" si="9"/>
        <v>1.4157939277253742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120</v>
      </c>
      <c r="L51" s="13">
        <f>VLOOKUP(A51,'Données projet'!$A$35:$I$55,9,0)</f>
        <v>6.166666666666667</v>
      </c>
      <c r="M51" s="13">
        <f t="array" ref="M51">INDEX(L:L,MIN(IF(ISNUMBER(L51:L247),ROW(L51:L247),"")))</f>
        <v>6.166666666666667</v>
      </c>
      <c r="N51" s="14">
        <f>IF('Données projet'!$A$36&gt;35,N50+M51-V50,IF(A51&lt;'Données projet'!$A$36,$K$205^A51,IF(A51='Données projet'!$A$36,'Données projet'!$B$36,N50+M51-V50)))</f>
        <v>120.00000000000001</v>
      </c>
      <c r="O51" s="14">
        <f>N51*VLOOKUP('Données projet'!$B$9,Paramètres!$A$1:$I$89,3,0)*VLOOKUP('Données projet'!$B$9,Paramètres!$A$1:$I$89,5,0)</f>
        <v>108.57600000000002</v>
      </c>
      <c r="P51" s="14">
        <f t="shared" si="33"/>
        <v>28.995225061228027</v>
      </c>
      <c r="Q51" s="22">
        <f t="shared" si="53"/>
        <v>239.60321698163887</v>
      </c>
      <c r="R51" s="62">
        <f t="shared" si="0"/>
        <v>532.93655031497224</v>
      </c>
      <c r="S51" s="62">
        <f ca="1">AVERAGE(OFFSET($R$3,0,0,'Données projet'!$E$9+1,1))-AVERAGE(OFFSET($H$3,0,0,'Données projet'!$E$9+1,1))</f>
        <v>329.14247505779747</v>
      </c>
      <c r="T51" s="62">
        <f t="shared" si="34"/>
        <v>199.43308683696642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28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120</v>
      </c>
      <c r="AG51" s="13">
        <f>VLOOKUP(A51,'Données projet'!$A$61:$I$81,9,0)</f>
        <v>6.166666666666667</v>
      </c>
      <c r="AH51" s="13">
        <f t="array" ref="AH51">INDEX(AG:AG,MIN(IF(ISNUMBER(AG51:AG247),ROW(AG51:AG247),"")))</f>
        <v>6.166666666666667</v>
      </c>
      <c r="AI51" s="14">
        <f>IF('Données projet'!$A$62&gt;35,AI50+AH51-AQ50,IF(A51&lt;'Données projet'!$A$62,$AF$205^A51,IF(A51='Données projet'!$A$62,'Données projet'!$B$62,AI50+AH51-AQ50)))</f>
        <v>120.00000000000001</v>
      </c>
      <c r="AJ51" s="14">
        <f>AI51*VLOOKUP('Données projet'!$B$10,Paramètres!$A$1:$I$89,3,0)*VLOOKUP('Données projet'!$B$10,Paramètres!$A$1:$I$89,5,0)</f>
        <v>121.68000000000002</v>
      </c>
      <c r="AK51" s="14">
        <f t="shared" si="35"/>
        <v>32.066514091456284</v>
      </c>
      <c r="AL51" s="22">
        <f t="shared" si="4"/>
        <v>267.77517870928637</v>
      </c>
      <c r="AM51" s="62">
        <f t="shared" si="5"/>
        <v>561.10851204261962</v>
      </c>
      <c r="AN51" s="62">
        <f ca="1">AVERAGE(OFFSET($AM$3,0,0,'Données projet'!$E$10+1,1))-AVERAGE(OFFSET($H$3,0,0,'Données projet'!$E$10+1,1))</f>
        <v>363.99473967460347</v>
      </c>
      <c r="AO51" s="62">
        <f t="shared" si="36"/>
        <v>218.5520645293999</v>
      </c>
      <c r="AP51" s="16">
        <f>IF(ISNA(VLOOKUP(A51,'Données projet'!$A$61:$I$81,3,0)),0,VLOOKUP(A51,'Données projet'!$A$61:$I$81,3,0))</f>
        <v>2</v>
      </c>
      <c r="AQ51" s="16">
        <f>IF(ISNA(VLOOKUP(A51,'Données projet'!$A$61:$I$81,4,0)),0,VLOOKUP(A51,'Données projet'!$A$61:$I$81,4,0))</f>
        <v>28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8.8000000000000007</v>
      </c>
      <c r="BD51" s="13">
        <f>IF('Données projet'!$A$88&gt;35,BD50+BC51-BL50,IF(A51&lt;'Données projet'!$A$88,$BA$205^A51,IF(A51='Données projet'!$A$88,'Données projet'!$B$88,BD50+BC51-BL50)))</f>
        <v>213.40000000000012</v>
      </c>
      <c r="BE51" s="14">
        <f>BD51*VLOOKUP('Données projet'!$B$11,Paramètres!$A$1:$I$89,3,0)*VLOOKUP('Données projet'!$B$11,Paramètres!$A$1:$I$89,5,0)</f>
        <v>186.42624000000012</v>
      </c>
      <c r="BF51" s="14">
        <f t="shared" si="37"/>
        <v>46.748974211060826</v>
      </c>
      <c r="BG51" s="22">
        <f t="shared" si="7"/>
        <v>406.11349808426445</v>
      </c>
      <c r="BH51" s="62">
        <f t="shared" si="8"/>
        <v>699.44683141759776</v>
      </c>
      <c r="BI51" s="62">
        <f ca="1">AVERAGE(OFFSET($BH$3,0,0,'Données projet'!$E$11+1,1))-AVERAGE(OFFSET($H$3,0,0,'Données projet'!$E$11+1,1))</f>
        <v>321.23599968992932</v>
      </c>
      <c r="BJ51" s="62">
        <f t="shared" si="38"/>
        <v>388.05195847800502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1.2792795027918957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7.8437075509267679E-2</v>
      </c>
      <c r="BS51" s="24">
        <f t="shared" si="9"/>
        <v>1.3577165783011633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5.75</v>
      </c>
      <c r="N52" s="14">
        <f>IF('Données projet'!$A$36&gt;35,N51+M52-V51,IF(A52&lt;'Données projet'!$A$36,$K$205^A52,IF(A52='Données projet'!$A$36,'Données projet'!$B$36,N51+M52-V51)))</f>
        <v>97.750000000000014</v>
      </c>
      <c r="O52" s="14">
        <f>N52*VLOOKUP('Données projet'!$B$9,Paramètres!$A$1:$I$89,3,0)*VLOOKUP('Données projet'!$B$9,Paramètres!$A$1:$I$89,5,0)</f>
        <v>88.444200000000009</v>
      </c>
      <c r="P52" s="14">
        <f t="shared" si="33"/>
        <v>24.189623542231114</v>
      </c>
      <c r="Q52" s="22">
        <f t="shared" si="53"/>
        <v>196.17057600271923</v>
      </c>
      <c r="R52" s="62">
        <f t="shared" si="0"/>
        <v>489.50390933605252</v>
      </c>
      <c r="S52" s="62">
        <f ca="1">AVERAGE(OFFSET($R$3,0,0,'Données projet'!$E$9+1,1))-AVERAGE(OFFSET($H$3,0,0,'Données projet'!$E$9+1,1))</f>
        <v>329.14247505779747</v>
      </c>
      <c r="T52" s="62">
        <f t="shared" si="34"/>
        <v>199.43308683696642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5.75</v>
      </c>
      <c r="AI52" s="14">
        <f>IF('Données projet'!$A$62&gt;35,AI51+AH52-AQ51,IF(A52&lt;'Données projet'!$A$62,$AF$205^A52,IF(A52='Données projet'!$A$62,'Données projet'!$B$62,AI51+AH52-AQ51)))</f>
        <v>97.750000000000014</v>
      </c>
      <c r="AJ52" s="14">
        <f>AI52*VLOOKUP('Données projet'!$B$10,Paramètres!$A$1:$I$89,3,0)*VLOOKUP('Données projet'!$B$10,Paramètres!$A$1:$I$89,5,0)</f>
        <v>99.118500000000012</v>
      </c>
      <c r="AK52" s="14">
        <f t="shared" si="35"/>
        <v>26.751884234249314</v>
      </c>
      <c r="AL52" s="22">
        <f t="shared" si="4"/>
        <v>219.22425254131755</v>
      </c>
      <c r="AM52" s="62">
        <f t="shared" si="5"/>
        <v>512.55758587465084</v>
      </c>
      <c r="AN52" s="62">
        <f ca="1">AVERAGE(OFFSET($AM$3,0,0,'Données projet'!$E$10+1,1))-AVERAGE(OFFSET($H$3,0,0,'Données projet'!$E$10+1,1))</f>
        <v>363.99473967460347</v>
      </c>
      <c r="AO52" s="62">
        <f t="shared" si="36"/>
        <v>218.5520645293999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8.8000000000000007</v>
      </c>
      <c r="BD52" s="13">
        <f>IF('Données projet'!$A$88&gt;35,BD51+BC52-BL51,IF(A52&lt;'Données projet'!$A$88,$BA$205^A52,IF(A52='Données projet'!$A$88,'Données projet'!$B$88,BD51+BC52-BL51)))</f>
        <v>222.20000000000013</v>
      </c>
      <c r="BE52" s="14">
        <f>BD52*VLOOKUP('Données projet'!$B$11,Paramètres!$A$1:$I$89,3,0)*VLOOKUP('Données projet'!$B$11,Paramètres!$A$1:$I$89,5,0)</f>
        <v>194.11392000000015</v>
      </c>
      <c r="BF52" s="14">
        <f t="shared" si="37"/>
        <v>48.448345132424009</v>
      </c>
      <c r="BG52" s="22">
        <f t="shared" si="7"/>
        <v>422.46261177230537</v>
      </c>
      <c r="BH52" s="62">
        <f t="shared" si="8"/>
        <v>715.79594510563868</v>
      </c>
      <c r="BI52" s="62">
        <f ca="1">AVERAGE(OFFSET($BH$3,0,0,'Données projet'!$E$11+1,1))-AVERAGE(OFFSET($H$3,0,0,'Données projet'!$E$11+1,1))</f>
        <v>321.23599968992932</v>
      </c>
      <c r="BJ52" s="62">
        <f t="shared" si="38"/>
        <v>388.05195847800502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1.2541936120255968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5.5463387989044446E-2</v>
      </c>
      <c r="BS52" s="24">
        <f t="shared" si="9"/>
        <v>1.3096570000146412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5.75</v>
      </c>
      <c r="N53" s="14">
        <f>IF('Données projet'!$A$36&gt;35,N52+M53-V52,IF(A53&lt;'Données projet'!$A$36,$K$205^A53,IF(A53='Données projet'!$A$36,'Données projet'!$B$36,N52+M53-V52)))</f>
        <v>103.50000000000001</v>
      </c>
      <c r="O53" s="14">
        <f>N53*VLOOKUP('Données projet'!$B$9,Paramètres!$A$1:$I$89,3,0)*VLOOKUP('Données projet'!$B$9,Paramètres!$A$1:$I$89,5,0)</f>
        <v>93.646799999999999</v>
      </c>
      <c r="P53" s="14">
        <f t="shared" si="33"/>
        <v>25.442701819587722</v>
      </c>
      <c r="Q53" s="22">
        <f t="shared" si="53"/>
        <v>207.41421566911529</v>
      </c>
      <c r="R53" s="62">
        <f t="shared" si="0"/>
        <v>500.74754900244864</v>
      </c>
      <c r="S53" s="62">
        <f ca="1">AVERAGE(OFFSET($R$3,0,0,'Données projet'!$E$9+1,1))-AVERAGE(OFFSET($H$3,0,0,'Données projet'!$E$9+1,1))</f>
        <v>329.14247505779747</v>
      </c>
      <c r="T53" s="62">
        <f t="shared" si="34"/>
        <v>199.43308683696642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5.75</v>
      </c>
      <c r="AI53" s="14">
        <f>IF('Données projet'!$A$62&gt;35,AI52+AH53-AQ52,IF(A53&lt;'Données projet'!$A$62,$AF$205^A53,IF(A53='Données projet'!$A$62,'Données projet'!$B$62,AI52+AH53-AQ52)))</f>
        <v>103.50000000000001</v>
      </c>
      <c r="AJ53" s="14">
        <f>AI53*VLOOKUP('Données projet'!$B$10,Paramètres!$A$1:$I$89,3,0)*VLOOKUP('Données projet'!$B$10,Paramètres!$A$1:$I$89,5,0)</f>
        <v>104.94900000000001</v>
      </c>
      <c r="AK53" s="14">
        <f t="shared" si="35"/>
        <v>28.137693523665153</v>
      </c>
      <c r="AL53" s="22">
        <f t="shared" si="4"/>
        <v>231.79265788705015</v>
      </c>
      <c r="AM53" s="62">
        <f t="shared" si="5"/>
        <v>525.12599122038341</v>
      </c>
      <c r="AN53" s="62">
        <f ca="1">AVERAGE(OFFSET($AM$3,0,0,'Données projet'!$E$10+1,1))-AVERAGE(OFFSET($H$3,0,0,'Données projet'!$E$10+1,1))</f>
        <v>363.99473967460347</v>
      </c>
      <c r="AO53" s="62">
        <f t="shared" si="36"/>
        <v>218.5520645293999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8.8000000000000007</v>
      </c>
      <c r="BC53" s="13">
        <f t="array" ref="BC53">INDEX(BB:BB,MIN(IF(ISNUMBER(BB53:BB249),ROW(BB53:BB249),"")))</f>
        <v>8.8000000000000007</v>
      </c>
      <c r="BD53" s="13">
        <f>IF('Données projet'!$A$88&gt;35,BD52+BC53-BL52,IF(A53&lt;'Données projet'!$A$88,$BA$205^A53,IF(A53='Données projet'!$A$88,'Données projet'!$B$88,BD52+BC53-BL52)))</f>
        <v>231.00000000000014</v>
      </c>
      <c r="BE53" s="14">
        <f>BD53*VLOOKUP('Données projet'!$B$11,Paramètres!$A$1:$I$89,3,0)*VLOOKUP('Données projet'!$B$11,Paramètres!$A$1:$I$89,5,0)</f>
        <v>201.80160000000015</v>
      </c>
      <c r="BF53" s="14">
        <f t="shared" si="37"/>
        <v>50.139897992681711</v>
      </c>
      <c r="BG53" s="22">
        <f t="shared" si="7"/>
        <v>438.7981090039209</v>
      </c>
      <c r="BH53" s="62">
        <f t="shared" si="8"/>
        <v>732.13144233725416</v>
      </c>
      <c r="BI53" s="62">
        <f ca="1">AVERAGE(OFFSET($BH$3,0,0,'Données projet'!$E$11+1,1))-AVERAGE(OFFSET($H$3,0,0,'Données projet'!$E$11+1,1))</f>
        <v>321.23599968992932</v>
      </c>
      <c r="BJ53" s="62">
        <f t="shared" si="38"/>
        <v>388.05195847800502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1.2295996402763425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3.9218537754633839E-2</v>
      </c>
      <c r="BS53" s="24">
        <f t="shared" si="9"/>
        <v>1.2688181780309764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5.75</v>
      </c>
      <c r="N54" s="14">
        <f>IF('Données projet'!$A$36&gt;35,N53+M54-V53,IF(A54&lt;'Données projet'!$A$36,$K$205^A54,IF(A54='Données projet'!$A$36,'Données projet'!$B$36,N53+M54-V53)))</f>
        <v>109.25000000000001</v>
      </c>
      <c r="O54" s="14">
        <f>N54*VLOOKUP('Données projet'!$B$9,Paramètres!$A$1:$I$89,3,0)*VLOOKUP('Données projet'!$B$9,Paramètres!$A$1:$I$89,5,0)</f>
        <v>98.849400000000003</v>
      </c>
      <c r="P54" s="14">
        <f t="shared" si="33"/>
        <v>26.687698613342342</v>
      </c>
      <c r="Q54" s="22">
        <f t="shared" si="53"/>
        <v>218.64378008490459</v>
      </c>
      <c r="R54" s="62">
        <f t="shared" si="0"/>
        <v>511.97711341823788</v>
      </c>
      <c r="S54" s="62">
        <f ca="1">AVERAGE(OFFSET($R$3,0,0,'Données projet'!$E$9+1,1))-AVERAGE(OFFSET($H$3,0,0,'Données projet'!$E$9+1,1))</f>
        <v>329.14247505779747</v>
      </c>
      <c r="T54" s="62">
        <f t="shared" si="34"/>
        <v>199.43308683696642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5.75</v>
      </c>
      <c r="AI54" s="14">
        <f>IF('Données projet'!$A$62&gt;35,AI53+AH54-AQ53,IF(A54&lt;'Données projet'!$A$62,$AF$205^A54,IF(A54='Données projet'!$A$62,'Données projet'!$B$62,AI53+AH54-AQ53)))</f>
        <v>109.25000000000001</v>
      </c>
      <c r="AJ54" s="14">
        <f>AI54*VLOOKUP('Données projet'!$B$10,Paramètres!$A$1:$I$89,3,0)*VLOOKUP('Données projet'!$B$10,Paramètres!$A$1:$I$89,5,0)</f>
        <v>110.77950000000003</v>
      </c>
      <c r="AK54" s="14">
        <f t="shared" si="35"/>
        <v>29.514565306741407</v>
      </c>
      <c r="AL54" s="22">
        <f t="shared" si="4"/>
        <v>244.34549707590796</v>
      </c>
      <c r="AM54" s="62">
        <f t="shared" si="5"/>
        <v>537.6788304092413</v>
      </c>
      <c r="AN54" s="62">
        <f ca="1">AVERAGE(OFFSET($AM$3,0,0,'Données projet'!$E$10+1,1))-AVERAGE(OFFSET($H$3,0,0,'Données projet'!$E$10+1,1))</f>
        <v>363.99473967460347</v>
      </c>
      <c r="AO54" s="62">
        <f t="shared" si="36"/>
        <v>218.5520645293999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205.80000000000015</v>
      </c>
      <c r="BE54" s="14">
        <f>BD54*VLOOKUP('Données projet'!$B$11,Paramètres!$A$1:$I$89,3,0)*VLOOKUP('Données projet'!$B$11,Paramètres!$A$1:$I$89,5,0)</f>
        <v>179.78688000000014</v>
      </c>
      <c r="BF54" s="14">
        <f t="shared" si="37"/>
        <v>45.274767624296977</v>
      </c>
      <c r="BG54" s="22">
        <f t="shared" si="7"/>
        <v>391.98236961231743</v>
      </c>
      <c r="BH54" s="62">
        <f t="shared" si="8"/>
        <v>685.31570294565074</v>
      </c>
      <c r="BI54" s="62">
        <f ca="1">AVERAGE(OFFSET($BH$3,0,0,'Données projet'!$E$11+1,1))-AVERAGE(OFFSET($H$3,0,0,'Données projet'!$E$11+1,1))</f>
        <v>321.23599968992932</v>
      </c>
      <c r="BJ54" s="62">
        <f t="shared" si="38"/>
        <v>388.05195847800502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1.2054879413122495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2.7731693994522223E-2</v>
      </c>
      <c r="BS54" s="24">
        <f t="shared" si="9"/>
        <v>1.2332196353067717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5.75</v>
      </c>
      <c r="N55" s="14">
        <f>IF('Données projet'!$A$36&gt;35,N54+M55-V54,IF(A55&lt;'Données projet'!$A$36,$K$205^A55,IF(A55='Données projet'!$A$36,'Données projet'!$B$36,N54+M55-V54)))</f>
        <v>115.00000000000001</v>
      </c>
      <c r="O55" s="14">
        <f>N55*VLOOKUP('Données projet'!$B$9,Paramètres!$A$1:$I$89,3,0)*VLOOKUP('Données projet'!$B$9,Paramètres!$A$1:$I$89,5,0)</f>
        <v>104.05200000000001</v>
      </c>
      <c r="P55" s="14">
        <f t="shared" si="33"/>
        <v>27.925087771564417</v>
      </c>
      <c r="Q55" s="22">
        <f t="shared" si="53"/>
        <v>229.86009453547467</v>
      </c>
      <c r="R55" s="62">
        <f t="shared" si="0"/>
        <v>523.19342786880793</v>
      </c>
      <c r="S55" s="62">
        <f ca="1">AVERAGE(OFFSET($R$3,0,0,'Données projet'!$E$9+1,1))-AVERAGE(OFFSET($H$3,0,0,'Données projet'!$E$9+1,1))</f>
        <v>329.14247505779747</v>
      </c>
      <c r="T55" s="62">
        <f t="shared" si="34"/>
        <v>199.43308683696642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5.75</v>
      </c>
      <c r="AI55" s="14">
        <f>IF('Données projet'!$A$62&gt;35,AI54+AH55-AQ54,IF(A55&lt;'Données projet'!$A$62,$AF$205^A55,IF(A55='Données projet'!$A$62,'Données projet'!$B$62,AI54+AH55-AQ54)))</f>
        <v>115.00000000000001</v>
      </c>
      <c r="AJ55" s="14">
        <f>AI55*VLOOKUP('Données projet'!$B$10,Paramètres!$A$1:$I$89,3,0)*VLOOKUP('Données projet'!$B$10,Paramètres!$A$1:$I$89,5,0)</f>
        <v>116.61000000000003</v>
      </c>
      <c r="AK55" s="14">
        <f t="shared" si="35"/>
        <v>30.883023623410974</v>
      </c>
      <c r="AL55" s="22">
        <f t="shared" si="4"/>
        <v>256.88368281077419</v>
      </c>
      <c r="AM55" s="62">
        <f t="shared" si="5"/>
        <v>550.21701614410745</v>
      </c>
      <c r="AN55" s="62">
        <f ca="1">AVERAGE(OFFSET($AM$3,0,0,'Données projet'!$E$10+1,1))-AVERAGE(OFFSET($H$3,0,0,'Données projet'!$E$10+1,1))</f>
        <v>363.99473967460347</v>
      </c>
      <c r="AO55" s="62">
        <f t="shared" si="36"/>
        <v>218.5520645293999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213.60000000000016</v>
      </c>
      <c r="BE55" s="14">
        <f>BD55*VLOOKUP('Données projet'!$B$11,Paramètres!$A$1:$I$89,3,0)*VLOOKUP('Données projet'!$B$11,Paramètres!$A$1:$I$89,5,0)</f>
        <v>186.60096000000016</v>
      </c>
      <c r="BF55" s="14">
        <f t="shared" si="37"/>
        <v>46.787685683664144</v>
      </c>
      <c r="BG55" s="22">
        <f t="shared" si="7"/>
        <v>406.48522456571527</v>
      </c>
      <c r="BH55" s="62">
        <f t="shared" si="8"/>
        <v>699.81855789904853</v>
      </c>
      <c r="BI55" s="62">
        <f ca="1">AVERAGE(OFFSET($BH$3,0,0,'Données projet'!$E$11+1,1))-AVERAGE(OFFSET($H$3,0,0,'Données projet'!$E$11+1,1))</f>
        <v>321.23599968992932</v>
      </c>
      <c r="BJ55" s="62">
        <f t="shared" si="38"/>
        <v>388.05195847800502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1.181849058058158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1.960926887731692E-2</v>
      </c>
      <c r="BS55" s="24">
        <f t="shared" si="9"/>
        <v>1.2014583269354748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5.75</v>
      </c>
      <c r="N56" s="14">
        <f>IF('Données projet'!$A$36&gt;35,N55+M56-V55,IF(A56&lt;'Données projet'!$A$36,$K$205^A56,IF(A56='Données projet'!$A$36,'Données projet'!$B$36,N55+M56-V55)))</f>
        <v>120.75000000000001</v>
      </c>
      <c r="O56" s="14">
        <f>N56*VLOOKUP('Données projet'!$B$9,Paramètres!$A$1:$I$89,3,0)*VLOOKUP('Données projet'!$B$9,Paramètres!$A$1:$I$89,5,0)</f>
        <v>109.2546</v>
      </c>
      <c r="P56" s="14">
        <f t="shared" si="33"/>
        <v>29.15529308077269</v>
      </c>
      <c r="Q56" s="22">
        <f t="shared" si="53"/>
        <v>241.06389711567908</v>
      </c>
      <c r="R56" s="62">
        <f t="shared" si="0"/>
        <v>534.39723044901234</v>
      </c>
      <c r="S56" s="62">
        <f ca="1">AVERAGE(OFFSET($R$3,0,0,'Données projet'!$E$9+1,1))-AVERAGE(OFFSET($H$3,0,0,'Données projet'!$E$9+1,1))</f>
        <v>329.14247505779747</v>
      </c>
      <c r="T56" s="62">
        <f t="shared" si="34"/>
        <v>199.43308683696642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5.75</v>
      </c>
      <c r="AI56" s="14">
        <f>IF('Données projet'!$A$62&gt;35,AI55+AH56-AQ55,IF(A56&lt;'Données projet'!$A$62,$AF$205^A56,IF(A56='Données projet'!$A$62,'Données projet'!$B$62,AI55+AH56-AQ55)))</f>
        <v>120.75000000000001</v>
      </c>
      <c r="AJ56" s="14">
        <f>AI56*VLOOKUP('Données projet'!$B$10,Paramètres!$A$1:$I$89,3,0)*VLOOKUP('Données projet'!$B$10,Paramètres!$A$1:$I$89,5,0)</f>
        <v>122.44050000000003</v>
      </c>
      <c r="AK56" s="14">
        <f t="shared" si="35"/>
        <v>32.24353714933843</v>
      </c>
      <c r="AL56" s="22">
        <f t="shared" si="4"/>
        <v>269.40803136843112</v>
      </c>
      <c r="AM56" s="62">
        <f t="shared" si="5"/>
        <v>562.7413647017645</v>
      </c>
      <c r="AN56" s="62">
        <f ca="1">AVERAGE(OFFSET($AM$3,0,0,'Données projet'!$E$10+1,1))-AVERAGE(OFFSET($H$3,0,0,'Données projet'!$E$10+1,1))</f>
        <v>363.99473967460347</v>
      </c>
      <c r="AO56" s="62">
        <f t="shared" si="36"/>
        <v>218.5520645293999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221.40000000000018</v>
      </c>
      <c r="BE56" s="14">
        <f>BD56*VLOOKUP('Données projet'!$B$11,Paramètres!$A$1:$I$89,3,0)*VLOOKUP('Données projet'!$B$11,Paramètres!$A$1:$I$89,5,0)</f>
        <v>193.41504000000018</v>
      </c>
      <c r="BF56" s="14">
        <f t="shared" si="37"/>
        <v>48.294185132315114</v>
      </c>
      <c r="BG56" s="22">
        <f t="shared" si="7"/>
        <v>420.97690043878242</v>
      </c>
      <c r="BH56" s="62">
        <f t="shared" si="8"/>
        <v>714.31023377211568</v>
      </c>
      <c r="BI56" s="62">
        <f ca="1">AVERAGE(OFFSET($BH$3,0,0,'Données projet'!$E$11+1,1))-AVERAGE(OFFSET($H$3,0,0,'Données projet'!$E$11+1,1))</f>
        <v>321.23599968992932</v>
      </c>
      <c r="BJ56" s="62">
        <f t="shared" si="38"/>
        <v>388.05195847800502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1.1586737188863843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1.3865846997261112E-2</v>
      </c>
      <c r="BS56" s="24">
        <f t="shared" si="9"/>
        <v>1.1725395658836453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5.75</v>
      </c>
      <c r="N57" s="14">
        <f>IF('Données projet'!$A$36&gt;35,N56+M57-V56,IF(A57&lt;'Données projet'!$A$36,$K$205^A57,IF(A57='Données projet'!$A$36,'Données projet'!$B$36,N56+M57-V56)))</f>
        <v>126.50000000000001</v>
      </c>
      <c r="O57" s="14">
        <f>N57*VLOOKUP('Données projet'!$B$9,Paramètres!$A$1:$I$89,3,0)*VLOOKUP('Données projet'!$B$9,Paramètres!$A$1:$I$89,5,0)</f>
        <v>114.45720000000001</v>
      </c>
      <c r="P57" s="14">
        <f t="shared" si="33"/>
        <v>30.378695686262596</v>
      </c>
      <c r="Q57" s="22">
        <f t="shared" si="53"/>
        <v>252.25585165357404</v>
      </c>
      <c r="R57" s="62">
        <f t="shared" si="0"/>
        <v>545.58918498690741</v>
      </c>
      <c r="S57" s="62">
        <f ca="1">AVERAGE(OFFSET($R$3,0,0,'Données projet'!$E$9+1,1))-AVERAGE(OFFSET($H$3,0,0,'Données projet'!$E$9+1,1))</f>
        <v>329.14247505779747</v>
      </c>
      <c r="T57" s="62">
        <f t="shared" si="34"/>
        <v>199.43308683696642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5.75</v>
      </c>
      <c r="AI57" s="14">
        <f>IF('Données projet'!$A$62&gt;35,AI56+AH57-AQ56,IF(A57&lt;'Données projet'!$A$62,$AF$205^A57,IF(A57='Données projet'!$A$62,'Données projet'!$B$62,AI56+AH57-AQ56)))</f>
        <v>126.50000000000001</v>
      </c>
      <c r="AJ57" s="14">
        <f>AI57*VLOOKUP('Données projet'!$B$10,Paramètres!$A$1:$I$89,3,0)*VLOOKUP('Données projet'!$B$10,Paramètres!$A$1:$I$89,5,0)</f>
        <v>128.27100000000002</v>
      </c>
      <c r="AK57" s="14">
        <f t="shared" si="35"/>
        <v>33.596527402237875</v>
      </c>
      <c r="AL57" s="22">
        <f t="shared" si="4"/>
        <v>281.91927689223098</v>
      </c>
      <c r="AM57" s="62">
        <f t="shared" si="5"/>
        <v>575.25261022556424</v>
      </c>
      <c r="AN57" s="62">
        <f ca="1">AVERAGE(OFFSET($AM$3,0,0,'Données projet'!$E$10+1,1))-AVERAGE(OFFSET($H$3,0,0,'Données projet'!$E$10+1,1))</f>
        <v>363.99473967460347</v>
      </c>
      <c r="AO57" s="62">
        <f t="shared" si="36"/>
        <v>218.5520645293999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229.20000000000019</v>
      </c>
      <c r="BE57" s="14">
        <f>BD57*VLOOKUP('Données projet'!$B$11,Paramètres!$A$1:$I$89,3,0)*VLOOKUP('Données projet'!$B$11,Paramètres!$A$1:$I$89,5,0)</f>
        <v>200.22912000000019</v>
      </c>
      <c r="BF57" s="14">
        <f t="shared" si="37"/>
        <v>49.794518010766396</v>
      </c>
      <c r="BG57" s="22">
        <f t="shared" si="7"/>
        <v>435.45783620208516</v>
      </c>
      <c r="BH57" s="62">
        <f t="shared" si="8"/>
        <v>728.79116953541848</v>
      </c>
      <c r="BI57" s="62">
        <f ca="1">AVERAGE(OFFSET($BH$3,0,0,'Données projet'!$E$11+1,1))-AVERAGE(OFFSET($H$3,0,0,'Données projet'!$E$11+1,1))</f>
        <v>321.23599968992932</v>
      </c>
      <c r="BJ57" s="62">
        <f t="shared" si="38"/>
        <v>388.05195847800502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1.1359528339802079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9.8046344386584598E-3</v>
      </c>
      <c r="BS57" s="24">
        <f t="shared" si="9"/>
        <v>1.1457574684188663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5.75</v>
      </c>
      <c r="N58" s="14">
        <f>IF('Données projet'!$A$36&gt;35,N57+M58-V57,IF(A58&lt;'Données projet'!$A$36,$K$205^A58,IF(A58='Données projet'!$A$36,'Données projet'!$B$36,N57+M58-V57)))</f>
        <v>132.25</v>
      </c>
      <c r="O58" s="14">
        <f>N58*VLOOKUP('Données projet'!$B$9,Paramètres!$A$1:$I$89,3,0)*VLOOKUP('Données projet'!$B$9,Paramètres!$A$1:$I$89,5,0)</f>
        <v>119.6598</v>
      </c>
      <c r="P58" s="14">
        <f t="shared" si="33"/>
        <v>31.595640125146211</v>
      </c>
      <c r="Q58" s="22">
        <f t="shared" si="53"/>
        <v>263.43655821796295</v>
      </c>
      <c r="R58" s="62">
        <f t="shared" si="0"/>
        <v>556.76989155129627</v>
      </c>
      <c r="S58" s="62">
        <f ca="1">AVERAGE(OFFSET($R$3,0,0,'Données projet'!$E$9+1,1))-AVERAGE(OFFSET($H$3,0,0,'Données projet'!$E$9+1,1))</f>
        <v>329.14247505779747</v>
      </c>
      <c r="T58" s="62">
        <f t="shared" si="34"/>
        <v>199.43308683696642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5.75</v>
      </c>
      <c r="AI58" s="14">
        <f>IF('Données projet'!$A$62&gt;35,AI57+AH58-AQ57,IF(A58&lt;'Données projet'!$A$62,$AF$205^A58,IF(A58='Données projet'!$A$62,'Données projet'!$B$62,AI57+AH58-AQ57)))</f>
        <v>132.25</v>
      </c>
      <c r="AJ58" s="14">
        <f>AI58*VLOOKUP('Données projet'!$B$10,Paramètres!$A$1:$I$89,3,0)*VLOOKUP('Données projet'!$B$10,Paramètres!$A$1:$I$89,5,0)</f>
        <v>134.10150000000002</v>
      </c>
      <c r="AK58" s="14">
        <f t="shared" si="35"/>
        <v>34.942375413956256</v>
      </c>
      <c r="AL58" s="22">
        <f t="shared" si="4"/>
        <v>294.41808301264047</v>
      </c>
      <c r="AM58" s="62">
        <f t="shared" si="5"/>
        <v>587.75141634597378</v>
      </c>
      <c r="AN58" s="62">
        <f ca="1">AVERAGE(OFFSET($AM$3,0,0,'Données projet'!$E$10+1,1))-AVERAGE(OFFSET($H$3,0,0,'Données projet'!$E$10+1,1))</f>
        <v>363.99473967460347</v>
      </c>
      <c r="AO58" s="62">
        <f t="shared" si="36"/>
        <v>218.5520645293999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237.0000000000002</v>
      </c>
      <c r="BE58" s="14">
        <f>BD58*VLOOKUP('Données projet'!$B$11,Paramètres!$A$1:$I$89,3,0)*VLOOKUP('Données projet'!$B$11,Paramètres!$A$1:$I$89,5,0)</f>
        <v>207.04320000000018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743.26177258706298</v>
      </c>
      <c r="BI58" s="62">
        <f ca="1">AVERAGE(OFFSET($BH$3,0,0,'Données projet'!$E$11+1,1))-AVERAGE(OFFSET($H$3,0,0,'Données projet'!$E$11+1,1))</f>
        <v>321.23599968992932</v>
      </c>
      <c r="BJ58" s="62">
        <f t="shared" si="38"/>
        <v>388.05195847800502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1.1136774917686703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6.9329234986305558E-3</v>
      </c>
      <c r="BS58" s="24">
        <f t="shared" si="9"/>
        <v>1.1206104152673009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138</v>
      </c>
      <c r="L59" s="13">
        <f>VLOOKUP(A59,'Données projet'!$A$35:$I$55,9,0)</f>
        <v>5.75</v>
      </c>
      <c r="M59" s="13">
        <f t="array" ref="M59">INDEX(L:L,MIN(IF(ISNUMBER(L59:L255),ROW(L59:L255),"")))</f>
        <v>5.75</v>
      </c>
      <c r="N59" s="14">
        <f>IF('Données projet'!$A$36&gt;35,N58+M59-V58,IF(A59&lt;'Données projet'!$A$36,$K$205^A59,IF(A59='Données projet'!$A$36,'Données projet'!$B$36,N58+M59-V58)))</f>
        <v>138</v>
      </c>
      <c r="O59" s="14">
        <f>N59*VLOOKUP('Données projet'!$B$9,Paramètres!$A$1:$I$89,3,0)*VLOOKUP('Données projet'!$B$9,Paramètres!$A$1:$I$89,5,0)</f>
        <v>124.86239999999999</v>
      </c>
      <c r="P59" s="14">
        <f t="shared" si="33"/>
        <v>32.806439280561598</v>
      </c>
      <c r="Q59" s="22">
        <f t="shared" si="53"/>
        <v>274.60656174697812</v>
      </c>
      <c r="R59" s="62">
        <f t="shared" si="0"/>
        <v>567.93989508031143</v>
      </c>
      <c r="S59" s="62">
        <f ca="1">AVERAGE(OFFSET($R$3,0,0,'Données projet'!$E$9+1,1))-AVERAGE(OFFSET($H$3,0,0,'Données projet'!$E$9+1,1))</f>
        <v>329.14247505779747</v>
      </c>
      <c r="T59" s="62">
        <f t="shared" si="34"/>
        <v>199.43308683696642</v>
      </c>
      <c r="U59" s="16">
        <f>IF(ISNA(VLOOKUP(A59,'Données projet'!$A$35:$I$55,3,0)),0,VLOOKUP(A59,'Données projet'!$A$35:$I$55,3,0))</f>
        <v>3</v>
      </c>
      <c r="V59" s="16">
        <f>IF(ISNA(VLOOKUP(A59,'Données projet'!$A$35:$I$55,4,0)),0,VLOOKUP(A59,'Données projet'!$A$35:$I$55,4,0))</f>
        <v>36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138</v>
      </c>
      <c r="AG59" s="13">
        <f>VLOOKUP(A59,'Données projet'!$A$61:$I$81,9,0)</f>
        <v>5.75</v>
      </c>
      <c r="AH59" s="13">
        <f t="array" ref="AH59">INDEX(AG:AG,MIN(IF(ISNUMBER(AG59:AG255),ROW(AG59:AG255),"")))</f>
        <v>5.75</v>
      </c>
      <c r="AI59" s="14">
        <f>IF('Données projet'!$A$62&gt;35,AI58+AH59-AQ58,IF(A59&lt;'Données projet'!$A$62,$AF$205^A59,IF(A59='Données projet'!$A$62,'Données projet'!$B$62,AI58+AH59-AQ58)))</f>
        <v>138</v>
      </c>
      <c r="AJ59" s="14">
        <f>AI59*VLOOKUP('Données projet'!$B$10,Paramètres!$A$1:$I$89,3,0)*VLOOKUP('Données projet'!$B$10,Paramètres!$A$1:$I$89,5,0)</f>
        <v>139.93200000000002</v>
      </c>
      <c r="AK59" s="14">
        <f t="shared" si="35"/>
        <v>36.281427209452353</v>
      </c>
      <c r="AL59" s="22">
        <f t="shared" si="4"/>
        <v>306.90505238979614</v>
      </c>
      <c r="AM59" s="62">
        <f t="shared" si="5"/>
        <v>600.23838572312945</v>
      </c>
      <c r="AN59" s="62">
        <f ca="1">AVERAGE(OFFSET($AM$3,0,0,'Données projet'!$E$10+1,1))-AVERAGE(OFFSET($H$3,0,0,'Données projet'!$E$10+1,1))</f>
        <v>363.99473967460347</v>
      </c>
      <c r="AO59" s="62">
        <f t="shared" si="36"/>
        <v>218.5520645293999</v>
      </c>
      <c r="AP59" s="16">
        <f>IF(ISNA(VLOOKUP(A59,'Données projet'!$A$61:$I$81,3,0)),0,VLOOKUP(A59,'Données projet'!$A$61:$I$81,3,0))</f>
        <v>3</v>
      </c>
      <c r="AQ59" s="16">
        <f>IF(ISNA(VLOOKUP(A59,'Données projet'!$A$61:$I$81,4,0)),0,VLOOKUP(A59,'Données projet'!$A$61:$I$81,4,0))</f>
        <v>36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214.80000000000021</v>
      </c>
      <c r="BE59" s="14">
        <f>BD59*VLOOKUP('Données projet'!$B$11,Paramètres!$A$1:$I$89,3,0)*VLOOKUP('Données projet'!$B$11,Paramètres!$A$1:$I$89,5,0)</f>
        <v>187.6492800000002</v>
      </c>
      <c r="BF59" s="14">
        <f t="shared" si="37"/>
        <v>47.019866076567546</v>
      </c>
      <c r="BG59" s="22">
        <f t="shared" si="7"/>
        <v>408.71542941668878</v>
      </c>
      <c r="BH59" s="62">
        <f t="shared" si="8"/>
        <v>702.04876275002209</v>
      </c>
      <c r="BI59" s="62">
        <f ca="1">AVERAGE(OFFSET($BH$3,0,0,'Données projet'!$E$11+1,1))-AVERAGE(OFFSET($H$3,0,0,'Données projet'!$E$11+1,1))</f>
        <v>321.23599968992932</v>
      </c>
      <c r="BJ59" s="62">
        <f t="shared" si="38"/>
        <v>388.05195847800502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1.0918389554312837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4.9023172193292299E-3</v>
      </c>
      <c r="BS59" s="24">
        <f t="shared" si="9"/>
        <v>1.0967412726506129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6.625</v>
      </c>
      <c r="N60" s="14">
        <f>IF('Données projet'!$A$36&gt;35,N59+M60-V59,IF(A60&lt;'Données projet'!$A$36,$K$205^A60,IF(A60='Données projet'!$A$36,'Données projet'!$B$36,N59+M60-V59)))</f>
        <v>108.625</v>
      </c>
      <c r="O60" s="14">
        <f>N60*VLOOKUP('Données projet'!$B$9,Paramètres!$A$1:$I$89,3,0)*VLOOKUP('Données projet'!$B$9,Paramètres!$A$1:$I$89,5,0)</f>
        <v>98.283900000000003</v>
      </c>
      <c r="P60" s="14">
        <f t="shared" si="33"/>
        <v>26.552749421787905</v>
      </c>
      <c r="Q60" s="22">
        <f t="shared" si="53"/>
        <v>217.42383107628061</v>
      </c>
      <c r="R60" s="62">
        <f t="shared" si="0"/>
        <v>510.75716440961389</v>
      </c>
      <c r="S60" s="62">
        <f ca="1">AVERAGE(OFFSET($R$3,0,0,'Données projet'!$E$9+1,1))-AVERAGE(OFFSET($H$3,0,0,'Données projet'!$E$9+1,1))</f>
        <v>329.14247505779747</v>
      </c>
      <c r="T60" s="62">
        <f t="shared" si="34"/>
        <v>199.43308683696642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6.625</v>
      </c>
      <c r="AI60" s="14">
        <f>IF('Données projet'!$A$62&gt;35,AI59+AH60-AQ59,IF(A60&lt;'Données projet'!$A$62,$AF$205^A60,IF(A60='Données projet'!$A$62,'Données projet'!$B$62,AI59+AH60-AQ59)))</f>
        <v>108.625</v>
      </c>
      <c r="AJ60" s="14">
        <f>AI60*VLOOKUP('Données projet'!$B$10,Paramètres!$A$1:$I$89,3,0)*VLOOKUP('Données projet'!$B$10,Paramètres!$A$1:$I$89,5,0)</f>
        <v>110.14575000000001</v>
      </c>
      <c r="AK60" s="14">
        <f t="shared" si="35"/>
        <v>29.365321762555343</v>
      </c>
      <c r="AL60" s="22">
        <f t="shared" si="4"/>
        <v>242.98178331978389</v>
      </c>
      <c r="AM60" s="62">
        <f t="shared" si="5"/>
        <v>536.31511665311723</v>
      </c>
      <c r="AN60" s="62">
        <f ca="1">AVERAGE(OFFSET($AM$3,0,0,'Données projet'!$E$10+1,1))-AVERAGE(OFFSET($H$3,0,0,'Données projet'!$E$10+1,1))</f>
        <v>363.99473967460347</v>
      </c>
      <c r="AO60" s="62">
        <f t="shared" si="36"/>
        <v>218.5520645293999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221.60000000000022</v>
      </c>
      <c r="BE60" s="14">
        <f>BD60*VLOOKUP('Données projet'!$B$11,Paramètres!$A$1:$I$89,3,0)*VLOOKUP('Données projet'!$B$11,Paramètres!$A$1:$I$89,5,0)</f>
        <v>193.58976000000021</v>
      </c>
      <c r="BF60" s="14">
        <f t="shared" si="37"/>
        <v>48.332731202087132</v>
      </c>
      <c r="BG60" s="22">
        <f t="shared" si="7"/>
        <v>421.34833884363542</v>
      </c>
      <c r="BH60" s="62">
        <f t="shared" si="8"/>
        <v>714.68167217696873</v>
      </c>
      <c r="BI60" s="62">
        <f ca="1">AVERAGE(OFFSET($BH$3,0,0,'Données projet'!$E$11+1,1))-AVERAGE(OFFSET($H$3,0,0,'Données projet'!$E$11+1,1))</f>
        <v>321.23599968992932</v>
      </c>
      <c r="BJ60" s="62">
        <f t="shared" si="38"/>
        <v>388.05195847800502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1.0704286594712813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3.4664617493152779E-3</v>
      </c>
      <c r="BS60" s="24">
        <f t="shared" si="9"/>
        <v>1.0738951212205965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6.625</v>
      </c>
      <c r="N61" s="14">
        <f>IF('Données projet'!$A$36&gt;35,N60+M61-V60,IF(A61&lt;'Données projet'!$A$36,$K$205^A61,IF(A61='Données projet'!$A$36,'Données projet'!$B$36,N60+M61-V60)))</f>
        <v>115.25</v>
      </c>
      <c r="O61" s="14">
        <f>N61*VLOOKUP('Données projet'!$B$9,Paramètres!$A$1:$I$89,3,0)*VLOOKUP('Données projet'!$B$9,Paramètres!$A$1:$I$89,5,0)</f>
        <v>104.2782</v>
      </c>
      <c r="P61" s="14">
        <f t="shared" si="33"/>
        <v>27.978721441571697</v>
      </c>
      <c r="Q61" s="22">
        <f t="shared" si="53"/>
        <v>230.34747151073736</v>
      </c>
      <c r="R61" s="62">
        <f t="shared" si="0"/>
        <v>523.68080484407074</v>
      </c>
      <c r="S61" s="62">
        <f ca="1">AVERAGE(OFFSET($R$3,0,0,'Données projet'!$E$9+1,1))-AVERAGE(OFFSET($H$3,0,0,'Données projet'!$E$9+1,1))</f>
        <v>329.14247505779747</v>
      </c>
      <c r="T61" s="62">
        <f t="shared" si="34"/>
        <v>199.43308683696642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6.625</v>
      </c>
      <c r="AI61" s="14">
        <f>IF('Données projet'!$A$62&gt;35,AI60+AH61-AQ60,IF(A61&lt;'Données projet'!$A$62,$AF$205^A61,IF(A61='Données projet'!$A$62,'Données projet'!$B$62,AI60+AH61-AQ60)))</f>
        <v>115.25</v>
      </c>
      <c r="AJ61" s="14">
        <f>AI61*VLOOKUP('Données projet'!$B$10,Paramètres!$A$1:$I$89,3,0)*VLOOKUP('Données projet'!$B$10,Paramètres!$A$1:$I$89,5,0)</f>
        <v>116.86350000000002</v>
      </c>
      <c r="AK61" s="14">
        <f t="shared" si="35"/>
        <v>30.9423383840805</v>
      </c>
      <c r="AL61" s="22">
        <f t="shared" si="4"/>
        <v>257.42850185227354</v>
      </c>
      <c r="AM61" s="62">
        <f t="shared" si="5"/>
        <v>550.76183518560686</v>
      </c>
      <c r="AN61" s="62">
        <f ca="1">AVERAGE(OFFSET($AM$3,0,0,'Données projet'!$E$10+1,1))-AVERAGE(OFFSET($H$3,0,0,'Données projet'!$E$10+1,1))</f>
        <v>363.99473967460347</v>
      </c>
      <c r="AO61" s="62">
        <f t="shared" si="36"/>
        <v>218.5520645293999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228.40000000000023</v>
      </c>
      <c r="BE61" s="14">
        <f>BD61*VLOOKUP('Données projet'!$B$11,Paramètres!$A$1:$I$89,3,0)*VLOOKUP('Données projet'!$B$11,Paramètres!$A$1:$I$89,5,0)</f>
        <v>199.53024000000022</v>
      </c>
      <c r="BF61" s="14">
        <f t="shared" si="37"/>
        <v>49.640914570461312</v>
      </c>
      <c r="BG61" s="22">
        <f t="shared" si="7"/>
        <v>433.97309421022049</v>
      </c>
      <c r="BH61" s="62">
        <f t="shared" si="8"/>
        <v>727.30642754355381</v>
      </c>
      <c r="BI61" s="62">
        <f ca="1">AVERAGE(OFFSET($BH$3,0,0,'Données projet'!$E$11+1,1))-AVERAGE(OFFSET($H$3,0,0,'Données projet'!$E$11+1,1))</f>
        <v>321.23599968992932</v>
      </c>
      <c r="BJ61" s="62">
        <f t="shared" si="38"/>
        <v>388.05195847800502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1.0494382063560634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2.451158609664615E-3</v>
      </c>
      <c r="BS61" s="24">
        <f t="shared" si="9"/>
        <v>1.0518893649657282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6.625</v>
      </c>
      <c r="N62" s="14">
        <f>IF('Données projet'!$A$36&gt;35,N61+M62-V61,IF(A62&lt;'Données projet'!$A$36,$K$205^A62,IF(A62='Données projet'!$A$36,'Données projet'!$B$36,N61+M62-V61)))</f>
        <v>121.875</v>
      </c>
      <c r="O62" s="14">
        <f>N62*VLOOKUP('Données projet'!$B$9,Paramètres!$A$1:$I$89,3,0)*VLOOKUP('Données projet'!$B$9,Paramètres!$A$1:$I$89,5,0)</f>
        <v>110.27250000000001</v>
      </c>
      <c r="P62" s="14">
        <f t="shared" si="33"/>
        <v>29.395178449871299</v>
      </c>
      <c r="Q62" s="22">
        <f t="shared" si="53"/>
        <v>243.2545399668592</v>
      </c>
      <c r="R62" s="62">
        <f t="shared" si="0"/>
        <v>536.58787330019254</v>
      </c>
      <c r="S62" s="62">
        <f ca="1">AVERAGE(OFFSET($R$3,0,0,'Données projet'!$E$9+1,1))-AVERAGE(OFFSET($H$3,0,0,'Données projet'!$E$9+1,1))</f>
        <v>329.14247505779747</v>
      </c>
      <c r="T62" s="62">
        <f t="shared" si="34"/>
        <v>199.43308683696642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6.625</v>
      </c>
      <c r="AI62" s="14">
        <f>IF('Données projet'!$A$62&gt;35,AI61+AH62-AQ61,IF(A62&lt;'Données projet'!$A$62,$AF$205^A62,IF(A62='Données projet'!$A$62,'Données projet'!$B$62,AI61+AH62-AQ61)))</f>
        <v>121.875</v>
      </c>
      <c r="AJ62" s="14">
        <f>AI62*VLOOKUP('Données projet'!$B$10,Paramètres!$A$1:$I$89,3,0)*VLOOKUP('Données projet'!$B$10,Paramètres!$A$1:$I$89,5,0)</f>
        <v>123.58125</v>
      </c>
      <c r="AK62" s="14">
        <f t="shared" si="35"/>
        <v>32.508832126435216</v>
      </c>
      <c r="AL62" s="22">
        <f t="shared" si="4"/>
        <v>271.85689303687468</v>
      </c>
      <c r="AM62" s="62">
        <f t="shared" si="5"/>
        <v>565.19022637020794</v>
      </c>
      <c r="AN62" s="62">
        <f ca="1">AVERAGE(OFFSET($AM$3,0,0,'Données projet'!$E$10+1,1))-AVERAGE(OFFSET($H$3,0,0,'Données projet'!$E$10+1,1))</f>
        <v>363.99473967460347</v>
      </c>
      <c r="AO62" s="62">
        <f t="shared" si="36"/>
        <v>218.5520645293999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235.20000000000024</v>
      </c>
      <c r="BE62" s="14">
        <f>BD62*VLOOKUP('Données projet'!$B$11,Paramètres!$A$1:$I$89,3,0)*VLOOKUP('Données projet'!$B$11,Paramètres!$A$1:$I$89,5,0)</f>
        <v>205.47072000000026</v>
      </c>
      <c r="BF62" s="14">
        <f t="shared" si="37"/>
        <v>50.944571570352757</v>
      </c>
      <c r="BG62" s="22">
        <f t="shared" si="7"/>
        <v>446.58996615169809</v>
      </c>
      <c r="BH62" s="62">
        <f t="shared" si="8"/>
        <v>739.92329948503141</v>
      </c>
      <c r="BI62" s="62">
        <f ca="1">AVERAGE(OFFSET($BH$3,0,0,'Données projet'!$E$11+1,1))-AVERAGE(OFFSET($H$3,0,0,'Données projet'!$E$11+1,1))</f>
        <v>321.23599968992932</v>
      </c>
      <c r="BJ62" s="62">
        <f t="shared" si="38"/>
        <v>388.05195847800502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1.0288593632235228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1.733230874657639E-3</v>
      </c>
      <c r="BS62" s="24">
        <f t="shared" si="9"/>
        <v>1.0305925940981804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6.625</v>
      </c>
      <c r="N63" s="14">
        <f>IF('Données projet'!$A$36&gt;35,N62+M63-V62,IF(A63&lt;'Données projet'!$A$36,$K$205^A63,IF(A63='Données projet'!$A$36,'Données projet'!$B$36,N62+M63-V62)))</f>
        <v>128.5</v>
      </c>
      <c r="O63" s="14">
        <f>N63*VLOOKUP('Données projet'!$B$9,Paramètres!$A$1:$I$89,3,0)*VLOOKUP('Données projet'!$B$9,Paramètres!$A$1:$I$89,5,0)</f>
        <v>116.2668</v>
      </c>
      <c r="P63" s="14">
        <f t="shared" si="33"/>
        <v>30.802696637636817</v>
      </c>
      <c r="Q63" s="22">
        <f t="shared" si="53"/>
        <v>256.14603997721747</v>
      </c>
      <c r="R63" s="62">
        <f t="shared" si="0"/>
        <v>549.47937331055073</v>
      </c>
      <c r="S63" s="62">
        <f ca="1">AVERAGE(OFFSET($R$3,0,0,'Données projet'!$E$9+1,1))-AVERAGE(OFFSET($H$3,0,0,'Données projet'!$E$9+1,1))</f>
        <v>329.14247505779747</v>
      </c>
      <c r="T63" s="62">
        <f t="shared" si="34"/>
        <v>199.43308683696642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6.625</v>
      </c>
      <c r="AI63" s="14">
        <f>IF('Données projet'!$A$62&gt;35,AI62+AH63-AQ62,IF(A63&lt;'Données projet'!$A$62,$AF$205^A63,IF(A63='Données projet'!$A$62,'Données projet'!$B$62,AI62+AH63-AQ62)))</f>
        <v>128.5</v>
      </c>
      <c r="AJ63" s="14">
        <f>AI63*VLOOKUP('Données projet'!$B$10,Paramètres!$A$1:$I$89,3,0)*VLOOKUP('Données projet'!$B$10,Paramètres!$A$1:$I$89,5,0)</f>
        <v>130.29900000000001</v>
      </c>
      <c r="AK63" s="14">
        <f t="shared" si="35"/>
        <v>34.065440212996258</v>
      </c>
      <c r="AL63" s="22">
        <f t="shared" si="4"/>
        <v>286.26806670430182</v>
      </c>
      <c r="AM63" s="62">
        <f t="shared" si="5"/>
        <v>579.60140003763513</v>
      </c>
      <c r="AN63" s="62">
        <f ca="1">AVERAGE(OFFSET($AM$3,0,0,'Données projet'!$E$10+1,1))-AVERAGE(OFFSET($H$3,0,0,'Données projet'!$E$10+1,1))</f>
        <v>363.99473967460347</v>
      </c>
      <c r="AO63" s="62">
        <f t="shared" si="36"/>
        <v>218.5520645293999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242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242.00000000000026</v>
      </c>
      <c r="BE63" s="14">
        <f>BD63*VLOOKUP('Données projet'!$B$11,Paramètres!$A$1:$I$89,3,0)*VLOOKUP('Données projet'!$B$11,Paramètres!$A$1:$I$89,5,0)</f>
        <v>211.41120000000024</v>
      </c>
      <c r="BF63" s="14">
        <f t="shared" si="37"/>
        <v>52.243848094411206</v>
      </c>
      <c r="BG63" s="22">
        <f t="shared" si="7"/>
        <v>459.19920876443319</v>
      </c>
      <c r="BH63" s="62">
        <f t="shared" si="8"/>
        <v>752.53254209776651</v>
      </c>
      <c r="BI63" s="62">
        <f ca="1">AVERAGE(OFFSET($BH$3,0,0,'Données projet'!$E$11+1,1))-AVERAGE(OFFSET($H$3,0,0,'Données projet'!$E$11+1,1))</f>
        <v>321.23599968992932</v>
      </c>
      <c r="BJ63" s="62">
        <f t="shared" si="38"/>
        <v>388.05195847800502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1.0086840586529564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1.2255793048323075E-3</v>
      </c>
      <c r="BS63" s="24">
        <f t="shared" si="9"/>
        <v>1.0099096379577888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6.625</v>
      </c>
      <c r="N64" s="14">
        <f>IF('Données projet'!$A$36&gt;35,N63+M64-V63,IF(A64&lt;'Données projet'!$A$36,$K$205^A64,IF(A64='Données projet'!$A$36,'Données projet'!$B$36,N63+M64-V63)))</f>
        <v>135.125</v>
      </c>
      <c r="O64" s="14">
        <f>N64*VLOOKUP('Données projet'!$B$9,Paramètres!$A$1:$I$89,3,0)*VLOOKUP('Données projet'!$B$9,Paramètres!$A$1:$I$89,5,0)</f>
        <v>122.26109999999998</v>
      </c>
      <c r="P64" s="14">
        <f t="shared" si="33"/>
        <v>32.201789427344288</v>
      </c>
      <c r="Q64" s="22">
        <f t="shared" si="53"/>
        <v>269.02286575262457</v>
      </c>
      <c r="R64" s="62">
        <f t="shared" si="0"/>
        <v>562.35619908595788</v>
      </c>
      <c r="S64" s="62">
        <f ca="1">AVERAGE(OFFSET($R$3,0,0,'Données projet'!$E$9+1,1))-AVERAGE(OFFSET($H$3,0,0,'Données projet'!$E$9+1,1))</f>
        <v>329.14247505779747</v>
      </c>
      <c r="T64" s="62">
        <f t="shared" si="34"/>
        <v>199.43308683696642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6.625</v>
      </c>
      <c r="AI64" s="14">
        <f>IF('Données projet'!$A$62&gt;35,AI63+AH64-AQ63,IF(A64&lt;'Données projet'!$A$62,$AF$205^A64,IF(A64='Données projet'!$A$62,'Données projet'!$B$62,AI63+AH64-AQ63)))</f>
        <v>135.125</v>
      </c>
      <c r="AJ64" s="14">
        <f>AI64*VLOOKUP('Données projet'!$B$10,Paramètres!$A$1:$I$89,3,0)*VLOOKUP('Données projet'!$B$10,Paramètres!$A$1:$I$89,5,0)</f>
        <v>137.01675</v>
      </c>
      <c r="AK64" s="14">
        <f t="shared" si="35"/>
        <v>35.61273044998083</v>
      </c>
      <c r="AL64" s="22">
        <f t="shared" si="4"/>
        <v>300.66301178371663</v>
      </c>
      <c r="AM64" s="62">
        <f t="shared" si="5"/>
        <v>593.99634511704994</v>
      </c>
      <c r="AN64" s="62">
        <f ca="1">AVERAGE(OFFSET($AM$3,0,0,'Données projet'!$E$10+1,1))-AVERAGE(OFFSET($H$3,0,0,'Données projet'!$E$10+1,1))</f>
        <v>363.99473967460347</v>
      </c>
      <c r="AO64" s="62">
        <f t="shared" si="36"/>
        <v>218.5520645293999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222.00000000000026</v>
      </c>
      <c r="BE64" s="14">
        <f>BD64*VLOOKUP('Données projet'!$B$11,Paramètres!$A$1:$I$89,3,0)*VLOOKUP('Données projet'!$B$11,Paramètres!$A$1:$I$89,5,0)</f>
        <v>193.93920000000023</v>
      </c>
      <c r="BF64" s="14">
        <f t="shared" si="37"/>
        <v>48.409811198069427</v>
      </c>
      <c r="BG64" s="22">
        <f t="shared" si="7"/>
        <v>422.09119450330468</v>
      </c>
      <c r="BH64" s="62">
        <f t="shared" si="8"/>
        <v>715.42452783663794</v>
      </c>
      <c r="BI64" s="62">
        <f ca="1">AVERAGE(OFFSET($BH$3,0,0,'Données projet'!$E$11+1,1))-AVERAGE(OFFSET($H$3,0,0,'Données projet'!$E$11+1,1))</f>
        <v>321.23599968992932</v>
      </c>
      <c r="BJ64" s="62">
        <f t="shared" si="38"/>
        <v>388.05195847800502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0.9889043794992981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8.6661543732881948E-4</v>
      </c>
      <c r="BS64" s="24">
        <f t="shared" si="9"/>
        <v>0.9897709949366269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6.625</v>
      </c>
      <c r="N65" s="14">
        <f>IF('Données projet'!$A$36&gt;35,N64+M65-V64,IF(A65&lt;'Données projet'!$A$36,$K$205^A65,IF(A65='Données projet'!$A$36,'Données projet'!$B$36,N64+M65-V64)))</f>
        <v>141.75</v>
      </c>
      <c r="O65" s="14">
        <f>N65*VLOOKUP('Données projet'!$B$9,Paramètres!$A$1:$I$89,3,0)*VLOOKUP('Données projet'!$B$9,Paramètres!$A$1:$I$89,5,0)</f>
        <v>128.25539999999998</v>
      </c>
      <c r="P65" s="14">
        <f t="shared" si="33"/>
        <v>33.592917052375554</v>
      </c>
      <c r="Q65" s="22">
        <f t="shared" si="53"/>
        <v>281.88581886622069</v>
      </c>
      <c r="R65" s="62">
        <f t="shared" si="0"/>
        <v>575.21915219955395</v>
      </c>
      <c r="S65" s="62">
        <f ca="1">AVERAGE(OFFSET($R$3,0,0,'Données projet'!$E$9+1,1))-AVERAGE(OFFSET($H$3,0,0,'Données projet'!$E$9+1,1))</f>
        <v>329.14247505779747</v>
      </c>
      <c r="T65" s="62">
        <f t="shared" si="34"/>
        <v>199.43308683696642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6.625</v>
      </c>
      <c r="AI65" s="14">
        <f>IF('Données projet'!$A$62&gt;35,AI64+AH65-AQ64,IF(A65&lt;'Données projet'!$A$62,$AF$205^A65,IF(A65='Données projet'!$A$62,'Données projet'!$B$62,AI64+AH65-AQ64)))</f>
        <v>141.75</v>
      </c>
      <c r="AJ65" s="14">
        <f>AI65*VLOOKUP('Données projet'!$B$10,Paramètres!$A$1:$I$89,3,0)*VLOOKUP('Données projet'!$B$10,Paramètres!$A$1:$I$89,5,0)</f>
        <v>143.7345</v>
      </c>
      <c r="AK65" s="14">
        <f t="shared" si="35"/>
        <v>37.151211820512735</v>
      </c>
      <c r="AL65" s="22">
        <f t="shared" si="4"/>
        <v>315.04261475405968</v>
      </c>
      <c r="AM65" s="62">
        <f t="shared" si="5"/>
        <v>608.375948087393</v>
      </c>
      <c r="AN65" s="62">
        <f ca="1">AVERAGE(OFFSET($AM$3,0,0,'Données projet'!$E$10+1,1))-AVERAGE(OFFSET($H$3,0,0,'Données projet'!$E$10+1,1))</f>
        <v>363.99473967460347</v>
      </c>
      <c r="AO65" s="62">
        <f t="shared" si="36"/>
        <v>218.5520645293999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228.00000000000026</v>
      </c>
      <c r="BE65" s="14">
        <f>BD65*VLOOKUP('Données projet'!$B$11,Paramètres!$A$1:$I$89,3,0)*VLOOKUP('Données projet'!$B$11,Paramètres!$A$1:$I$89,5,0)</f>
        <v>199.18080000000023</v>
      </c>
      <c r="BF65" s="14">
        <f t="shared" si="37"/>
        <v>49.564089376413726</v>
      </c>
      <c r="BG65" s="22">
        <f t="shared" si="7"/>
        <v>433.23068233058763</v>
      </c>
      <c r="BH65" s="62">
        <f t="shared" si="8"/>
        <v>726.56401566392094</v>
      </c>
      <c r="BI65" s="62">
        <f ca="1">AVERAGE(OFFSET($BH$3,0,0,'Données projet'!$E$11+1,1))-AVERAGE(OFFSET($H$3,0,0,'Données projet'!$E$11+1,1))</f>
        <v>321.23599968992932</v>
      </c>
      <c r="BJ65" s="62">
        <f t="shared" si="38"/>
        <v>388.05195847800502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0.96951256778943007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6.1278965241615374E-4</v>
      </c>
      <c r="BS65" s="24">
        <f t="shared" si="9"/>
        <v>0.97012535744184625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6.625</v>
      </c>
      <c r="N66" s="14">
        <f>IF('Données projet'!$A$36&gt;35,N65+M66-V65,IF(A66&lt;'Données projet'!$A$36,$K$205^A66,IF(A66='Données projet'!$A$36,'Données projet'!$B$36,N65+M66-V65)))</f>
        <v>148.375</v>
      </c>
      <c r="O66" s="14">
        <f>N66*VLOOKUP('Données projet'!$B$9,Paramètres!$A$1:$I$89,3,0)*VLOOKUP('Données projet'!$B$9,Paramètres!$A$1:$I$89,5,0)</f>
        <v>134.24969999999999</v>
      </c>
      <c r="P66" s="14">
        <f t="shared" si="33"/>
        <v>34.97649429485336</v>
      </c>
      <c r="Q66" s="22">
        <f t="shared" si="53"/>
        <v>294.73562173020292</v>
      </c>
      <c r="R66" s="62">
        <f t="shared" si="0"/>
        <v>588.06895506353624</v>
      </c>
      <c r="S66" s="62">
        <f ca="1">AVERAGE(OFFSET($R$3,0,0,'Données projet'!$E$9+1,1))-AVERAGE(OFFSET($H$3,0,0,'Données projet'!$E$9+1,1))</f>
        <v>329.14247505779747</v>
      </c>
      <c r="T66" s="62">
        <f t="shared" si="34"/>
        <v>199.43308683696642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6.625</v>
      </c>
      <c r="AI66" s="14">
        <f>IF('Données projet'!$A$62&gt;35,AI65+AH66-AQ65,IF(A66&lt;'Données projet'!$A$62,$AF$205^A66,IF(A66='Données projet'!$A$62,'Données projet'!$B$62,AI65+AH66-AQ65)))</f>
        <v>148.375</v>
      </c>
      <c r="AJ66" s="14">
        <f>AI66*VLOOKUP('Données projet'!$B$10,Paramètres!$A$1:$I$89,3,0)*VLOOKUP('Données projet'!$B$10,Paramètres!$A$1:$I$89,5,0)</f>
        <v>150.45225000000002</v>
      </c>
      <c r="AK66" s="14">
        <f t="shared" si="35"/>
        <v>38.681343042079284</v>
      </c>
      <c r="AL66" s="22">
        <f t="shared" si="4"/>
        <v>329.40767454828807</v>
      </c>
      <c r="AM66" s="62">
        <f t="shared" si="5"/>
        <v>622.74100788162139</v>
      </c>
      <c r="AN66" s="62">
        <f ca="1">AVERAGE(OFFSET($AM$3,0,0,'Données projet'!$E$10+1,1))-AVERAGE(OFFSET($H$3,0,0,'Données projet'!$E$10+1,1))</f>
        <v>363.99473967460347</v>
      </c>
      <c r="AO66" s="62">
        <f t="shared" si="36"/>
        <v>218.5520645293999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234.00000000000026</v>
      </c>
      <c r="BE66" s="14">
        <f>BD66*VLOOKUP('Données projet'!$B$11,Paramètres!$A$1:$I$89,3,0)*VLOOKUP('Données projet'!$B$11,Paramètres!$A$1:$I$89,5,0)</f>
        <v>204.42240000000027</v>
      </c>
      <c r="BF66" s="14">
        <f t="shared" si="37"/>
        <v>50.714836797527354</v>
      </c>
      <c r="BG66" s="22">
        <f t="shared" si="7"/>
        <v>444.36402075569396</v>
      </c>
      <c r="BH66" s="62">
        <f t="shared" si="8"/>
        <v>737.69735408902727</v>
      </c>
      <c r="BI66" s="62">
        <f ca="1">AVERAGE(OFFSET($BH$3,0,0,'Données projet'!$E$11+1,1))-AVERAGE(OFFSET($H$3,0,0,'Données projet'!$E$11+1,1))</f>
        <v>321.23599968992932</v>
      </c>
      <c r="BJ66" s="62">
        <f t="shared" si="38"/>
        <v>388.05195847800502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0.95050101767935535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4.3330771866440974E-4</v>
      </c>
      <c r="BS66" s="24">
        <f t="shared" si="9"/>
        <v>0.95093432539801981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155</v>
      </c>
      <c r="L67" s="13">
        <f>VLOOKUP(A67,'Données projet'!$A$35:$I$55,9,0)</f>
        <v>6.625</v>
      </c>
      <c r="M67" s="13">
        <f t="array" ref="M67">INDEX(L:L,MIN(IF(ISNUMBER(L67:L263),ROW(L67:L263),"")))</f>
        <v>6.625</v>
      </c>
      <c r="N67" s="14">
        <f>IF('Données projet'!$A$36&gt;35,N66+M67-V66,IF(A67&lt;'Données projet'!$A$36,$K$205^A67,IF(A67='Données projet'!$A$36,'Données projet'!$B$36,N66+M67-V66)))</f>
        <v>155</v>
      </c>
      <c r="O67" s="14">
        <f>N67*VLOOKUP('Données projet'!$B$9,Paramètres!$A$1:$I$89,3,0)*VLOOKUP('Données projet'!$B$9,Paramètres!$A$1:$I$89,5,0)</f>
        <v>140.244</v>
      </c>
      <c r="P67" s="14">
        <f t="shared" si="33"/>
        <v>36.352896802451752</v>
      </c>
      <c r="Q67" s="22">
        <f t="shared" ref="Q67:Q98" si="54">(O67+P67)*0.475*44/12</f>
        <v>307.57292859760338</v>
      </c>
      <c r="R67" s="62">
        <f t="shared" ref="R67:R130" si="55">Q67+(I67+J67)*44/12</f>
        <v>600.90626193093669</v>
      </c>
      <c r="S67" s="62">
        <f ca="1">AVERAGE(OFFSET($R$3,0,0,'Données projet'!$E$9+1,1))-AVERAGE(OFFSET($H$3,0,0,'Données projet'!$E$9+1,1))</f>
        <v>329.14247505779747</v>
      </c>
      <c r="T67" s="62">
        <f t="shared" si="34"/>
        <v>199.43308683696642</v>
      </c>
      <c r="U67" s="16">
        <f>IF(ISNA(VLOOKUP(A67,'Données projet'!$A$35:$I$55,3,0)),0,VLOOKUP(A67,'Données projet'!$A$35:$I$55,3,0))</f>
        <v>4</v>
      </c>
      <c r="V67" s="16">
        <f>IF(ISNA(VLOOKUP(A67,'Données projet'!$A$35:$I$55,4,0)),0,VLOOKUP(A67,'Données projet'!$A$35:$I$55,4,0))</f>
        <v>41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155</v>
      </c>
      <c r="AG67" s="13">
        <f>VLOOKUP(A67,'Données projet'!$A$61:$I$81,9,0)</f>
        <v>6.625</v>
      </c>
      <c r="AH67" s="13">
        <f t="array" ref="AH67">INDEX(AG:AG,MIN(IF(ISNUMBER(AG67:AG263),ROW(AG67:AG263),"")))</f>
        <v>6.625</v>
      </c>
      <c r="AI67" s="14">
        <f>IF('Données projet'!$A$62&gt;35,AI66+AH67-AQ66,IF(A67&lt;'Données projet'!$A$62,$AF$205^A67,IF(A67='Données projet'!$A$62,'Données projet'!$B$62,AI66+AH67-AQ66)))</f>
        <v>155</v>
      </c>
      <c r="AJ67" s="14">
        <f>AI67*VLOOKUP('Données projet'!$B$10,Paramètres!$A$1:$I$89,3,0)*VLOOKUP('Données projet'!$B$10,Paramètres!$A$1:$I$89,5,0)</f>
        <v>157.17000000000002</v>
      </c>
      <c r="AK67" s="14">
        <f t="shared" si="35"/>
        <v>40.203539552443232</v>
      </c>
      <c r="AL67" s="22">
        <f t="shared" si="4"/>
        <v>343.75891472050535</v>
      </c>
      <c r="AM67" s="62">
        <f t="shared" si="5"/>
        <v>637.0922480538386</v>
      </c>
      <c r="AN67" s="62">
        <f ca="1">AVERAGE(OFFSET($AM$3,0,0,'Données projet'!$E$10+1,1))-AVERAGE(OFFSET($H$3,0,0,'Données projet'!$E$10+1,1))</f>
        <v>363.99473967460347</v>
      </c>
      <c r="AO67" s="62">
        <f t="shared" si="36"/>
        <v>218.5520645293999</v>
      </c>
      <c r="AP67" s="16">
        <f>IF(ISNA(VLOOKUP(A67,'Données projet'!$A$61:$I$81,3,0)),0,VLOOKUP(A67,'Données projet'!$A$61:$I$81,3,0))</f>
        <v>4</v>
      </c>
      <c r="AQ67" s="16">
        <f>IF(ISNA(VLOOKUP(A67,'Données projet'!$A$61:$I$81,4,0)),0,VLOOKUP(A67,'Données projet'!$A$61:$I$81,4,0))</f>
        <v>41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240.00000000000026</v>
      </c>
      <c r="BE67" s="14">
        <f>BD67*VLOOKUP('Données projet'!$B$11,Paramètres!$A$1:$I$89,3,0)*VLOOKUP('Données projet'!$B$11,Paramètres!$A$1:$I$89,5,0)</f>
        <v>209.66400000000024</v>
      </c>
      <c r="BF67" s="14">
        <f t="shared" si="37"/>
        <v>51.862154403304579</v>
      </c>
      <c r="BG67" s="22">
        <f t="shared" si="7"/>
        <v>455.49138558575584</v>
      </c>
      <c r="BH67" s="62">
        <f t="shared" si="8"/>
        <v>748.82471891908915</v>
      </c>
      <c r="BI67" s="62">
        <f ca="1">AVERAGE(OFFSET($BH$3,0,0,'Données projet'!$E$11+1,1))-AVERAGE(OFFSET($H$3,0,0,'Données projet'!$E$11+1,1))</f>
        <v>321.23599968992932</v>
      </c>
      <c r="BJ67" s="62">
        <f t="shared" si="38"/>
        <v>388.05195847800502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0.93186227247103859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3.0639482620807687E-4</v>
      </c>
      <c r="BS67" s="24">
        <f t="shared" si="9"/>
        <v>0.93216866729724668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5.75</v>
      </c>
      <c r="N68" s="14">
        <f>IF('Données projet'!$A$36&gt;35,N67+M68-V67,IF(A68&lt;'Données projet'!$A$36,$K$205^A68,IF(A68='Données projet'!$A$36,'Données projet'!$B$36,N67+M68-V67)))</f>
        <v>119.75</v>
      </c>
      <c r="O68" s="14">
        <f>N68*VLOOKUP('Données projet'!$B$9,Paramètres!$A$1:$I$89,3,0)*VLOOKUP('Données projet'!$B$9,Paramètres!$A$1:$I$89,5,0)</f>
        <v>108.3498</v>
      </c>
      <c r="P68" s="14">
        <f t="shared" si="33"/>
        <v>28.941843207640417</v>
      </c>
      <c r="Q68" s="22">
        <f t="shared" si="54"/>
        <v>239.11627858664042</v>
      </c>
      <c r="R68" s="62">
        <f t="shared" si="55"/>
        <v>532.44961191997368</v>
      </c>
      <c r="S68" s="62">
        <f ca="1">AVERAGE(OFFSET($R$3,0,0,'Données projet'!$E$9+1,1))-AVERAGE(OFFSET($H$3,0,0,'Données projet'!$E$9+1,1))</f>
        <v>329.14247505779747</v>
      </c>
      <c r="T68" s="62">
        <f t="shared" si="34"/>
        <v>199.43308683696642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5.75</v>
      </c>
      <c r="AI68" s="14">
        <f>IF('Données projet'!$A$62&gt;35,AI67+AH68-AQ67,IF(A68&lt;'Données projet'!$A$62,$AF$205^A68,IF(A68='Données projet'!$A$62,'Données projet'!$B$62,AI67+AH68-AQ67)))</f>
        <v>119.75</v>
      </c>
      <c r="AJ68" s="14">
        <f>AI68*VLOOKUP('Données projet'!$B$10,Paramètres!$A$1:$I$89,3,0)*VLOOKUP('Données projet'!$B$10,Paramètres!$A$1:$I$89,5,0)</f>
        <v>121.42650000000002</v>
      </c>
      <c r="AK68" s="14">
        <f t="shared" si="35"/>
        <v>32.007477820598567</v>
      </c>
      <c r="AL68" s="22">
        <f t="shared" ref="AL68:AL131" si="58">(AJ68+AK68)*0.475*44/12</f>
        <v>267.23084470420918</v>
      </c>
      <c r="AM68" s="62">
        <f t="shared" ref="AM68:AM131" si="59">AL68+(AD68+AE68)*44/12</f>
        <v>560.56417803754243</v>
      </c>
      <c r="AN68" s="62">
        <f ca="1">AVERAGE(OFFSET($AM$3,0,0,'Données projet'!$E$10+1,1))-AVERAGE(OFFSET($H$3,0,0,'Données projet'!$E$10+1,1))</f>
        <v>363.99473967460347</v>
      </c>
      <c r="AO68" s="62">
        <f t="shared" si="36"/>
        <v>218.5520645293999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246.00000000000026</v>
      </c>
      <c r="BE68" s="14">
        <f>BD68*VLOOKUP('Données projet'!$B$11,Paramètres!$A$1:$I$89,3,0)*VLOOKUP('Données projet'!$B$11,Paramètres!$A$1:$I$89,5,0)</f>
        <v>214.90560000000025</v>
      </c>
      <c r="BF68" s="14">
        <f t="shared" si="37"/>
        <v>53.006137800892375</v>
      </c>
      <c r="BG68" s="22">
        <f t="shared" ref="BG68:BG131" si="61">(BE68+BF68)*0.475*44/12</f>
        <v>466.61294333655468</v>
      </c>
      <c r="BH68" s="62">
        <f t="shared" ref="BH68:BH131" si="62">BG68+(AY68+AZ68)*44/12</f>
        <v>759.94627666988799</v>
      </c>
      <c r="BI68" s="62">
        <f ca="1">AVERAGE(OFFSET($BH$3,0,0,'Données projet'!$E$11+1,1))-AVERAGE(OFFSET($H$3,0,0,'Données projet'!$E$11+1,1))</f>
        <v>321.23599968992932</v>
      </c>
      <c r="BJ68" s="62">
        <f t="shared" si="38"/>
        <v>388.05195847800502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0.91358902168774492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2.1665385933220487E-4</v>
      </c>
      <c r="BS68" s="24">
        <f t="shared" ref="BS68:BS131" si="63">SUM(BP68:BR68)</f>
        <v>0.91380567554707715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5.75</v>
      </c>
      <c r="N69" s="14">
        <f>IF('Données projet'!$A$36&gt;35,N68+M69-V68,IF(A69&lt;'Données projet'!$A$36,$K$205^A69,IF(A69='Données projet'!$A$36,'Données projet'!$B$36,N68+M69-V68)))</f>
        <v>125.5</v>
      </c>
      <c r="O69" s="14">
        <f>N69*VLOOKUP('Données projet'!$B$9,Paramètres!$A$1:$I$89,3,0)*VLOOKUP('Données projet'!$B$9,Paramètres!$A$1:$I$89,5,0)</f>
        <v>113.55239999999999</v>
      </c>
      <c r="P69" s="14">
        <f t="shared" ref="P69:P132" si="87">EXP(-1.0587+0.8836*LN(O69)+0.284)</f>
        <v>30.166403182577518</v>
      </c>
      <c r="Q69" s="22">
        <f t="shared" si="54"/>
        <v>250.3102488763225</v>
      </c>
      <c r="R69" s="62">
        <f t="shared" si="55"/>
        <v>543.64358220965585</v>
      </c>
      <c r="S69" s="62">
        <f ca="1">AVERAGE(OFFSET($R$3,0,0,'Données projet'!$E$9+1,1))-AVERAGE(OFFSET($H$3,0,0,'Données projet'!$E$9+1,1))</f>
        <v>329.14247505779747</v>
      </c>
      <c r="T69" s="62">
        <f t="shared" ref="T69:T132" si="88">$T$3</f>
        <v>199.43308683696642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5.75</v>
      </c>
      <c r="AI69" s="14">
        <f>IF('Données projet'!$A$62&gt;35,AI68+AH69-AQ68,IF(A69&lt;'Données projet'!$A$62,$AF$205^A69,IF(A69='Données projet'!$A$62,'Données projet'!$B$62,AI68+AH69-AQ68)))</f>
        <v>125.5</v>
      </c>
      <c r="AJ69" s="14">
        <f>AI69*VLOOKUP('Données projet'!$B$10,Paramètres!$A$1:$I$89,3,0)*VLOOKUP('Données projet'!$B$10,Paramètres!$A$1:$I$89,5,0)</f>
        <v>127.25700000000001</v>
      </c>
      <c r="AK69" s="14">
        <f t="shared" ref="AK69:AK132" si="89">EXP(-1.0587+0.8836*LN(AJ69)+0.284)</f>
        <v>33.36174803609903</v>
      </c>
      <c r="AL69" s="22">
        <f t="shared" si="58"/>
        <v>279.74431949620583</v>
      </c>
      <c r="AM69" s="62">
        <f t="shared" si="59"/>
        <v>573.07765282953915</v>
      </c>
      <c r="AN69" s="62">
        <f ca="1">AVERAGE(OFFSET($AM$3,0,0,'Données projet'!$E$10+1,1))-AVERAGE(OFFSET($H$3,0,0,'Données projet'!$E$10+1,1))</f>
        <v>363.99473967460347</v>
      </c>
      <c r="AO69" s="62">
        <f t="shared" ref="AO69:AO132" si="90">$AO$3</f>
        <v>218.5520645293999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228.20000000000024</v>
      </c>
      <c r="BE69" s="14">
        <f>BD69*VLOOKUP('Données projet'!$B$11,Paramètres!$A$1:$I$89,3,0)*VLOOKUP('Données projet'!$B$11,Paramètres!$A$1:$I$89,5,0)</f>
        <v>199.35552000000024</v>
      </c>
      <c r="BF69" s="14">
        <f t="shared" ref="BF69:BF132" si="91">EXP(-1.0587+0.8836*LN(BE69)+0.284)</f>
        <v>49.602503932783272</v>
      </c>
      <c r="BG69" s="22">
        <f t="shared" si="61"/>
        <v>433.60189168293124</v>
      </c>
      <c r="BH69" s="62">
        <f t="shared" si="62"/>
        <v>726.93522501626455</v>
      </c>
      <c r="BI69" s="62">
        <f ca="1">AVERAGE(OFFSET($BH$3,0,0,'Données projet'!$E$11+1,1))-AVERAGE(OFFSET($H$3,0,0,'Données projet'!$E$11+1,1))</f>
        <v>321.23599968992932</v>
      </c>
      <c r="BJ69" s="62">
        <f t="shared" ref="BJ69:BJ132" si="92">$BJ$3</f>
        <v>388.05195847800502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0.89567409820672916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1.5319741310403843E-4</v>
      </c>
      <c r="BS69" s="24">
        <f t="shared" si="63"/>
        <v>0.89582729561983321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5.75</v>
      </c>
      <c r="N70" s="14">
        <f>IF('Données projet'!$A$36&gt;35,N69+M70-V69,IF(A70&lt;'Données projet'!$A$36,$K$205^A70,IF(A70='Données projet'!$A$36,'Données projet'!$B$36,N69+M70-V69)))</f>
        <v>131.25</v>
      </c>
      <c r="O70" s="14">
        <f>N70*VLOOKUP('Données projet'!$B$9,Paramètres!$A$1:$I$89,3,0)*VLOOKUP('Données projet'!$B$9,Paramètres!$A$1:$I$89,5,0)</f>
        <v>118.75500000000001</v>
      </c>
      <c r="P70" s="14">
        <f t="shared" si="87"/>
        <v>31.384447472481</v>
      </c>
      <c r="Q70" s="22">
        <f t="shared" si="54"/>
        <v>261.49287101457111</v>
      </c>
      <c r="R70" s="62">
        <f t="shared" si="55"/>
        <v>554.82620434790442</v>
      </c>
      <c r="S70" s="62">
        <f ca="1">AVERAGE(OFFSET($R$3,0,0,'Données projet'!$E$9+1,1))-AVERAGE(OFFSET($H$3,0,0,'Données projet'!$E$9+1,1))</f>
        <v>329.14247505779747</v>
      </c>
      <c r="T70" s="62">
        <f t="shared" si="88"/>
        <v>199.43308683696642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5.75</v>
      </c>
      <c r="AI70" s="14">
        <f>IF('Données projet'!$A$62&gt;35,AI69+AH70-AQ69,IF(A70&lt;'Données projet'!$A$62,$AF$205^A70,IF(A70='Données projet'!$A$62,'Données projet'!$B$62,AI69+AH70-AQ69)))</f>
        <v>131.25</v>
      </c>
      <c r="AJ70" s="14">
        <f>AI70*VLOOKUP('Données projet'!$B$10,Paramètres!$A$1:$I$89,3,0)*VLOOKUP('Données projet'!$B$10,Paramètres!$A$1:$I$89,5,0)</f>
        <v>133.08750000000001</v>
      </c>
      <c r="AK70" s="14">
        <f t="shared" si="89"/>
        <v>34.708812399411578</v>
      </c>
      <c r="AL70" s="22">
        <f t="shared" si="58"/>
        <v>292.24524409564179</v>
      </c>
      <c r="AM70" s="62">
        <f t="shared" si="59"/>
        <v>585.57857742897511</v>
      </c>
      <c r="AN70" s="62">
        <f ca="1">AVERAGE(OFFSET($AM$3,0,0,'Données projet'!$E$10+1,1))-AVERAGE(OFFSET($H$3,0,0,'Données projet'!$E$10+1,1))</f>
        <v>363.99473967460347</v>
      </c>
      <c r="AO70" s="62">
        <f t="shared" si="90"/>
        <v>218.5520645293999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233.40000000000023</v>
      </c>
      <c r="BE70" s="14">
        <f>BD70*VLOOKUP('Données projet'!$B$11,Paramètres!$A$1:$I$89,3,0)*VLOOKUP('Données projet'!$B$11,Paramètres!$A$1:$I$89,5,0)</f>
        <v>203.89824000000024</v>
      </c>
      <c r="BF70" s="14">
        <f t="shared" si="91"/>
        <v>50.599918019430255</v>
      </c>
      <c r="BG70" s="22">
        <f t="shared" si="61"/>
        <v>443.25095855050807</v>
      </c>
      <c r="BH70" s="62">
        <f t="shared" si="62"/>
        <v>736.58429188384139</v>
      </c>
      <c r="BI70" s="62">
        <f ca="1">AVERAGE(OFFSET($BH$3,0,0,'Données projet'!$E$11+1,1))-AVERAGE(OFFSET($H$3,0,0,'Données projet'!$E$11+1,1))</f>
        <v>321.23599968992932</v>
      </c>
      <c r="BJ70" s="62">
        <f t="shared" si="92"/>
        <v>388.05195847800502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0.87811047544815179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1.0832692966610243E-4</v>
      </c>
      <c r="BS70" s="24">
        <f t="shared" si="63"/>
        <v>0.87821880237781791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5.75</v>
      </c>
      <c r="N71" s="14">
        <f>IF('Données projet'!$A$36&gt;35,N70+M71-V70,IF(A71&lt;'Données projet'!$A$36,$K$205^A71,IF(A71='Données projet'!$A$36,'Données projet'!$B$36,N70+M71-V70)))</f>
        <v>137</v>
      </c>
      <c r="O71" s="14">
        <f>N71*VLOOKUP('Données projet'!$B$9,Paramètres!$A$1:$I$89,3,0)*VLOOKUP('Données projet'!$B$9,Paramètres!$A$1:$I$89,5,0)</f>
        <v>123.9576</v>
      </c>
      <c r="P71" s="14">
        <f t="shared" si="87"/>
        <v>32.59629414926458</v>
      </c>
      <c r="Q71" s="22">
        <f t="shared" si="54"/>
        <v>272.6646989766358</v>
      </c>
      <c r="R71" s="62">
        <f t="shared" si="55"/>
        <v>565.99803230996918</v>
      </c>
      <c r="S71" s="62">
        <f ca="1">AVERAGE(OFFSET($R$3,0,0,'Données projet'!$E$9+1,1))-AVERAGE(OFFSET($H$3,0,0,'Données projet'!$E$9+1,1))</f>
        <v>329.14247505779747</v>
      </c>
      <c r="T71" s="62">
        <f t="shared" si="88"/>
        <v>199.43308683696642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5.75</v>
      </c>
      <c r="AI71" s="14">
        <f>IF('Données projet'!$A$62&gt;35,AI70+AH71-AQ70,IF(A71&lt;'Données projet'!$A$62,$AF$205^A71,IF(A71='Données projet'!$A$62,'Données projet'!$B$62,AI70+AH71-AQ70)))</f>
        <v>137</v>
      </c>
      <c r="AJ71" s="14">
        <f>AI71*VLOOKUP('Données projet'!$B$10,Paramètres!$A$1:$I$89,3,0)*VLOOKUP('Données projet'!$B$10,Paramètres!$A$1:$I$89,5,0)</f>
        <v>138.91800000000001</v>
      </c>
      <c r="AK71" s="14">
        <f t="shared" si="89"/>
        <v>36.049022673886341</v>
      </c>
      <c r="AL71" s="22">
        <f t="shared" si="58"/>
        <v>304.73423115701871</v>
      </c>
      <c r="AM71" s="62">
        <f t="shared" si="59"/>
        <v>598.06756449035197</v>
      </c>
      <c r="AN71" s="62">
        <f ca="1">AVERAGE(OFFSET($AM$3,0,0,'Données projet'!$E$10+1,1))-AVERAGE(OFFSET($H$3,0,0,'Données projet'!$E$10+1,1))</f>
        <v>363.99473967460347</v>
      </c>
      <c r="AO71" s="62">
        <f t="shared" si="90"/>
        <v>218.5520645293999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238.60000000000022</v>
      </c>
      <c r="BE71" s="14">
        <f>BD71*VLOOKUP('Données projet'!$B$11,Paramètres!$A$1:$I$89,3,0)*VLOOKUP('Données projet'!$B$11,Paramètres!$A$1:$I$89,5,0)</f>
        <v>208.44096000000022</v>
      </c>
      <c r="BF71" s="14">
        <f t="shared" si="91"/>
        <v>51.594748621124261</v>
      </c>
      <c r="BG71" s="22">
        <f t="shared" si="61"/>
        <v>452.89552584845842</v>
      </c>
      <c r="BH71" s="62">
        <f t="shared" si="62"/>
        <v>746.22885918179168</v>
      </c>
      <c r="BI71" s="62">
        <f ca="1">AVERAGE(OFFSET($BH$3,0,0,'Données projet'!$E$11+1,1))-AVERAGE(OFFSET($H$3,0,0,'Données projet'!$E$11+1,1))</f>
        <v>321.23599968992932</v>
      </c>
      <c r="BJ71" s="62">
        <f t="shared" si="92"/>
        <v>388.05195847800502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0.86089126461911802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7.6598706552019217E-5</v>
      </c>
      <c r="BS71" s="24">
        <f t="shared" si="63"/>
        <v>0.86096786332566999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5.75</v>
      </c>
      <c r="N72" s="14">
        <f>IF('Données projet'!$A$36&gt;35,N71+M72-V71,IF(A72&lt;'Données projet'!$A$36,$K$205^A72,IF(A72='Données projet'!$A$36,'Données projet'!$B$36,N71+M72-V71)))</f>
        <v>142.75</v>
      </c>
      <c r="O72" s="14">
        <f>N72*VLOOKUP('Données projet'!$B$9,Paramètres!$A$1:$I$89,3,0)*VLOOKUP('Données projet'!$B$9,Paramètres!$A$1:$I$89,5,0)</f>
        <v>129.16019999999997</v>
      </c>
      <c r="P72" s="14">
        <f t="shared" si="87"/>
        <v>33.80223307495099</v>
      </c>
      <c r="Q72" s="22">
        <f t="shared" si="54"/>
        <v>283.82623760553963</v>
      </c>
      <c r="R72" s="62">
        <f t="shared" si="55"/>
        <v>577.159570938873</v>
      </c>
      <c r="S72" s="62">
        <f ca="1">AVERAGE(OFFSET($R$3,0,0,'Données projet'!$E$9+1,1))-AVERAGE(OFFSET($H$3,0,0,'Données projet'!$E$9+1,1))</f>
        <v>329.14247505779747</v>
      </c>
      <c r="T72" s="62">
        <f t="shared" si="88"/>
        <v>199.43308683696642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5.75</v>
      </c>
      <c r="AI72" s="14">
        <f>IF('Données projet'!$A$62&gt;35,AI71+AH72-AQ71,IF(A72&lt;'Données projet'!$A$62,$AF$205^A72,IF(A72='Données projet'!$A$62,'Données projet'!$B$62,AI71+AH72-AQ71)))</f>
        <v>142.75</v>
      </c>
      <c r="AJ72" s="14">
        <f>AI72*VLOOKUP('Données projet'!$B$10,Paramètres!$A$1:$I$89,3,0)*VLOOKUP('Données projet'!$B$10,Paramètres!$A$1:$I$89,5,0)</f>
        <v>144.74850000000001</v>
      </c>
      <c r="AK72" s="14">
        <f t="shared" si="89"/>
        <v>37.38269942487895</v>
      </c>
      <c r="AL72" s="22">
        <f t="shared" si="58"/>
        <v>317.21183899833085</v>
      </c>
      <c r="AM72" s="62">
        <f t="shared" si="59"/>
        <v>610.54517233166416</v>
      </c>
      <c r="AN72" s="62">
        <f ca="1">AVERAGE(OFFSET($AM$3,0,0,'Données projet'!$E$10+1,1))-AVERAGE(OFFSET($H$3,0,0,'Données projet'!$E$10+1,1))</f>
        <v>363.99473967460347</v>
      </c>
      <c r="AO72" s="62">
        <f t="shared" si="90"/>
        <v>218.5520645293999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243.80000000000021</v>
      </c>
      <c r="BE72" s="14">
        <f>BD72*VLOOKUP('Données projet'!$B$11,Paramètres!$A$1:$I$89,3,0)*VLOOKUP('Données projet'!$B$11,Paramètres!$A$1:$I$89,5,0)</f>
        <v>212.98368000000022</v>
      </c>
      <c r="BF72" s="14">
        <f t="shared" si="91"/>
        <v>52.587058525970413</v>
      </c>
      <c r="BG72" s="22">
        <f t="shared" si="61"/>
        <v>462.53570293273214</v>
      </c>
      <c r="BH72" s="62">
        <f t="shared" si="62"/>
        <v>755.86903626606545</v>
      </c>
      <c r="BI72" s="62">
        <f ca="1">AVERAGE(OFFSET($BH$3,0,0,'Données projet'!$E$11+1,1))-AVERAGE(OFFSET($H$3,0,0,'Données projet'!$E$11+1,1))</f>
        <v>321.23599968992932</v>
      </c>
      <c r="BJ72" s="62">
        <f t="shared" si="92"/>
        <v>388.05195847800502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0.84400971201176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5.4163464833051217E-5</v>
      </c>
      <c r="BS72" s="24">
        <f t="shared" si="63"/>
        <v>0.84406387547659301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5.75</v>
      </c>
      <c r="N73" s="14">
        <f>IF('Données projet'!$A$36&gt;35,N72+M73-V72,IF(A73&lt;'Données projet'!$A$36,$K$205^A73,IF(A73='Données projet'!$A$36,'Données projet'!$B$36,N72+M73-V72)))</f>
        <v>148.5</v>
      </c>
      <c r="O73" s="14">
        <f>N73*VLOOKUP('Données projet'!$B$9,Paramètres!$A$1:$I$89,3,0)*VLOOKUP('Données projet'!$B$9,Paramètres!$A$1:$I$89,5,0)</f>
        <v>134.36279999999999</v>
      </c>
      <c r="P73" s="14">
        <f t="shared" si="87"/>
        <v>35.002529438504695</v>
      </c>
      <c r="Q73" s="22">
        <f t="shared" si="54"/>
        <v>294.97794877206235</v>
      </c>
      <c r="R73" s="62">
        <f t="shared" si="55"/>
        <v>588.31128210539566</v>
      </c>
      <c r="S73" s="62">
        <f ca="1">AVERAGE(OFFSET($R$3,0,0,'Données projet'!$E$9+1,1))-AVERAGE(OFFSET($H$3,0,0,'Données projet'!$E$9+1,1))</f>
        <v>329.14247505779747</v>
      </c>
      <c r="T73" s="62">
        <f t="shared" si="88"/>
        <v>199.43308683696642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5.75</v>
      </c>
      <c r="AI73" s="14">
        <f>IF('Données projet'!$A$62&gt;35,AI72+AH73-AQ72,IF(A73&lt;'Données projet'!$A$62,$AF$205^A73,IF(A73='Données projet'!$A$62,'Données projet'!$B$62,AI72+AH73-AQ72)))</f>
        <v>148.5</v>
      </c>
      <c r="AJ73" s="14">
        <f>AI73*VLOOKUP('Données projet'!$B$10,Paramètres!$A$1:$I$89,3,0)*VLOOKUP('Données projet'!$B$10,Paramètres!$A$1:$I$89,5,0)</f>
        <v>150.57900000000001</v>
      </c>
      <c r="AK73" s="14">
        <f t="shared" si="89"/>
        <v>38.71013593121895</v>
      </c>
      <c r="AL73" s="22">
        <f t="shared" si="58"/>
        <v>329.6785784135397</v>
      </c>
      <c r="AM73" s="62">
        <f t="shared" si="59"/>
        <v>623.01191174687301</v>
      </c>
      <c r="AN73" s="62">
        <f ca="1">AVERAGE(OFFSET($AM$3,0,0,'Données projet'!$E$10+1,1))-AVERAGE(OFFSET($H$3,0,0,'Données projet'!$E$10+1,1))</f>
        <v>363.99473967460347</v>
      </c>
      <c r="AO73" s="62">
        <f t="shared" si="90"/>
        <v>218.5520645293999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249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249.0000000000002</v>
      </c>
      <c r="BE73" s="14">
        <f>BD73*VLOOKUP('Données projet'!$B$11,Paramètres!$A$1:$I$89,3,0)*VLOOKUP('Données projet'!$B$11,Paramètres!$A$1:$I$89,5,0)</f>
        <v>217.52640000000019</v>
      </c>
      <c r="BF73" s="14">
        <f t="shared" si="91"/>
        <v>53.576907690651304</v>
      </c>
      <c r="BG73" s="22">
        <f t="shared" si="61"/>
        <v>472.17159422788467</v>
      </c>
      <c r="BH73" s="62">
        <f t="shared" si="62"/>
        <v>765.50492756121798</v>
      </c>
      <c r="BI73" s="62">
        <f ca="1">AVERAGE(OFFSET($BH$3,0,0,'Données projet'!$E$11+1,1))-AVERAGE(OFFSET($H$3,0,0,'Données projet'!$E$11+1,1))</f>
        <v>321.23599968992932</v>
      </c>
      <c r="BJ73" s="62">
        <f t="shared" si="92"/>
        <v>388.05195847800502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249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0.82745919635430187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3.8299353276009609E-5</v>
      </c>
      <c r="BS73" s="24">
        <f t="shared" si="63"/>
        <v>0.82749749570757791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5.75</v>
      </c>
      <c r="N74" s="14">
        <f>IF('Données projet'!$A$36&gt;35,N73+M74-V73,IF(A74&lt;'Données projet'!$A$36,$K$205^A74,IF(A74='Données projet'!$A$36,'Données projet'!$B$36,N73+M74-V73)))</f>
        <v>154.25</v>
      </c>
      <c r="O74" s="14">
        <f>N74*VLOOKUP('Données projet'!$B$9,Paramètres!$A$1:$I$89,3,0)*VLOOKUP('Données projet'!$B$9,Paramètres!$A$1:$I$89,5,0)</f>
        <v>139.56539999999998</v>
      </c>
      <c r="P74" s="14">
        <f t="shared" si="87"/>
        <v>36.197426729463054</v>
      </c>
      <c r="Q74" s="22">
        <f t="shared" si="54"/>
        <v>306.12025655381473</v>
      </c>
      <c r="R74" s="62">
        <f t="shared" si="55"/>
        <v>599.45358988714804</v>
      </c>
      <c r="S74" s="62">
        <f ca="1">AVERAGE(OFFSET($R$3,0,0,'Données projet'!$E$9+1,1))-AVERAGE(OFFSET($H$3,0,0,'Données projet'!$E$9+1,1))</f>
        <v>329.14247505779747</v>
      </c>
      <c r="T74" s="62">
        <f t="shared" si="88"/>
        <v>199.43308683696642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5.75</v>
      </c>
      <c r="AI74" s="14">
        <f>IF('Données projet'!$A$62&gt;35,AI73+AH74-AQ73,IF(A74&lt;'Données projet'!$A$62,$AF$205^A74,IF(A74='Données projet'!$A$62,'Données projet'!$B$62,AI73+AH74-AQ73)))</f>
        <v>154.25</v>
      </c>
      <c r="AJ74" s="14">
        <f>AI74*VLOOKUP('Données projet'!$B$10,Paramètres!$A$1:$I$89,3,0)*VLOOKUP('Données projet'!$B$10,Paramètres!$A$1:$I$89,5,0)</f>
        <v>156.40950000000001</v>
      </c>
      <c r="AK74" s="14">
        <f t="shared" si="89"/>
        <v>40.031601473819443</v>
      </c>
      <c r="AL74" s="22">
        <f t="shared" si="58"/>
        <v>342.13491840023556</v>
      </c>
      <c r="AM74" s="62">
        <f t="shared" si="59"/>
        <v>635.46825173356888</v>
      </c>
      <c r="AN74" s="62">
        <f ca="1">AVERAGE(OFFSET($AM$3,0,0,'Données projet'!$E$10+1,1))-AVERAGE(OFFSET($H$3,0,0,'Données projet'!$E$10+1,1))</f>
        <v>363.99473967460347</v>
      </c>
      <c r="AO74" s="62">
        <f t="shared" si="90"/>
        <v>218.5520645293999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1.9895196601282805E-13</v>
      </c>
      <c r="BE74" s="14">
        <f>BD74*VLOOKUP('Données projet'!$B$11,Paramètres!$A$1:$I$89,3,0)*VLOOKUP('Données projet'!$B$11,Paramètres!$A$1:$I$89,5,0)</f>
        <v>1.738044375088066E-13</v>
      </c>
      <c r="BF74" s="14">
        <f t="shared" si="91"/>
        <v>2.4483293633950478E-12</v>
      </c>
      <c r="BG74" s="22">
        <f t="shared" si="61"/>
        <v>4.566883036574213E-12</v>
      </c>
      <c r="BH74" s="62">
        <f t="shared" si="62"/>
        <v>293.33333333333786</v>
      </c>
      <c r="BI74" s="62">
        <f ca="1">AVERAGE(OFFSET($BH$3,0,0,'Données projet'!$E$11+1,1))-AVERAGE(OFFSET($H$3,0,0,'Données projet'!$E$11+1,1))</f>
        <v>321.23599968992932</v>
      </c>
      <c r="BJ74" s="62">
        <f t="shared" si="92"/>
        <v>388.05195847800502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0.81123322621406879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2.7081732416525609E-5</v>
      </c>
      <c r="BS74" s="24">
        <f t="shared" si="63"/>
        <v>0.81126030794648529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160</v>
      </c>
      <c r="L75" s="13">
        <f>VLOOKUP(A75,'Données projet'!$A$35:$I$55,9,0)</f>
        <v>5.75</v>
      </c>
      <c r="M75" s="13">
        <f t="array" ref="M75">INDEX(L:L,MIN(IF(ISNUMBER(L75:L271),ROW(L75:L271),"")))</f>
        <v>5.75</v>
      </c>
      <c r="N75" s="14">
        <f>IF('Données projet'!$A$36&gt;35,N74+M75-V74,IF(A75&lt;'Données projet'!$A$36,$K$205^A75,IF(A75='Données projet'!$A$36,'Données projet'!$B$36,N74+M75-V74)))</f>
        <v>160</v>
      </c>
      <c r="O75" s="14">
        <f>N75*VLOOKUP('Données projet'!$B$9,Paramètres!$A$1:$I$89,3,0)*VLOOKUP('Données projet'!$B$9,Paramètres!$A$1:$I$89,5,0)</f>
        <v>144.768</v>
      </c>
      <c r="P75" s="14">
        <f t="shared" si="87"/>
        <v>37.387149255707826</v>
      </c>
      <c r="Q75" s="22">
        <f t="shared" si="54"/>
        <v>317.25355162035777</v>
      </c>
      <c r="R75" s="62">
        <f t="shared" si="55"/>
        <v>610.58688495369108</v>
      </c>
      <c r="S75" s="62">
        <f ca="1">AVERAGE(OFFSET($R$3,0,0,'Données projet'!$E$9+1,1))-AVERAGE(OFFSET($H$3,0,0,'Données projet'!$E$9+1,1))</f>
        <v>329.14247505779747</v>
      </c>
      <c r="T75" s="62">
        <f t="shared" si="88"/>
        <v>199.43308683696642</v>
      </c>
      <c r="U75" s="16">
        <f>IF(ISNA(VLOOKUP(A75,'Données projet'!$A$35:$I$55,3,0)),0,VLOOKUP(A75,'Données projet'!$A$35:$I$55,3,0))</f>
        <v>5</v>
      </c>
      <c r="V75" s="16">
        <f>IF(ISNA(VLOOKUP(A75,'Données projet'!$A$35:$I$55,4,0)),0,VLOOKUP(A75,'Données projet'!$A$35:$I$55,4,0))</f>
        <v>32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160</v>
      </c>
      <c r="AG75" s="13">
        <f>VLOOKUP(A75,'Données projet'!$A$61:$I$81,9,0)</f>
        <v>5.75</v>
      </c>
      <c r="AH75" s="13">
        <f t="array" ref="AH75">INDEX(AG:AG,MIN(IF(ISNUMBER(AG75:AG271),ROW(AG75:AG271),"")))</f>
        <v>5.75</v>
      </c>
      <c r="AI75" s="14">
        <f>IF('Données projet'!$A$62&gt;35,AI74+AH75-AQ74,IF(A75&lt;'Données projet'!$A$62,$AF$205^A75,IF(A75='Données projet'!$A$62,'Données projet'!$B$62,AI74+AH75-AQ74)))</f>
        <v>160</v>
      </c>
      <c r="AJ75" s="14">
        <f>AI75*VLOOKUP('Données projet'!$B$10,Paramètres!$A$1:$I$89,3,0)*VLOOKUP('Données projet'!$B$10,Paramètres!$A$1:$I$89,5,0)</f>
        <v>162.24</v>
      </c>
      <c r="AK75" s="14">
        <f t="shared" si="89"/>
        <v>41.347344120141088</v>
      </c>
      <c r="AL75" s="22">
        <f t="shared" si="58"/>
        <v>354.58129100924572</v>
      </c>
      <c r="AM75" s="62">
        <f t="shared" si="59"/>
        <v>647.91462434257903</v>
      </c>
      <c r="AN75" s="62">
        <f ca="1">AVERAGE(OFFSET($AM$3,0,0,'Données projet'!$E$10+1,1))-AVERAGE(OFFSET($H$3,0,0,'Données projet'!$E$10+1,1))</f>
        <v>363.99473967460347</v>
      </c>
      <c r="AO75" s="62">
        <f t="shared" si="90"/>
        <v>218.5520645293999</v>
      </c>
      <c r="AP75" s="16">
        <f>IF(ISNA(VLOOKUP(A75,'Données projet'!$A$61:$I$81,3,0)),0,VLOOKUP(A75,'Données projet'!$A$61:$I$81,3,0))</f>
        <v>5</v>
      </c>
      <c r="AQ75" s="16">
        <f>IF(ISNA(VLOOKUP(A75,'Données projet'!$A$61:$I$81,4,0)),0,VLOOKUP(A75,'Données projet'!$A$61:$I$81,4,0))</f>
        <v>32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1.9895196601282805E-13</v>
      </c>
      <c r="BE75" s="14">
        <f>BD75*VLOOKUP('Données projet'!$B$11,Paramètres!$A$1:$I$89,3,0)*VLOOKUP('Données projet'!$B$11,Paramètres!$A$1:$I$89,5,0)</f>
        <v>1.738044375088066E-13</v>
      </c>
      <c r="BF75" s="14">
        <f t="shared" si="91"/>
        <v>2.4483293633950478E-12</v>
      </c>
      <c r="BG75" s="22">
        <f t="shared" si="61"/>
        <v>4.566883036574213E-12</v>
      </c>
      <c r="BH75" s="62">
        <f t="shared" si="62"/>
        <v>293.33333333333786</v>
      </c>
      <c r="BI75" s="62">
        <f ca="1">AVERAGE(OFFSET($BH$3,0,0,'Données projet'!$E$11+1,1))-AVERAGE(OFFSET($H$3,0,0,'Données projet'!$E$11+1,1))</f>
        <v>321.23599968992932</v>
      </c>
      <c r="BJ75" s="62">
        <f t="shared" si="92"/>
        <v>388.05195847800502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0.79532543745142115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1.9149676638004804E-5</v>
      </c>
      <c r="BS75" s="24">
        <f t="shared" si="63"/>
        <v>0.79534458712805911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133</v>
      </c>
      <c r="O76" s="14">
        <f>N76*VLOOKUP('Données projet'!$B$9,Paramètres!$A$1:$I$89,3,0)*VLOOKUP('Données projet'!$B$9,Paramètres!$A$1:$I$89,5,0)</f>
        <v>120.33840000000001</v>
      </c>
      <c r="P76" s="14">
        <f t="shared" si="87"/>
        <v>31.753912596847059</v>
      </c>
      <c r="Q76" s="22">
        <f t="shared" si="54"/>
        <v>264.89411110617533</v>
      </c>
      <c r="R76" s="62">
        <f t="shared" si="55"/>
        <v>558.22744443950864</v>
      </c>
      <c r="S76" s="62">
        <f ca="1">AVERAGE(OFFSET($R$3,0,0,'Données projet'!$E$9+1,1))-AVERAGE(OFFSET($H$3,0,0,'Données projet'!$E$9+1,1))</f>
        <v>329.14247505779747</v>
      </c>
      <c r="T76" s="62">
        <f t="shared" si="88"/>
        <v>199.43308683696642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133</v>
      </c>
      <c r="AJ76" s="14">
        <f>AI76*VLOOKUP('Données projet'!$B$10,Paramètres!$A$1:$I$89,3,0)*VLOOKUP('Données projet'!$B$10,Paramètres!$A$1:$I$89,5,0)</f>
        <v>134.86200000000002</v>
      </c>
      <c r="AK76" s="14">
        <f t="shared" si="89"/>
        <v>35.11741273245844</v>
      </c>
      <c r="AL76" s="22">
        <f t="shared" si="58"/>
        <v>296.04747717569848</v>
      </c>
      <c r="AM76" s="62">
        <f t="shared" si="59"/>
        <v>589.38081050903179</v>
      </c>
      <c r="AN76" s="62">
        <f ca="1">AVERAGE(OFFSET($AM$3,0,0,'Données projet'!$E$10+1,1))-AVERAGE(OFFSET($H$3,0,0,'Données projet'!$E$10+1,1))</f>
        <v>363.99473967460347</v>
      </c>
      <c r="AO76" s="62">
        <f t="shared" si="90"/>
        <v>218.5520645293999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1.9895196601282805E-13</v>
      </c>
      <c r="BE76" s="14">
        <f>BD76*VLOOKUP('Données projet'!$B$11,Paramètres!$A$1:$I$89,3,0)*VLOOKUP('Données projet'!$B$11,Paramètres!$A$1:$I$89,5,0)</f>
        <v>1.738044375088066E-13</v>
      </c>
      <c r="BF76" s="14">
        <f t="shared" si="91"/>
        <v>2.4483293633950478E-12</v>
      </c>
      <c r="BG76" s="22">
        <f t="shared" si="61"/>
        <v>4.566883036574213E-12</v>
      </c>
      <c r="BH76" s="62">
        <f t="shared" si="62"/>
        <v>293.33333333333786</v>
      </c>
      <c r="BI76" s="62">
        <f ca="1">AVERAGE(OFFSET($BH$3,0,0,'Données projet'!$E$11+1,1))-AVERAGE(OFFSET($H$3,0,0,'Données projet'!$E$11+1,1))</f>
        <v>321.23599968992932</v>
      </c>
      <c r="BJ76" s="62">
        <f t="shared" si="92"/>
        <v>388.05195847800502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0.77972959072361592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1.3540866208262804E-5</v>
      </c>
      <c r="BS76" s="24">
        <f t="shared" si="63"/>
        <v>0.77974313158982422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138</v>
      </c>
      <c r="O77" s="14">
        <f>N77*VLOOKUP('Données projet'!$B$9,Paramètres!$A$1:$I$89,3,0)*VLOOKUP('Données projet'!$B$9,Paramètres!$A$1:$I$89,5,0)</f>
        <v>124.86239999999999</v>
      </c>
      <c r="P77" s="14">
        <f t="shared" si="87"/>
        <v>32.806439280561598</v>
      </c>
      <c r="Q77" s="22">
        <f t="shared" si="54"/>
        <v>274.60656174697812</v>
      </c>
      <c r="R77" s="62">
        <f t="shared" si="55"/>
        <v>567.93989508031143</v>
      </c>
      <c r="S77" s="62">
        <f ca="1">AVERAGE(OFFSET($R$3,0,0,'Données projet'!$E$9+1,1))-AVERAGE(OFFSET($H$3,0,0,'Données projet'!$E$9+1,1))</f>
        <v>329.14247505779747</v>
      </c>
      <c r="T77" s="62">
        <f t="shared" si="88"/>
        <v>199.43308683696642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138</v>
      </c>
      <c r="AJ77" s="14">
        <f>AI77*VLOOKUP('Données projet'!$B$10,Paramètres!$A$1:$I$89,3,0)*VLOOKUP('Données projet'!$B$10,Paramètres!$A$1:$I$89,5,0)</f>
        <v>139.93200000000002</v>
      </c>
      <c r="AK77" s="14">
        <f t="shared" si="89"/>
        <v>36.281427209452353</v>
      </c>
      <c r="AL77" s="22">
        <f t="shared" si="58"/>
        <v>306.90505238979614</v>
      </c>
      <c r="AM77" s="62">
        <f t="shared" si="59"/>
        <v>600.23838572312945</v>
      </c>
      <c r="AN77" s="62">
        <f ca="1">AVERAGE(OFFSET($AM$3,0,0,'Données projet'!$E$10+1,1))-AVERAGE(OFFSET($H$3,0,0,'Données projet'!$E$10+1,1))</f>
        <v>363.99473967460347</v>
      </c>
      <c r="AO77" s="62">
        <f t="shared" si="90"/>
        <v>218.5520645293999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1.9895196601282805E-13</v>
      </c>
      <c r="BE77" s="14">
        <f>BD77*VLOOKUP('Données projet'!$B$11,Paramètres!$A$1:$I$89,3,0)*VLOOKUP('Données projet'!$B$11,Paramètres!$A$1:$I$89,5,0)</f>
        <v>1.738044375088066E-13</v>
      </c>
      <c r="BF77" s="14">
        <f t="shared" si="91"/>
        <v>2.4483293633950478E-12</v>
      </c>
      <c r="BG77" s="22">
        <f t="shared" si="61"/>
        <v>4.566883036574213E-12</v>
      </c>
      <c r="BH77" s="62">
        <f t="shared" si="62"/>
        <v>293.33333333333786</v>
      </c>
      <c r="BI77" s="62">
        <f ca="1">AVERAGE(OFFSET($BH$3,0,0,'Données projet'!$E$11+1,1))-AVERAGE(OFFSET($H$3,0,0,'Données projet'!$E$11+1,1))</f>
        <v>321.23599968992932</v>
      </c>
      <c r="BJ77" s="62">
        <f t="shared" si="92"/>
        <v>388.05195847800502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0.76443956903761567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9.5748383190024022E-6</v>
      </c>
      <c r="BS77" s="24">
        <f t="shared" si="63"/>
        <v>0.76444914387593466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143</v>
      </c>
      <c r="O78" s="14">
        <f>N78*VLOOKUP('Données projet'!$B$9,Paramètres!$A$1:$I$89,3,0)*VLOOKUP('Données projet'!$B$9,Paramètres!$A$1:$I$89,5,0)</f>
        <v>129.38640000000001</v>
      </c>
      <c r="P78" s="14">
        <f t="shared" si="87"/>
        <v>33.854535370613952</v>
      </c>
      <c r="Q78" s="22">
        <f t="shared" si="54"/>
        <v>284.31129577048597</v>
      </c>
      <c r="R78" s="62">
        <f t="shared" si="55"/>
        <v>577.64462910381928</v>
      </c>
      <c r="S78" s="62">
        <f ca="1">AVERAGE(OFFSET($R$3,0,0,'Données projet'!$E$9+1,1))-AVERAGE(OFFSET($H$3,0,0,'Données projet'!$E$9+1,1))</f>
        <v>329.14247505779747</v>
      </c>
      <c r="T78" s="62">
        <f t="shared" si="88"/>
        <v>199.43308683696642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143</v>
      </c>
      <c r="AJ78" s="14">
        <f>AI78*VLOOKUP('Données projet'!$B$10,Paramètres!$A$1:$I$89,3,0)*VLOOKUP('Données projet'!$B$10,Paramètres!$A$1:$I$89,5,0)</f>
        <v>145.00200000000001</v>
      </c>
      <c r="AK78" s="14">
        <f t="shared" si="89"/>
        <v>37.44054178676268</v>
      </c>
      <c r="AL78" s="22">
        <f t="shared" si="58"/>
        <v>317.75409361194505</v>
      </c>
      <c r="AM78" s="62">
        <f t="shared" si="59"/>
        <v>611.08742694527837</v>
      </c>
      <c r="AN78" s="62">
        <f ca="1">AVERAGE(OFFSET($AM$3,0,0,'Données projet'!$E$10+1,1))-AVERAGE(OFFSET($H$3,0,0,'Données projet'!$E$10+1,1))</f>
        <v>363.99473967460347</v>
      </c>
      <c r="AO78" s="62">
        <f t="shared" si="90"/>
        <v>218.5520645293999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1.9895196601282805E-13</v>
      </c>
      <c r="BE78" s="14">
        <f>BD78*VLOOKUP('Données projet'!$B$11,Paramètres!$A$1:$I$89,3,0)*VLOOKUP('Données projet'!$B$11,Paramètres!$A$1:$I$89,5,0)</f>
        <v>1.738044375088066E-13</v>
      </c>
      <c r="BF78" s="14">
        <f t="shared" si="91"/>
        <v>2.4483293633950478E-12</v>
      </c>
      <c r="BG78" s="22">
        <f t="shared" si="61"/>
        <v>4.566883036574213E-12</v>
      </c>
      <c r="BH78" s="62">
        <f t="shared" si="62"/>
        <v>293.33333333333786</v>
      </c>
      <c r="BI78" s="62">
        <f ca="1">AVERAGE(OFFSET($BH$3,0,0,'Données projet'!$E$11+1,1))-AVERAGE(OFFSET($H$3,0,0,'Données projet'!$E$11+1,1))</f>
        <v>321.23599968992932</v>
      </c>
      <c r="BJ78" s="62">
        <f t="shared" si="92"/>
        <v>388.05195847800502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0.74944937535088563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6.7704331041314022E-6</v>
      </c>
      <c r="BS78" s="24">
        <f t="shared" si="63"/>
        <v>0.74945614578398978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</v>
      </c>
      <c r="N79" s="14">
        <f>IF('Données projet'!$A$36&gt;35,N78+M79-V78,IF(A79&lt;'Données projet'!$A$36,$K$205^A79,IF(A79='Données projet'!$A$36,'Données projet'!$B$36,N78+M79-V78)))</f>
        <v>148</v>
      </c>
      <c r="O79" s="14">
        <f>N79*VLOOKUP('Données projet'!$B$9,Paramètres!$A$1:$I$89,3,0)*VLOOKUP('Données projet'!$B$9,Paramètres!$A$1:$I$89,5,0)</f>
        <v>133.91039999999998</v>
      </c>
      <c r="P79" s="14">
        <f t="shared" si="87"/>
        <v>34.898373535125089</v>
      </c>
      <c r="Q79" s="22">
        <f t="shared" si="54"/>
        <v>294.00861390700948</v>
      </c>
      <c r="R79" s="62">
        <f t="shared" si="55"/>
        <v>587.34194724034273</v>
      </c>
      <c r="S79" s="62">
        <f ca="1">AVERAGE(OFFSET($R$3,0,0,'Données projet'!$E$9+1,1))-AVERAGE(OFFSET($H$3,0,0,'Données projet'!$E$9+1,1))</f>
        <v>329.14247505779747</v>
      </c>
      <c r="T79" s="62">
        <f t="shared" si="88"/>
        <v>199.43308683696642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</v>
      </c>
      <c r="AI79" s="14">
        <f>IF('Données projet'!$A$62&gt;35,AI78+AH79-AQ78,IF(A79&lt;'Données projet'!$A$62,$AF$205^A79,IF(A79='Données projet'!$A$62,'Données projet'!$B$62,AI78+AH79-AQ78)))</f>
        <v>148</v>
      </c>
      <c r="AJ79" s="14">
        <f>AI79*VLOOKUP('Données projet'!$B$10,Paramètres!$A$1:$I$89,3,0)*VLOOKUP('Données projet'!$B$10,Paramètres!$A$1:$I$89,5,0)</f>
        <v>150.072</v>
      </c>
      <c r="AK79" s="14">
        <f t="shared" si="89"/>
        <v>38.594947422201457</v>
      </c>
      <c r="AL79" s="22">
        <f t="shared" si="58"/>
        <v>328.59493342700091</v>
      </c>
      <c r="AM79" s="62">
        <f t="shared" si="59"/>
        <v>621.92826676033428</v>
      </c>
      <c r="AN79" s="62">
        <f ca="1">AVERAGE(OFFSET($AM$3,0,0,'Données projet'!$E$10+1,1))-AVERAGE(OFFSET($H$3,0,0,'Données projet'!$E$10+1,1))</f>
        <v>363.99473967460347</v>
      </c>
      <c r="AO79" s="62">
        <f t="shared" si="90"/>
        <v>218.5520645293999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1.9895196601282805E-13</v>
      </c>
      <c r="BE79" s="14">
        <f>BD79*VLOOKUP('Données projet'!$B$11,Paramètres!$A$1:$I$89,3,0)*VLOOKUP('Données projet'!$B$11,Paramètres!$A$1:$I$89,5,0)</f>
        <v>1.738044375088066E-13</v>
      </c>
      <c r="BF79" s="14">
        <f t="shared" si="91"/>
        <v>2.4483293633950478E-12</v>
      </c>
      <c r="BG79" s="22">
        <f t="shared" si="61"/>
        <v>4.566883036574213E-12</v>
      </c>
      <c r="BH79" s="62">
        <f t="shared" si="62"/>
        <v>293.33333333333786</v>
      </c>
      <c r="BI79" s="62">
        <f ca="1">AVERAGE(OFFSET($BH$3,0,0,'Données projet'!$E$11+1,1))-AVERAGE(OFFSET($H$3,0,0,'Données projet'!$E$11+1,1))</f>
        <v>321.23599968992932</v>
      </c>
      <c r="BJ79" s="62">
        <f t="shared" si="92"/>
        <v>388.05195847800502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0.73475313021923694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4.7874191595012011E-6</v>
      </c>
      <c r="BS79" s="24">
        <f t="shared" si="63"/>
        <v>0.73475791763839648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</v>
      </c>
      <c r="N80" s="14">
        <f>IF('Données projet'!$A$36&gt;35,N79+M80-V79,IF(A80&lt;'Données projet'!$A$36,$K$205^A80,IF(A80='Données projet'!$A$36,'Données projet'!$B$36,N79+M80-V79)))</f>
        <v>153</v>
      </c>
      <c r="O80" s="14">
        <f>N80*VLOOKUP('Données projet'!$B$9,Paramètres!$A$1:$I$89,3,0)*VLOOKUP('Données projet'!$B$9,Paramètres!$A$1:$I$89,5,0)</f>
        <v>138.43440000000001</v>
      </c>
      <c r="P80" s="14">
        <f t="shared" si="87"/>
        <v>35.938114113553581</v>
      </c>
      <c r="Q80" s="22">
        <f t="shared" si="54"/>
        <v>303.69879541443919</v>
      </c>
      <c r="R80" s="62">
        <f t="shared" si="55"/>
        <v>597.0321287477725</v>
      </c>
      <c r="S80" s="62">
        <f ca="1">AVERAGE(OFFSET($R$3,0,0,'Données projet'!$E$9+1,1))-AVERAGE(OFFSET($H$3,0,0,'Données projet'!$E$9+1,1))</f>
        <v>329.14247505779747</v>
      </c>
      <c r="T80" s="62">
        <f t="shared" si="88"/>
        <v>199.43308683696642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</v>
      </c>
      <c r="AI80" s="14">
        <f>IF('Données projet'!$A$62&gt;35,AI79+AH80-AQ79,IF(A80&lt;'Données projet'!$A$62,$AF$205^A80,IF(A80='Données projet'!$A$62,'Données projet'!$B$62,AI79+AH80-AQ79)))</f>
        <v>153</v>
      </c>
      <c r="AJ80" s="14">
        <f>AI80*VLOOKUP('Données projet'!$B$10,Paramètres!$A$1:$I$89,3,0)*VLOOKUP('Données projet'!$B$10,Paramètres!$A$1:$I$89,5,0)</f>
        <v>155.142</v>
      </c>
      <c r="AK80" s="14">
        <f t="shared" si="89"/>
        <v>39.744821439017343</v>
      </c>
      <c r="AL80" s="22">
        <f t="shared" si="58"/>
        <v>339.42788067295515</v>
      </c>
      <c r="AM80" s="62">
        <f t="shared" si="59"/>
        <v>632.76121400628847</v>
      </c>
      <c r="AN80" s="62">
        <f ca="1">AVERAGE(OFFSET($AM$3,0,0,'Données projet'!$E$10+1,1))-AVERAGE(OFFSET($H$3,0,0,'Données projet'!$E$10+1,1))</f>
        <v>363.99473967460347</v>
      </c>
      <c r="AO80" s="62">
        <f t="shared" si="90"/>
        <v>218.5520645293999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1.9895196601282805E-13</v>
      </c>
      <c r="BE80" s="14">
        <f>BD80*VLOOKUP('Données projet'!$B$11,Paramètres!$A$1:$I$89,3,0)*VLOOKUP('Données projet'!$B$11,Paramètres!$A$1:$I$89,5,0)</f>
        <v>1.738044375088066E-13</v>
      </c>
      <c r="BF80" s="14">
        <f t="shared" si="91"/>
        <v>2.4483293633950478E-12</v>
      </c>
      <c r="BG80" s="22">
        <f t="shared" si="61"/>
        <v>4.566883036574213E-12</v>
      </c>
      <c r="BH80" s="62">
        <f t="shared" si="62"/>
        <v>293.33333333333786</v>
      </c>
      <c r="BI80" s="62">
        <f ca="1">AVERAGE(OFFSET($BH$3,0,0,'Données projet'!$E$11+1,1))-AVERAGE(OFFSET($H$3,0,0,'Données projet'!$E$11+1,1))</f>
        <v>321.23599968992932</v>
      </c>
      <c r="BJ80" s="62">
        <f t="shared" si="92"/>
        <v>388.05195847800502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0.72034506949079546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3.3852165520657011E-6</v>
      </c>
      <c r="BS80" s="24">
        <f t="shared" si="63"/>
        <v>0.72034845470734754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</v>
      </c>
      <c r="N81" s="14">
        <f>IF('Données projet'!$A$36&gt;35,N80+M81-V80,IF(A81&lt;'Données projet'!$A$36,$K$205^A81,IF(A81='Données projet'!$A$36,'Données projet'!$B$36,N80+M81-V80)))</f>
        <v>158</v>
      </c>
      <c r="O81" s="14">
        <f>N81*VLOOKUP('Données projet'!$B$9,Paramètres!$A$1:$I$89,3,0)*VLOOKUP('Données projet'!$B$9,Paramètres!$A$1:$I$89,5,0)</f>
        <v>142.95840000000001</v>
      </c>
      <c r="P81" s="14">
        <f t="shared" si="87"/>
        <v>36.973906370811264</v>
      </c>
      <c r="Q81" s="22">
        <f t="shared" si="54"/>
        <v>313.38210026249629</v>
      </c>
      <c r="R81" s="62">
        <f t="shared" si="55"/>
        <v>606.71543359582961</v>
      </c>
      <c r="S81" s="62">
        <f ca="1">AVERAGE(OFFSET($R$3,0,0,'Données projet'!$E$9+1,1))-AVERAGE(OFFSET($H$3,0,0,'Données projet'!$E$9+1,1))</f>
        <v>329.14247505779747</v>
      </c>
      <c r="T81" s="62">
        <f t="shared" si="88"/>
        <v>199.43308683696642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</v>
      </c>
      <c r="AI81" s="14">
        <f>IF('Données projet'!$A$62&gt;35,AI80+AH81-AQ80,IF(A81&lt;'Données projet'!$A$62,$AF$205^A81,IF(A81='Données projet'!$A$62,'Données projet'!$B$62,AI80+AH81-AQ80)))</f>
        <v>158</v>
      </c>
      <c r="AJ81" s="14">
        <f>AI81*VLOOKUP('Données projet'!$B$10,Paramètres!$A$1:$I$89,3,0)*VLOOKUP('Données projet'!$B$10,Paramètres!$A$1:$I$89,5,0)</f>
        <v>160.21200000000002</v>
      </c>
      <c r="AK81" s="14">
        <f t="shared" si="89"/>
        <v>40.890328912852695</v>
      </c>
      <c r="AL81" s="22">
        <f t="shared" si="58"/>
        <v>350.25322285655176</v>
      </c>
      <c r="AM81" s="62">
        <f t="shared" si="59"/>
        <v>643.58655618988507</v>
      </c>
      <c r="AN81" s="62">
        <f ca="1">AVERAGE(OFFSET($AM$3,0,0,'Données projet'!$E$10+1,1))-AVERAGE(OFFSET($H$3,0,0,'Données projet'!$E$10+1,1))</f>
        <v>363.99473967460347</v>
      </c>
      <c r="AO81" s="62">
        <f t="shared" si="90"/>
        <v>218.5520645293999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1.9895196601282805E-13</v>
      </c>
      <c r="BE81" s="14">
        <f>BD81*VLOOKUP('Données projet'!$B$11,Paramètres!$A$1:$I$89,3,0)*VLOOKUP('Données projet'!$B$11,Paramètres!$A$1:$I$89,5,0)</f>
        <v>1.738044375088066E-13</v>
      </c>
      <c r="BF81" s="14">
        <f t="shared" si="91"/>
        <v>2.4483293633950478E-12</v>
      </c>
      <c r="BG81" s="22">
        <f t="shared" si="61"/>
        <v>4.566883036574213E-12</v>
      </c>
      <c r="BH81" s="62">
        <f t="shared" si="62"/>
        <v>293.33333333333786</v>
      </c>
      <c r="BI81" s="62">
        <f ca="1">AVERAGE(OFFSET($BH$3,0,0,'Données projet'!$E$11+1,1))-AVERAGE(OFFSET($H$3,0,0,'Données projet'!$E$11+1,1))</f>
        <v>321.23599968992932</v>
      </c>
      <c r="BJ81" s="62">
        <f t="shared" si="92"/>
        <v>388.05195847800502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0.70621954204518944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2.3937095797506005E-6</v>
      </c>
      <c r="BS81" s="24">
        <f t="shared" si="63"/>
        <v>0.70622193575476921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</v>
      </c>
      <c r="N82" s="14">
        <f>IF('Données projet'!$A$36&gt;35,N81+M82-V81,IF(A82&lt;'Données projet'!$A$36,$K$205^A82,IF(A82='Données projet'!$A$36,'Données projet'!$B$36,N81+M82-V81)))</f>
        <v>163</v>
      </c>
      <c r="O82" s="14">
        <f>N82*VLOOKUP('Données projet'!$B$9,Paramètres!$A$1:$I$89,3,0)*VLOOKUP('Données projet'!$B$9,Paramètres!$A$1:$I$89,5,0)</f>
        <v>147.48239999999998</v>
      </c>
      <c r="P82" s="14">
        <f t="shared" si="87"/>
        <v>38.005889588171215</v>
      </c>
      <c r="Q82" s="22">
        <f t="shared" si="54"/>
        <v>323.0587710327315</v>
      </c>
      <c r="R82" s="62">
        <f t="shared" si="55"/>
        <v>616.39210436606481</v>
      </c>
      <c r="S82" s="62">
        <f ca="1">AVERAGE(OFFSET($R$3,0,0,'Données projet'!$E$9+1,1))-AVERAGE(OFFSET($H$3,0,0,'Données projet'!$E$9+1,1))</f>
        <v>329.14247505779747</v>
      </c>
      <c r="T82" s="62">
        <f t="shared" si="88"/>
        <v>199.43308683696642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</v>
      </c>
      <c r="AI82" s="14">
        <f>IF('Données projet'!$A$62&gt;35,AI81+AH82-AQ81,IF(A82&lt;'Données projet'!$A$62,$AF$205^A82,IF(A82='Données projet'!$A$62,'Données projet'!$B$62,AI81+AH82-AQ81)))</f>
        <v>163</v>
      </c>
      <c r="AJ82" s="14">
        <f>AI82*VLOOKUP('Données projet'!$B$10,Paramètres!$A$1:$I$89,3,0)*VLOOKUP('Données projet'!$B$10,Paramètres!$A$1:$I$89,5,0)</f>
        <v>165.28200000000001</v>
      </c>
      <c r="AK82" s="14">
        <f t="shared" si="89"/>
        <v>42.031623878204442</v>
      </c>
      <c r="AL82" s="22">
        <f t="shared" si="58"/>
        <v>361.07122825453939</v>
      </c>
      <c r="AM82" s="62">
        <f t="shared" si="59"/>
        <v>654.40456158787265</v>
      </c>
      <c r="AN82" s="62">
        <f ca="1">AVERAGE(OFFSET($AM$3,0,0,'Données projet'!$E$10+1,1))-AVERAGE(OFFSET($H$3,0,0,'Données projet'!$E$10+1,1))</f>
        <v>363.99473967460347</v>
      </c>
      <c r="AO82" s="62">
        <f t="shared" si="90"/>
        <v>218.5520645293999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1.9895196601282805E-13</v>
      </c>
      <c r="BE82" s="14">
        <f>BD82*VLOOKUP('Données projet'!$B$11,Paramètres!$A$1:$I$89,3,0)*VLOOKUP('Données projet'!$B$11,Paramètres!$A$1:$I$89,5,0)</f>
        <v>1.738044375088066E-13</v>
      </c>
      <c r="BF82" s="14">
        <f t="shared" si="91"/>
        <v>2.4483293633950478E-12</v>
      </c>
      <c r="BG82" s="22">
        <f t="shared" si="61"/>
        <v>4.566883036574213E-12</v>
      </c>
      <c r="BH82" s="62">
        <f t="shared" si="62"/>
        <v>293.33333333333786</v>
      </c>
      <c r="BI82" s="62">
        <f ca="1">AVERAGE(OFFSET($BH$3,0,0,'Données projet'!$E$11+1,1))-AVERAGE(OFFSET($H$3,0,0,'Données projet'!$E$11+1,1))</f>
        <v>321.23599968992932</v>
      </c>
      <c r="BJ82" s="62">
        <f t="shared" si="92"/>
        <v>388.05195847800502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0.69237100757707071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1.6926082760328505E-6</v>
      </c>
      <c r="BS82" s="24">
        <f t="shared" si="63"/>
        <v>0.69237270018534669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</v>
      </c>
      <c r="N83" s="14">
        <f>IF('Données projet'!$A$36&gt;35,N82+M83-V82,IF(A83&lt;'Données projet'!$A$36,$K$205^A83,IF(A83='Données projet'!$A$36,'Données projet'!$B$36,N82+M83-V82)))</f>
        <v>168</v>
      </c>
      <c r="O83" s="14">
        <f>N83*VLOOKUP('Données projet'!$B$9,Paramètres!$A$1:$I$89,3,0)*VLOOKUP('Données projet'!$B$9,Paramètres!$A$1:$I$89,5,0)</f>
        <v>152.00640000000001</v>
      </c>
      <c r="P83" s="14">
        <f t="shared" si="87"/>
        <v>39.03419401656145</v>
      </c>
      <c r="Q83" s="22">
        <f t="shared" si="54"/>
        <v>332.72903457884451</v>
      </c>
      <c r="R83" s="62">
        <f t="shared" si="55"/>
        <v>626.06236791217782</v>
      </c>
      <c r="S83" s="62">
        <f ca="1">AVERAGE(OFFSET($R$3,0,0,'Données projet'!$E$9+1,1))-AVERAGE(OFFSET($H$3,0,0,'Données projet'!$E$9+1,1))</f>
        <v>329.14247505779747</v>
      </c>
      <c r="T83" s="62">
        <f t="shared" si="88"/>
        <v>199.43308683696642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</v>
      </c>
      <c r="AI83" s="14">
        <f>IF('Données projet'!$A$62&gt;35,AI82+AH83-AQ82,IF(A83&lt;'Données projet'!$A$62,$AF$205^A83,IF(A83='Données projet'!$A$62,'Données projet'!$B$62,AI82+AH83-AQ82)))</f>
        <v>168</v>
      </c>
      <c r="AJ83" s="14">
        <f>AI83*VLOOKUP('Données projet'!$B$10,Paramètres!$A$1:$I$89,3,0)*VLOOKUP('Données projet'!$B$10,Paramètres!$A$1:$I$89,5,0)</f>
        <v>170.352</v>
      </c>
      <c r="AK83" s="14">
        <f t="shared" si="89"/>
        <v>43.168850382694451</v>
      </c>
      <c r="AL83" s="22">
        <f t="shared" si="58"/>
        <v>371.88214774985948</v>
      </c>
      <c r="AM83" s="62">
        <f t="shared" si="59"/>
        <v>665.2154810831928</v>
      </c>
      <c r="AN83" s="62">
        <f ca="1">AVERAGE(OFFSET($AM$3,0,0,'Données projet'!$E$10+1,1))-AVERAGE(OFFSET($H$3,0,0,'Données projet'!$E$10+1,1))</f>
        <v>363.99473967460347</v>
      </c>
      <c r="AO83" s="62">
        <f t="shared" si="90"/>
        <v>218.5520645293999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1.9895196601282805E-13</v>
      </c>
      <c r="BE83" s="14">
        <f>BD83*VLOOKUP('Données projet'!$B$11,Paramètres!$A$1:$I$89,3,0)*VLOOKUP('Données projet'!$B$11,Paramètres!$A$1:$I$89,5,0)</f>
        <v>1.738044375088066E-13</v>
      </c>
      <c r="BF83" s="14">
        <f t="shared" si="91"/>
        <v>2.4483293633950478E-12</v>
      </c>
      <c r="BG83" s="22">
        <f t="shared" si="61"/>
        <v>4.566883036574213E-12</v>
      </c>
      <c r="BH83" s="62">
        <f t="shared" si="62"/>
        <v>293.33333333333786</v>
      </c>
      <c r="BI83" s="62">
        <f ca="1">AVERAGE(OFFSET($BH$3,0,0,'Données projet'!$E$11+1,1))-AVERAGE(OFFSET($H$3,0,0,'Données projet'!$E$11+1,1))</f>
        <v>321.23599968992932</v>
      </c>
      <c r="BJ83" s="62">
        <f t="shared" si="92"/>
        <v>388.05195847800502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0.67879403442309982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1.1968547898753003E-6</v>
      </c>
      <c r="BS83" s="24">
        <f t="shared" si="63"/>
        <v>0.67879523127788965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>
        <f>VLOOKUP(A84,'Données projet'!$A$35:$I$55,2,0)</f>
        <v>173</v>
      </c>
      <c r="L84" s="13">
        <f>VLOOKUP(A84,'Données projet'!$A$35:$I$55,9,0)</f>
        <v>5</v>
      </c>
      <c r="M84" s="13">
        <f t="array" ref="M84">INDEX(L:L,MIN(IF(ISNUMBER(L84:L280),ROW(L84:L280),"")))</f>
        <v>5</v>
      </c>
      <c r="N84" s="14">
        <f>IF('Données projet'!$A$36&gt;35,N83+M84-V83,IF(A84&lt;'Données projet'!$A$36,$K$205^A84,IF(A84='Données projet'!$A$36,'Données projet'!$B$36,N83+M84-V83)))</f>
        <v>173</v>
      </c>
      <c r="O84" s="14">
        <f>N84*VLOOKUP('Données projet'!$B$9,Paramètres!$A$1:$I$89,3,0)*VLOOKUP('Données projet'!$B$9,Paramètres!$A$1:$I$89,5,0)</f>
        <v>156.53039999999999</v>
      </c>
      <c r="P84" s="14">
        <f t="shared" si="87"/>
        <v>40.058941713182037</v>
      </c>
      <c r="Q84" s="22">
        <f t="shared" si="54"/>
        <v>342.393103483792</v>
      </c>
      <c r="R84" s="62">
        <f t="shared" si="55"/>
        <v>635.72643681712532</v>
      </c>
      <c r="S84" s="62">
        <f ca="1">AVERAGE(OFFSET($R$3,0,0,'Données projet'!$E$9+1,1))-AVERAGE(OFFSET($H$3,0,0,'Données projet'!$E$9+1,1))</f>
        <v>329.14247505779747</v>
      </c>
      <c r="T84" s="62">
        <f t="shared" si="88"/>
        <v>199.43308683696642</v>
      </c>
      <c r="U84" s="16">
        <f>IF(ISNA(VLOOKUP(A84,'Données projet'!$A$35:$I$55,3,0)),0,VLOOKUP(A84,'Données projet'!$A$35:$I$55,3,0))</f>
        <v>6</v>
      </c>
      <c r="V84" s="16">
        <f>IF(ISNA(VLOOKUP(A84,'Données projet'!$A$35:$I$55,4,0)),0,VLOOKUP(A84,'Données projet'!$A$35:$I$55,4,0))</f>
        <v>31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>
        <f>VLOOKUP(A84,'Données projet'!$A$61:$I$81,2,0)</f>
        <v>173</v>
      </c>
      <c r="AG84" s="13">
        <f>VLOOKUP(A84,'Données projet'!$A$61:$I$81,9,0)</f>
        <v>5</v>
      </c>
      <c r="AH84" s="13">
        <f t="array" ref="AH84">INDEX(AG:AG,MIN(IF(ISNUMBER(AG84:AG280),ROW(AG84:AG280),"")))</f>
        <v>5</v>
      </c>
      <c r="AI84" s="14">
        <f>IF('Données projet'!$A$62&gt;35,AI83+AH84-AQ83,IF(A84&lt;'Données projet'!$A$62,$AF$205^A84,IF(A84='Données projet'!$A$62,'Données projet'!$B$62,AI83+AH84-AQ83)))</f>
        <v>173</v>
      </c>
      <c r="AJ84" s="14">
        <f>AI84*VLOOKUP('Données projet'!$B$10,Paramètres!$A$1:$I$89,3,0)*VLOOKUP('Données projet'!$B$10,Paramètres!$A$1:$I$89,5,0)</f>
        <v>175.422</v>
      </c>
      <c r="AK84" s="14">
        <f t="shared" si="89"/>
        <v>44.302143412304737</v>
      </c>
      <c r="AL84" s="22">
        <f t="shared" si="58"/>
        <v>382.68621644309741</v>
      </c>
      <c r="AM84" s="62">
        <f t="shared" si="59"/>
        <v>676.01954977643072</v>
      </c>
      <c r="AN84" s="62">
        <f ca="1">AVERAGE(OFFSET($AM$3,0,0,'Données projet'!$E$10+1,1))-AVERAGE(OFFSET($H$3,0,0,'Données projet'!$E$10+1,1))</f>
        <v>363.99473967460347</v>
      </c>
      <c r="AO84" s="62">
        <f t="shared" si="90"/>
        <v>218.5520645293999</v>
      </c>
      <c r="AP84" s="16">
        <f>IF(ISNA(VLOOKUP(A84,'Données projet'!$A$61:$I$81,3,0)),0,VLOOKUP(A84,'Données projet'!$A$61:$I$81,3,0))</f>
        <v>6</v>
      </c>
      <c r="AQ84" s="16">
        <f>IF(ISNA(VLOOKUP(A84,'Données projet'!$A$61:$I$81,4,0)),0,VLOOKUP(A84,'Données projet'!$A$61:$I$81,4,0))</f>
        <v>31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1.9895196601282805E-13</v>
      </c>
      <c r="BE84" s="14">
        <f>BD84*VLOOKUP('Données projet'!$B$11,Paramètres!$A$1:$I$89,3,0)*VLOOKUP('Données projet'!$B$11,Paramètres!$A$1:$I$89,5,0)</f>
        <v>1.738044375088066E-13</v>
      </c>
      <c r="BF84" s="14">
        <f t="shared" si="91"/>
        <v>2.4483293633950478E-12</v>
      </c>
      <c r="BG84" s="22">
        <f t="shared" si="61"/>
        <v>4.566883036574213E-12</v>
      </c>
      <c r="BH84" s="62">
        <f t="shared" si="62"/>
        <v>293.33333333333786</v>
      </c>
      <c r="BI84" s="62">
        <f ca="1">AVERAGE(OFFSET($BH$3,0,0,'Données projet'!$E$11+1,1))-AVERAGE(OFFSET($H$3,0,0,'Données projet'!$E$11+1,1))</f>
        <v>321.23599968992932</v>
      </c>
      <c r="BJ84" s="62">
        <f t="shared" si="92"/>
        <v>388.05195847800502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0.66548329743154244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8.4630413801642527E-7</v>
      </c>
      <c r="BS84" s="24">
        <f t="shared" si="63"/>
        <v>0.66548414373568043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4.666666666666667</v>
      </c>
      <c r="N85" s="14">
        <f>IF('Données projet'!$A$36&gt;35,N84+M85-V84,IF(A85&lt;'Données projet'!$A$36,$K$205^A85,IF(A85='Données projet'!$A$36,'Données projet'!$B$36,N84+M85-V84)))</f>
        <v>146.66666666666666</v>
      </c>
      <c r="O85" s="14">
        <f>N85*VLOOKUP('Données projet'!$B$9,Paramètres!$A$1:$I$89,3,0)*VLOOKUP('Données projet'!$B$9,Paramètres!$A$1:$I$89,5,0)</f>
        <v>132.70399999999998</v>
      </c>
      <c r="P85" s="14">
        <f t="shared" si="87"/>
        <v>34.620423755923817</v>
      </c>
      <c r="Q85" s="22">
        <f t="shared" si="54"/>
        <v>291.42337137490063</v>
      </c>
      <c r="R85" s="62">
        <f t="shared" si="55"/>
        <v>584.75670470823388</v>
      </c>
      <c r="S85" s="62">
        <f ca="1">AVERAGE(OFFSET($R$3,0,0,'Données projet'!$E$9+1,1))-AVERAGE(OFFSET($H$3,0,0,'Données projet'!$E$9+1,1))</f>
        <v>329.14247505779747</v>
      </c>
      <c r="T85" s="62">
        <f t="shared" si="88"/>
        <v>199.43308683696642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4.666666666666667</v>
      </c>
      <c r="AI85" s="14">
        <f>IF('Données projet'!$A$62&gt;35,AI84+AH85-AQ84,IF(A85&lt;'Données projet'!$A$62,$AF$205^A85,IF(A85='Données projet'!$A$62,'Données projet'!$B$62,AI84+AH85-AQ84)))</f>
        <v>146.66666666666666</v>
      </c>
      <c r="AJ85" s="14">
        <f>AI85*VLOOKUP('Données projet'!$B$10,Paramètres!$A$1:$I$89,3,0)*VLOOKUP('Données projet'!$B$10,Paramètres!$A$1:$I$89,5,0)</f>
        <v>148.72</v>
      </c>
      <c r="AK85" s="14">
        <f t="shared" si="89"/>
        <v>38.287556101987391</v>
      </c>
      <c r="AL85" s="22">
        <f t="shared" si="58"/>
        <v>325.70482687762802</v>
      </c>
      <c r="AM85" s="62">
        <f t="shared" si="59"/>
        <v>619.03816021096134</v>
      </c>
      <c r="AN85" s="62">
        <f ca="1">AVERAGE(OFFSET($AM$3,0,0,'Données projet'!$E$10+1,1))-AVERAGE(OFFSET($H$3,0,0,'Données projet'!$E$10+1,1))</f>
        <v>363.99473967460347</v>
      </c>
      <c r="AO85" s="62">
        <f t="shared" si="90"/>
        <v>218.5520645293999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1.9895196601282805E-13</v>
      </c>
      <c r="BE85" s="14">
        <f>BD85*VLOOKUP('Données projet'!$B$11,Paramètres!$A$1:$I$89,3,0)*VLOOKUP('Données projet'!$B$11,Paramètres!$A$1:$I$89,5,0)</f>
        <v>1.738044375088066E-13</v>
      </c>
      <c r="BF85" s="14">
        <f t="shared" si="91"/>
        <v>2.4483293633950478E-12</v>
      </c>
      <c r="BG85" s="22">
        <f t="shared" si="61"/>
        <v>4.566883036574213E-12</v>
      </c>
      <c r="BH85" s="62">
        <f t="shared" si="62"/>
        <v>293.33333333333786</v>
      </c>
      <c r="BI85" s="62">
        <f ca="1">AVERAGE(OFFSET($BH$3,0,0,'Données projet'!$E$11+1,1))-AVERAGE(OFFSET($H$3,0,0,'Données projet'!$E$11+1,1))</f>
        <v>321.23599968992932</v>
      </c>
      <c r="BJ85" s="62">
        <f t="shared" si="92"/>
        <v>388.05195847800502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0.65243357587364159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5.9842739493765014E-7</v>
      </c>
      <c r="BS85" s="24">
        <f t="shared" si="63"/>
        <v>0.65243417430103656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4.666666666666667</v>
      </c>
      <c r="N86" s="14">
        <f>IF('Données projet'!$A$36&gt;35,N85+M86-V85,IF(A86&lt;'Données projet'!$A$36,$K$205^A86,IF(A86='Données projet'!$A$36,'Données projet'!$B$36,N85+M86-V85)))</f>
        <v>151.33333333333331</v>
      </c>
      <c r="O86" s="14">
        <f>N86*VLOOKUP('Données projet'!$B$9,Paramètres!$A$1:$I$89,3,0)*VLOOKUP('Données projet'!$B$9,Paramètres!$A$1:$I$89,5,0)</f>
        <v>136.92639999999997</v>
      </c>
      <c r="P86" s="14">
        <f t="shared" si="87"/>
        <v>35.591979778937876</v>
      </c>
      <c r="Q86" s="22">
        <f t="shared" si="54"/>
        <v>300.46951144831678</v>
      </c>
      <c r="R86" s="62">
        <f t="shared" si="55"/>
        <v>593.80284478165004</v>
      </c>
      <c r="S86" s="62">
        <f ca="1">AVERAGE(OFFSET($R$3,0,0,'Données projet'!$E$9+1,1))-AVERAGE(OFFSET($H$3,0,0,'Données projet'!$E$9+1,1))</f>
        <v>329.14247505779747</v>
      </c>
      <c r="T86" s="62">
        <f t="shared" si="88"/>
        <v>199.43308683696642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4.666666666666667</v>
      </c>
      <c r="AI86" s="14">
        <f>IF('Données projet'!$A$62&gt;35,AI85+AH86-AQ85,IF(A86&lt;'Données projet'!$A$62,$AF$205^A86,IF(A86='Données projet'!$A$62,'Données projet'!$B$62,AI85+AH86-AQ85)))</f>
        <v>151.33333333333331</v>
      </c>
      <c r="AJ86" s="14">
        <f>AI86*VLOOKUP('Données projet'!$B$10,Paramètres!$A$1:$I$89,3,0)*VLOOKUP('Données projet'!$B$10,Paramètres!$A$1:$I$89,5,0)</f>
        <v>153.452</v>
      </c>
      <c r="AK86" s="14">
        <f t="shared" si="89"/>
        <v>39.362023185337527</v>
      </c>
      <c r="AL86" s="22">
        <f t="shared" si="58"/>
        <v>335.81775704779619</v>
      </c>
      <c r="AM86" s="62">
        <f t="shared" si="59"/>
        <v>629.15109038112951</v>
      </c>
      <c r="AN86" s="62">
        <f ca="1">AVERAGE(OFFSET($AM$3,0,0,'Données projet'!$E$10+1,1))-AVERAGE(OFFSET($H$3,0,0,'Données projet'!$E$10+1,1))</f>
        <v>363.99473967460347</v>
      </c>
      <c r="AO86" s="62">
        <f t="shared" si="90"/>
        <v>218.5520645293999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1.9895196601282805E-13</v>
      </c>
      <c r="BE86" s="14">
        <f>BD86*VLOOKUP('Données projet'!$B$11,Paramètres!$A$1:$I$89,3,0)*VLOOKUP('Données projet'!$B$11,Paramètres!$A$1:$I$89,5,0)</f>
        <v>1.738044375088066E-13</v>
      </c>
      <c r="BF86" s="14">
        <f t="shared" si="91"/>
        <v>2.4483293633950478E-12</v>
      </c>
      <c r="BG86" s="22">
        <f t="shared" si="61"/>
        <v>4.566883036574213E-12</v>
      </c>
      <c r="BH86" s="62">
        <f t="shared" si="62"/>
        <v>293.33333333333786</v>
      </c>
      <c r="BI86" s="62">
        <f ca="1">AVERAGE(OFFSET($BH$3,0,0,'Données projet'!$E$11+1,1))-AVERAGE(OFFSET($H$3,0,0,'Données projet'!$E$11+1,1))</f>
        <v>321.23599968992932</v>
      </c>
      <c r="BJ86" s="62">
        <f t="shared" si="92"/>
        <v>388.05195847800502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0.63963975139594698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4.2315206900821263E-7</v>
      </c>
      <c r="BS86" s="24">
        <f t="shared" si="63"/>
        <v>0.63964017454801603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4.666666666666667</v>
      </c>
      <c r="N87" s="14">
        <f>IF('Données projet'!$A$36&gt;35,N86+M87-V86,IF(A87&lt;'Données projet'!$A$36,$K$205^A87,IF(A87='Données projet'!$A$36,'Données projet'!$B$36,N86+M87-V86)))</f>
        <v>155.99999999999997</v>
      </c>
      <c r="O87" s="14">
        <f>N87*VLOOKUP('Données projet'!$B$9,Paramètres!$A$1:$I$89,3,0)*VLOOKUP('Données projet'!$B$9,Paramètres!$A$1:$I$89,5,0)</f>
        <v>141.14879999999997</v>
      </c>
      <c r="P87" s="14">
        <f t="shared" si="87"/>
        <v>36.560054140504484</v>
      </c>
      <c r="Q87" s="22">
        <f t="shared" si="54"/>
        <v>309.50958762804527</v>
      </c>
      <c r="R87" s="62">
        <f t="shared" si="55"/>
        <v>602.84292096137858</v>
      </c>
      <c r="S87" s="62">
        <f ca="1">AVERAGE(OFFSET($R$3,0,0,'Données projet'!$E$9+1,1))-AVERAGE(OFFSET($H$3,0,0,'Données projet'!$E$9+1,1))</f>
        <v>329.14247505779747</v>
      </c>
      <c r="T87" s="62">
        <f t="shared" si="88"/>
        <v>199.43308683696642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4.666666666666667</v>
      </c>
      <c r="AI87" s="14">
        <f>IF('Données projet'!$A$62&gt;35,AI86+AH87-AQ86,IF(A87&lt;'Données projet'!$A$62,$AF$205^A87,IF(A87='Données projet'!$A$62,'Données projet'!$B$62,AI86+AH87-AQ86)))</f>
        <v>155.99999999999997</v>
      </c>
      <c r="AJ87" s="14">
        <f>AI87*VLOOKUP('Données projet'!$B$10,Paramètres!$A$1:$I$89,3,0)*VLOOKUP('Données projet'!$B$10,Paramètres!$A$1:$I$89,5,0)</f>
        <v>158.184</v>
      </c>
      <c r="AK87" s="14">
        <f t="shared" si="89"/>
        <v>40.432639815875881</v>
      </c>
      <c r="AL87" s="22">
        <f t="shared" si="58"/>
        <v>345.92398101265053</v>
      </c>
      <c r="AM87" s="62">
        <f t="shared" si="59"/>
        <v>639.25731434598379</v>
      </c>
      <c r="AN87" s="62">
        <f ca="1">AVERAGE(OFFSET($AM$3,0,0,'Données projet'!$E$10+1,1))-AVERAGE(OFFSET($H$3,0,0,'Données projet'!$E$10+1,1))</f>
        <v>363.99473967460347</v>
      </c>
      <c r="AO87" s="62">
        <f t="shared" si="90"/>
        <v>218.5520645293999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1.9895196601282805E-13</v>
      </c>
      <c r="BE87" s="14">
        <f>BD87*VLOOKUP('Données projet'!$B$11,Paramètres!$A$1:$I$89,3,0)*VLOOKUP('Données projet'!$B$11,Paramètres!$A$1:$I$89,5,0)</f>
        <v>1.738044375088066E-13</v>
      </c>
      <c r="BF87" s="14">
        <f t="shared" si="91"/>
        <v>2.4483293633950478E-12</v>
      </c>
      <c r="BG87" s="22">
        <f t="shared" si="61"/>
        <v>4.566883036574213E-12</v>
      </c>
      <c r="BH87" s="62">
        <f t="shared" si="62"/>
        <v>293.33333333333786</v>
      </c>
      <c r="BI87" s="62">
        <f ca="1">AVERAGE(OFFSET($BH$3,0,0,'Données projet'!$E$11+1,1))-AVERAGE(OFFSET($H$3,0,0,'Données projet'!$E$11+1,1))</f>
        <v>321.23599968992932</v>
      </c>
      <c r="BJ87" s="62">
        <f t="shared" si="92"/>
        <v>388.05195847800502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0.62709680601279749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2.9921369746882507E-7</v>
      </c>
      <c r="BS87" s="24">
        <f t="shared" si="63"/>
        <v>0.62709710522649498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4.666666666666667</v>
      </c>
      <c r="N88" s="14">
        <f>IF('Données projet'!$A$36&gt;35,N87+M88-V87,IF(A88&lt;'Données projet'!$A$36,$K$205^A88,IF(A88='Données projet'!$A$36,'Données projet'!$B$36,N87+M88-V87)))</f>
        <v>160.66666666666663</v>
      </c>
      <c r="O88" s="14">
        <f>N88*VLOOKUP('Données projet'!$B$9,Paramètres!$A$1:$I$89,3,0)*VLOOKUP('Données projet'!$B$9,Paramètres!$A$1:$I$89,5,0)</f>
        <v>145.37119999999996</v>
      </c>
      <c r="P88" s="14">
        <f t="shared" si="87"/>
        <v>37.524762949124401</v>
      </c>
      <c r="Q88" s="22">
        <f t="shared" si="54"/>
        <v>318.54380213639161</v>
      </c>
      <c r="R88" s="62">
        <f t="shared" si="55"/>
        <v>611.87713546972486</v>
      </c>
      <c r="S88" s="62">
        <f ca="1">AVERAGE(OFFSET($R$3,0,0,'Données projet'!$E$9+1,1))-AVERAGE(OFFSET($H$3,0,0,'Données projet'!$E$9+1,1))</f>
        <v>329.14247505779747</v>
      </c>
      <c r="T88" s="62">
        <f t="shared" si="88"/>
        <v>199.43308683696642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4.666666666666667</v>
      </c>
      <c r="AI88" s="14">
        <f>IF('Données projet'!$A$62&gt;35,AI87+AH88-AQ87,IF(A88&lt;'Données projet'!$A$62,$AF$205^A88,IF(A88='Données projet'!$A$62,'Données projet'!$B$62,AI87+AH88-AQ87)))</f>
        <v>160.66666666666663</v>
      </c>
      <c r="AJ88" s="14">
        <f>AI88*VLOOKUP('Données projet'!$B$10,Paramètres!$A$1:$I$89,3,0)*VLOOKUP('Données projet'!$B$10,Paramètres!$A$1:$I$89,5,0)</f>
        <v>162.91599999999997</v>
      </c>
      <c r="AK88" s="14">
        <f t="shared" si="89"/>
        <v>41.499534400775282</v>
      </c>
      <c r="AL88" s="22">
        <f t="shared" si="58"/>
        <v>356.02372241468356</v>
      </c>
      <c r="AM88" s="62">
        <f t="shared" si="59"/>
        <v>649.35705574801682</v>
      </c>
      <c r="AN88" s="62">
        <f ca="1">AVERAGE(OFFSET($AM$3,0,0,'Données projet'!$E$10+1,1))-AVERAGE(OFFSET($H$3,0,0,'Données projet'!$E$10+1,1))</f>
        <v>363.99473967460347</v>
      </c>
      <c r="AO88" s="62">
        <f t="shared" si="90"/>
        <v>218.5520645293999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1.9895196601282805E-13</v>
      </c>
      <c r="BE88" s="14">
        <f>BD88*VLOOKUP('Données projet'!$B$11,Paramètres!$A$1:$I$89,3,0)*VLOOKUP('Données projet'!$B$11,Paramètres!$A$1:$I$89,5,0)</f>
        <v>1.738044375088066E-13</v>
      </c>
      <c r="BF88" s="14">
        <f t="shared" si="91"/>
        <v>2.4483293633950478E-12</v>
      </c>
      <c r="BG88" s="22">
        <f t="shared" si="61"/>
        <v>4.566883036574213E-12</v>
      </c>
      <c r="BH88" s="62">
        <f t="shared" si="62"/>
        <v>293.33333333333786</v>
      </c>
      <c r="BI88" s="62">
        <f ca="1">AVERAGE(OFFSET($BH$3,0,0,'Données projet'!$E$11+1,1))-AVERAGE(OFFSET($H$3,0,0,'Données projet'!$E$11+1,1))</f>
        <v>321.23599968992932</v>
      </c>
      <c r="BJ88" s="62">
        <f t="shared" si="92"/>
        <v>388.05195847800502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0.61479982013817036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2.1157603450410632E-7</v>
      </c>
      <c r="BS88" s="24">
        <f t="shared" si="63"/>
        <v>0.61480003171420483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4.666666666666667</v>
      </c>
      <c r="N89" s="14">
        <f>IF('Données projet'!$A$36&gt;35,N88+M89-V88,IF(A89&lt;'Données projet'!$A$36,$K$205^A89,IF(A89='Données projet'!$A$36,'Données projet'!$B$36,N88+M89-V88)))</f>
        <v>165.33333333333329</v>
      </c>
      <c r="O89" s="14">
        <f>N89*VLOOKUP('Données projet'!$B$9,Paramètres!$A$1:$I$89,3,0)*VLOOKUP('Données projet'!$B$9,Paramètres!$A$1:$I$89,5,0)</f>
        <v>149.59359999999995</v>
      </c>
      <c r="P89" s="14">
        <f t="shared" si="87"/>
        <v>38.486215184871355</v>
      </c>
      <c r="Q89" s="22">
        <f t="shared" si="54"/>
        <v>327.57234478031751</v>
      </c>
      <c r="R89" s="62">
        <f t="shared" si="55"/>
        <v>620.90567811365077</v>
      </c>
      <c r="S89" s="62">
        <f ca="1">AVERAGE(OFFSET($R$3,0,0,'Données projet'!$E$9+1,1))-AVERAGE(OFFSET($H$3,0,0,'Données projet'!$E$9+1,1))</f>
        <v>329.14247505779747</v>
      </c>
      <c r="T89" s="62">
        <f t="shared" si="88"/>
        <v>199.43308683696642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4.666666666666667</v>
      </c>
      <c r="AI89" s="14">
        <f>IF('Données projet'!$A$62&gt;35,AI88+AH89-AQ88,IF(A89&lt;'Données projet'!$A$62,$AF$205^A89,IF(A89='Données projet'!$A$62,'Données projet'!$B$62,AI88+AH89-AQ88)))</f>
        <v>165.33333333333329</v>
      </c>
      <c r="AJ89" s="14">
        <f>AI89*VLOOKUP('Données projet'!$B$10,Paramètres!$A$1:$I$89,3,0)*VLOOKUP('Données projet'!$B$10,Paramètres!$A$1:$I$89,5,0)</f>
        <v>167.64799999999997</v>
      </c>
      <c r="AK89" s="14">
        <f t="shared" si="89"/>
        <v>42.562827463710214</v>
      </c>
      <c r="AL89" s="22">
        <f t="shared" si="58"/>
        <v>366.11719116596186</v>
      </c>
      <c r="AM89" s="62">
        <f t="shared" si="59"/>
        <v>659.45052449929517</v>
      </c>
      <c r="AN89" s="62">
        <f ca="1">AVERAGE(OFFSET($AM$3,0,0,'Données projet'!$E$10+1,1))-AVERAGE(OFFSET($H$3,0,0,'Données projet'!$E$10+1,1))</f>
        <v>363.99473967460347</v>
      </c>
      <c r="AO89" s="62">
        <f t="shared" si="90"/>
        <v>218.5520645293999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1.9895196601282805E-13</v>
      </c>
      <c r="BE89" s="14">
        <f>BD89*VLOOKUP('Données projet'!$B$11,Paramètres!$A$1:$I$89,3,0)*VLOOKUP('Données projet'!$B$11,Paramètres!$A$1:$I$89,5,0)</f>
        <v>1.738044375088066E-13</v>
      </c>
      <c r="BF89" s="14">
        <f t="shared" si="91"/>
        <v>2.4483293633950478E-12</v>
      </c>
      <c r="BG89" s="22">
        <f t="shared" si="61"/>
        <v>4.566883036574213E-12</v>
      </c>
      <c r="BH89" s="62">
        <f t="shared" si="62"/>
        <v>293.33333333333786</v>
      </c>
      <c r="BI89" s="62">
        <f ca="1">AVERAGE(OFFSET($BH$3,0,0,'Données projet'!$E$11+1,1))-AVERAGE(OFFSET($H$3,0,0,'Données projet'!$E$11+1,1))</f>
        <v>321.23599968992932</v>
      </c>
      <c r="BJ89" s="62">
        <f t="shared" si="92"/>
        <v>388.05195847800502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0.60274397065612384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1.4960684873441253E-7</v>
      </c>
      <c r="BS89" s="24">
        <f t="shared" si="63"/>
        <v>0.60274412026297253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4.666666666666667</v>
      </c>
      <c r="N90" s="14">
        <f>IF('Données projet'!$A$36&gt;35,N89+M90-V89,IF(A90&lt;'Données projet'!$A$36,$K$205^A90,IF(A90='Données projet'!$A$36,'Données projet'!$B$36,N89+M90-V89)))</f>
        <v>169.99999999999994</v>
      </c>
      <c r="O90" s="14">
        <f>N90*VLOOKUP('Données projet'!$B$9,Paramètres!$A$1:$I$89,3,0)*VLOOKUP('Données projet'!$B$9,Paramètres!$A$1:$I$89,5,0)</f>
        <v>153.81599999999995</v>
      </c>
      <c r="P90" s="14">
        <f t="shared" si="87"/>
        <v>39.444513325737027</v>
      </c>
      <c r="Q90" s="22">
        <f t="shared" si="54"/>
        <v>336.59539404232521</v>
      </c>
      <c r="R90" s="62">
        <f t="shared" si="55"/>
        <v>629.92872737565858</v>
      </c>
      <c r="S90" s="62">
        <f ca="1">AVERAGE(OFFSET($R$3,0,0,'Données projet'!$E$9+1,1))-AVERAGE(OFFSET($H$3,0,0,'Données projet'!$E$9+1,1))</f>
        <v>329.14247505779747</v>
      </c>
      <c r="T90" s="62">
        <f t="shared" si="88"/>
        <v>199.43308683696642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4.666666666666667</v>
      </c>
      <c r="AI90" s="14">
        <f>IF('Données projet'!$A$62&gt;35,AI89+AH90-AQ89,IF(A90&lt;'Données projet'!$A$62,$AF$205^A90,IF(A90='Données projet'!$A$62,'Données projet'!$B$62,AI89+AH90-AQ89)))</f>
        <v>169.99999999999994</v>
      </c>
      <c r="AJ90" s="14">
        <f>AI90*VLOOKUP('Données projet'!$B$10,Paramètres!$A$1:$I$89,3,0)*VLOOKUP('Données projet'!$B$10,Paramètres!$A$1:$I$89,5,0)</f>
        <v>172.37999999999997</v>
      </c>
      <c r="AK90" s="14">
        <f t="shared" si="89"/>
        <v>43.622632337547088</v>
      </c>
      <c r="AL90" s="22">
        <f t="shared" si="58"/>
        <v>376.20458465456113</v>
      </c>
      <c r="AM90" s="62">
        <f t="shared" si="59"/>
        <v>669.53791798789439</v>
      </c>
      <c r="AN90" s="62">
        <f ca="1">AVERAGE(OFFSET($AM$3,0,0,'Données projet'!$E$10+1,1))-AVERAGE(OFFSET($H$3,0,0,'Données projet'!$E$10+1,1))</f>
        <v>363.99473967460347</v>
      </c>
      <c r="AO90" s="62">
        <f t="shared" si="90"/>
        <v>218.5520645293999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1.9895196601282805E-13</v>
      </c>
      <c r="BE90" s="14">
        <f>BD90*VLOOKUP('Données projet'!$B$11,Paramètres!$A$1:$I$89,3,0)*VLOOKUP('Données projet'!$B$11,Paramètres!$A$1:$I$89,5,0)</f>
        <v>1.738044375088066E-13</v>
      </c>
      <c r="BF90" s="14">
        <f t="shared" si="91"/>
        <v>2.4483293633950478E-12</v>
      </c>
      <c r="BG90" s="22">
        <f t="shared" si="61"/>
        <v>4.566883036574213E-12</v>
      </c>
      <c r="BH90" s="62">
        <f t="shared" si="62"/>
        <v>293.33333333333786</v>
      </c>
      <c r="BI90" s="62">
        <f ca="1">AVERAGE(OFFSET($BH$3,0,0,'Données projet'!$E$11+1,1))-AVERAGE(OFFSET($H$3,0,0,'Données projet'!$E$11+1,1))</f>
        <v>321.23599968992932</v>
      </c>
      <c r="BJ90" s="62">
        <f t="shared" si="92"/>
        <v>388.05195847800502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0.59092452902907822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1.0578801725205316E-7</v>
      </c>
      <c r="BS90" s="24">
        <f t="shared" si="63"/>
        <v>0.59092463481709545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4.666666666666667</v>
      </c>
      <c r="N91" s="14">
        <f>IF('Données projet'!$A$36&gt;35,N90+M91-V90,IF(A91&lt;'Données projet'!$A$36,$K$205^A91,IF(A91='Données projet'!$A$36,'Données projet'!$B$36,N90+M91-V90)))</f>
        <v>174.6666666666666</v>
      </c>
      <c r="O91" s="14">
        <f>N91*VLOOKUP('Données projet'!$B$9,Paramètres!$A$1:$I$89,3,0)*VLOOKUP('Données projet'!$B$9,Paramètres!$A$1:$I$89,5,0)</f>
        <v>158.03839999999994</v>
      </c>
      <c r="P91" s="14">
        <f t="shared" si="87"/>
        <v>40.39975390326795</v>
      </c>
      <c r="Q91" s="22">
        <f t="shared" si="54"/>
        <v>345.61311804819155</v>
      </c>
      <c r="R91" s="62">
        <f t="shared" si="55"/>
        <v>638.94645138152487</v>
      </c>
      <c r="S91" s="62">
        <f ca="1">AVERAGE(OFFSET($R$3,0,0,'Données projet'!$E$9+1,1))-AVERAGE(OFFSET($H$3,0,0,'Données projet'!$E$9+1,1))</f>
        <v>329.14247505779747</v>
      </c>
      <c r="T91" s="62">
        <f t="shared" si="88"/>
        <v>199.43308683696642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4.666666666666667</v>
      </c>
      <c r="AI91" s="14">
        <f>IF('Données projet'!$A$62&gt;35,AI90+AH91-AQ90,IF(A91&lt;'Données projet'!$A$62,$AF$205^A91,IF(A91='Données projet'!$A$62,'Données projet'!$B$62,AI90+AH91-AQ90)))</f>
        <v>174.6666666666666</v>
      </c>
      <c r="AJ91" s="14">
        <f>AI91*VLOOKUP('Données projet'!$B$10,Paramètres!$A$1:$I$89,3,0)*VLOOKUP('Données projet'!$B$10,Paramètres!$A$1:$I$89,5,0)</f>
        <v>177.11199999999994</v>
      </c>
      <c r="AK91" s="14">
        <f t="shared" si="89"/>
        <v>44.67905577883586</v>
      </c>
      <c r="AL91" s="22">
        <f t="shared" si="58"/>
        <v>386.28608881480568</v>
      </c>
      <c r="AM91" s="62">
        <f t="shared" si="59"/>
        <v>679.61942214813894</v>
      </c>
      <c r="AN91" s="62">
        <f ca="1">AVERAGE(OFFSET($AM$3,0,0,'Données projet'!$E$10+1,1))-AVERAGE(OFFSET($H$3,0,0,'Données projet'!$E$10+1,1))</f>
        <v>363.99473967460347</v>
      </c>
      <c r="AO91" s="62">
        <f t="shared" si="90"/>
        <v>218.5520645293999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1.9895196601282805E-13</v>
      </c>
      <c r="BE91" s="14">
        <f>BD91*VLOOKUP('Données projet'!$B$11,Paramètres!$A$1:$I$89,3,0)*VLOOKUP('Données projet'!$B$11,Paramètres!$A$1:$I$89,5,0)</f>
        <v>1.738044375088066E-13</v>
      </c>
      <c r="BF91" s="14">
        <f t="shared" si="91"/>
        <v>2.4483293633950478E-12</v>
      </c>
      <c r="BG91" s="22">
        <f t="shared" si="61"/>
        <v>4.566883036574213E-12</v>
      </c>
      <c r="BH91" s="62">
        <f t="shared" si="62"/>
        <v>293.33333333333786</v>
      </c>
      <c r="BI91" s="62">
        <f ca="1">AVERAGE(OFFSET($BH$3,0,0,'Données projet'!$E$11+1,1))-AVERAGE(OFFSET($H$3,0,0,'Données projet'!$E$11+1,1))</f>
        <v>321.23599968992932</v>
      </c>
      <c r="BJ91" s="62">
        <f t="shared" si="92"/>
        <v>388.05195847800502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0.57933685944319135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7.4803424367206267E-8</v>
      </c>
      <c r="BS91" s="24">
        <f t="shared" si="63"/>
        <v>0.5793369342466157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4.666666666666667</v>
      </c>
      <c r="N92" s="14">
        <f>IF('Données projet'!$A$36&gt;35,N91+M92-V91,IF(A92&lt;'Données projet'!$A$36,$K$205^A92,IF(A92='Données projet'!$A$36,'Données projet'!$B$36,N91+M92-V91)))</f>
        <v>179.33333333333326</v>
      </c>
      <c r="O92" s="14">
        <f>N92*VLOOKUP('Données projet'!$B$9,Paramètres!$A$1:$I$89,3,0)*VLOOKUP('Données projet'!$B$9,Paramètres!$A$1:$I$89,5,0)</f>
        <v>162.26079999999993</v>
      </c>
      <c r="P92" s="14">
        <f t="shared" si="87"/>
        <v>41.352027997150536</v>
      </c>
      <c r="Q92" s="22">
        <f t="shared" si="54"/>
        <v>354.62567542837041</v>
      </c>
      <c r="R92" s="62">
        <f t="shared" si="55"/>
        <v>647.95900876170367</v>
      </c>
      <c r="S92" s="62">
        <f ca="1">AVERAGE(OFFSET($R$3,0,0,'Données projet'!$E$9+1,1))-AVERAGE(OFFSET($H$3,0,0,'Données projet'!$E$9+1,1))</f>
        <v>329.14247505779747</v>
      </c>
      <c r="T92" s="62">
        <f t="shared" si="88"/>
        <v>199.43308683696642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4.666666666666667</v>
      </c>
      <c r="AI92" s="14">
        <f>IF('Données projet'!$A$62&gt;35,AI91+AH92-AQ91,IF(A92&lt;'Données projet'!$A$62,$AF$205^A92,IF(A92='Données projet'!$A$62,'Données projet'!$B$62,AI91+AH92-AQ91)))</f>
        <v>179.33333333333326</v>
      </c>
      <c r="AJ92" s="14">
        <f>AI92*VLOOKUP('Données projet'!$B$10,Paramètres!$A$1:$I$89,3,0)*VLOOKUP('Données projet'!$B$10,Paramètres!$A$1:$I$89,5,0)</f>
        <v>181.84399999999994</v>
      </c>
      <c r="AK92" s="14">
        <f t="shared" si="89"/>
        <v>45.732198514784031</v>
      </c>
      <c r="AL92" s="22">
        <f t="shared" si="58"/>
        <v>396.36187907991547</v>
      </c>
      <c r="AM92" s="62">
        <f t="shared" si="59"/>
        <v>689.69521241324878</v>
      </c>
      <c r="AN92" s="62">
        <f ca="1">AVERAGE(OFFSET($AM$3,0,0,'Données projet'!$E$10+1,1))-AVERAGE(OFFSET($H$3,0,0,'Données projet'!$E$10+1,1))</f>
        <v>363.99473967460347</v>
      </c>
      <c r="AO92" s="62">
        <f t="shared" si="90"/>
        <v>218.5520645293999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1.9895196601282805E-13</v>
      </c>
      <c r="BE92" s="14">
        <f>BD92*VLOOKUP('Données projet'!$B$11,Paramètres!$A$1:$I$89,3,0)*VLOOKUP('Données projet'!$B$11,Paramètres!$A$1:$I$89,5,0)</f>
        <v>1.738044375088066E-13</v>
      </c>
      <c r="BF92" s="14">
        <f t="shared" si="91"/>
        <v>2.4483293633950478E-12</v>
      </c>
      <c r="BG92" s="22">
        <f t="shared" si="61"/>
        <v>4.566883036574213E-12</v>
      </c>
      <c r="BH92" s="62">
        <f t="shared" si="62"/>
        <v>293.33333333333786</v>
      </c>
      <c r="BI92" s="62">
        <f ca="1">AVERAGE(OFFSET($BH$3,0,0,'Données projet'!$E$11+1,1))-AVERAGE(OFFSET($H$3,0,0,'Données projet'!$E$11+1,1))</f>
        <v>321.23599968992932</v>
      </c>
      <c r="BJ92" s="62">
        <f t="shared" si="92"/>
        <v>388.05195847800502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0.56797641699010315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5.2894008626026579E-8</v>
      </c>
      <c r="BS92" s="24">
        <f t="shared" si="63"/>
        <v>0.56797646988411177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184</v>
      </c>
      <c r="L93" s="13">
        <f>VLOOKUP(A93,'Données projet'!$A$35:$I$55,9,0)</f>
        <v>4.666666666666667</v>
      </c>
      <c r="M93" s="13">
        <f t="array" ref="M93">INDEX(L:L,MIN(IF(ISNUMBER(L93:L289),ROW(L93:L289),"")))</f>
        <v>4.666666666666667</v>
      </c>
      <c r="N93" s="14">
        <f>IF('Données projet'!$A$36&gt;35,N92+M93-V92,IF(A93&lt;'Données projet'!$A$36,$K$205^A93,IF(A93='Données projet'!$A$36,'Données projet'!$B$36,N92+M93-V92)))</f>
        <v>183.99999999999991</v>
      </c>
      <c r="O93" s="14">
        <f>N93*VLOOKUP('Données projet'!$B$9,Paramètres!$A$1:$I$89,3,0)*VLOOKUP('Données projet'!$B$9,Paramètres!$A$1:$I$89,5,0)</f>
        <v>166.48319999999993</v>
      </c>
      <c r="P93" s="14">
        <f t="shared" si="87"/>
        <v>42.301421676867136</v>
      </c>
      <c r="Q93" s="22">
        <f t="shared" si="54"/>
        <v>363.63321608721009</v>
      </c>
      <c r="R93" s="62">
        <f t="shared" si="55"/>
        <v>656.9665494205434</v>
      </c>
      <c r="S93" s="62">
        <f ca="1">AVERAGE(OFFSET($R$3,0,0,'Données projet'!$E$9+1,1))-AVERAGE(OFFSET($H$3,0,0,'Données projet'!$E$9+1,1))</f>
        <v>329.14247505779747</v>
      </c>
      <c r="T93" s="62">
        <f t="shared" si="88"/>
        <v>199.43308683696642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30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184</v>
      </c>
      <c r="AG93" s="13">
        <f>VLOOKUP(A93,'Données projet'!$A$61:$I$81,9,0)</f>
        <v>4.666666666666667</v>
      </c>
      <c r="AH93" s="13">
        <f t="array" ref="AH93">INDEX(AG:AG,MIN(IF(ISNUMBER(AG93:AG289),ROW(AG93:AG289),"")))</f>
        <v>4.666666666666667</v>
      </c>
      <c r="AI93" s="14">
        <f>IF('Données projet'!$A$62&gt;35,AI92+AH93-AQ92,IF(A93&lt;'Données projet'!$A$62,$AF$205^A93,IF(A93='Données projet'!$A$62,'Données projet'!$B$62,AI92+AH93-AQ92)))</f>
        <v>183.99999999999991</v>
      </c>
      <c r="AJ93" s="14">
        <f>AI93*VLOOKUP('Données projet'!$B$10,Paramètres!$A$1:$I$89,3,0)*VLOOKUP('Données projet'!$B$10,Paramètres!$A$1:$I$89,5,0)</f>
        <v>186.57599999999994</v>
      </c>
      <c r="AK93" s="14">
        <f t="shared" si="89"/>
        <v>46.782155731694274</v>
      </c>
      <c r="AL93" s="22">
        <f t="shared" si="58"/>
        <v>406.43212123270069</v>
      </c>
      <c r="AM93" s="62">
        <f t="shared" si="59"/>
        <v>699.76545456603401</v>
      </c>
      <c r="AN93" s="62">
        <f ca="1">AVERAGE(OFFSET($AM$3,0,0,'Données projet'!$E$10+1,1))-AVERAGE(OFFSET($H$3,0,0,'Données projet'!$E$10+1,1))</f>
        <v>363.99473967460347</v>
      </c>
      <c r="AO93" s="62">
        <f t="shared" si="90"/>
        <v>218.5520645293999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30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1.9895196601282805E-13</v>
      </c>
      <c r="BE93" s="14">
        <f>BD93*VLOOKUP('Données projet'!$B$11,Paramètres!$A$1:$I$89,3,0)*VLOOKUP('Données projet'!$B$11,Paramètres!$A$1:$I$89,5,0)</f>
        <v>1.738044375088066E-13</v>
      </c>
      <c r="BF93" s="14">
        <f t="shared" si="91"/>
        <v>2.4483293633950478E-12</v>
      </c>
      <c r="BG93" s="22">
        <f t="shared" si="61"/>
        <v>4.566883036574213E-12</v>
      </c>
      <c r="BH93" s="62">
        <f t="shared" si="62"/>
        <v>293.33333333333786</v>
      </c>
      <c r="BI93" s="62">
        <f ca="1">AVERAGE(OFFSET($BH$3,0,0,'Données projet'!$E$11+1,1))-AVERAGE(OFFSET($H$3,0,0,'Données projet'!$E$11+1,1))</f>
        <v>321.23599968992932</v>
      </c>
      <c r="BJ93" s="62">
        <f t="shared" si="92"/>
        <v>388.05195847800502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0.55683874588433435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3.7401712183603133E-8</v>
      </c>
      <c r="BS93" s="24">
        <f t="shared" si="63"/>
        <v>0.55683878328604652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4.75</v>
      </c>
      <c r="N94" s="14">
        <f>IF('Données projet'!$A$36&gt;35,N93+M94-V93,IF(A94&lt;'Données projet'!$A$36,$K$205^A94,IF(A94='Données projet'!$A$36,'Données projet'!$B$36,N93+M94-V93)))</f>
        <v>158.74999999999991</v>
      </c>
      <c r="O94" s="14">
        <f>N94*VLOOKUP('Données projet'!$B$9,Paramètres!$A$1:$I$89,3,0)*VLOOKUP('Données projet'!$B$9,Paramètres!$A$1:$I$89,5,0)</f>
        <v>143.63699999999992</v>
      </c>
      <c r="P94" s="14">
        <f t="shared" si="87"/>
        <v>37.128943398953339</v>
      </c>
      <c r="Q94" s="22">
        <f t="shared" si="54"/>
        <v>314.83401808651024</v>
      </c>
      <c r="R94" s="62">
        <f t="shared" si="55"/>
        <v>608.1673514198435</v>
      </c>
      <c r="S94" s="62">
        <f ca="1">AVERAGE(OFFSET($R$3,0,0,'Données projet'!$E$9+1,1))-AVERAGE(OFFSET($H$3,0,0,'Données projet'!$E$9+1,1))</f>
        <v>329.14247505779747</v>
      </c>
      <c r="T94" s="62">
        <f t="shared" si="88"/>
        <v>199.43308683696642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4.75</v>
      </c>
      <c r="AI94" s="14">
        <f>IF('Données projet'!$A$62&gt;35,AI93+AH94-AQ93,IF(A94&lt;'Données projet'!$A$62,$AF$205^A94,IF(A94='Données projet'!$A$62,'Données projet'!$B$62,AI93+AH94-AQ93)))</f>
        <v>158.74999999999991</v>
      </c>
      <c r="AJ94" s="14">
        <f>AI94*VLOOKUP('Données projet'!$B$10,Paramètres!$A$1:$I$89,3,0)*VLOOKUP('Données projet'!$B$10,Paramètres!$A$1:$I$89,5,0)</f>
        <v>160.97249999999991</v>
      </c>
      <c r="AK94" s="14">
        <f t="shared" si="89"/>
        <v>41.061788076805293</v>
      </c>
      <c r="AL94" s="22">
        <f t="shared" si="58"/>
        <v>351.87638506710238</v>
      </c>
      <c r="AM94" s="62">
        <f t="shared" si="59"/>
        <v>645.20971840043569</v>
      </c>
      <c r="AN94" s="62">
        <f ca="1">AVERAGE(OFFSET($AM$3,0,0,'Données projet'!$E$10+1,1))-AVERAGE(OFFSET($H$3,0,0,'Données projet'!$E$10+1,1))</f>
        <v>363.99473967460347</v>
      </c>
      <c r="AO94" s="62">
        <f t="shared" si="90"/>
        <v>218.5520645293999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1.9895196601282805E-13</v>
      </c>
      <c r="BE94" s="14">
        <f>BD94*VLOOKUP('Données projet'!$B$11,Paramètres!$A$1:$I$89,3,0)*VLOOKUP('Données projet'!$B$11,Paramètres!$A$1:$I$89,5,0)</f>
        <v>1.738044375088066E-13</v>
      </c>
      <c r="BF94" s="14">
        <f t="shared" si="91"/>
        <v>2.4483293633950478E-12</v>
      </c>
      <c r="BG94" s="22">
        <f t="shared" si="61"/>
        <v>4.566883036574213E-12</v>
      </c>
      <c r="BH94" s="62">
        <f t="shared" si="62"/>
        <v>293.33333333333786</v>
      </c>
      <c r="BI94" s="62">
        <f ca="1">AVERAGE(OFFSET($BH$3,0,0,'Données projet'!$E$11+1,1))-AVERAGE(OFFSET($H$3,0,0,'Données projet'!$E$11+1,1))</f>
        <v>321.23599968992932</v>
      </c>
      <c r="BJ94" s="62">
        <f t="shared" si="92"/>
        <v>388.05195847800502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0.54591947771564109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2.644700431301329E-8</v>
      </c>
      <c r="BS94" s="24">
        <f t="shared" si="63"/>
        <v>0.54591950416264545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4.75</v>
      </c>
      <c r="N95" s="14">
        <f>IF('Données projet'!$A$36&gt;35,N94+M95-V94,IF(A95&lt;'Données projet'!$A$36,$K$205^A95,IF(A95='Données projet'!$A$36,'Données projet'!$B$36,N94+M95-V94)))</f>
        <v>163.49999999999991</v>
      </c>
      <c r="O95" s="14">
        <f>N95*VLOOKUP('Données projet'!$B$9,Paramètres!$A$1:$I$89,3,0)*VLOOKUP('Données projet'!$B$9,Paramètres!$A$1:$I$89,5,0)</f>
        <v>147.93479999999991</v>
      </c>
      <c r="P95" s="14">
        <f t="shared" si="87"/>
        <v>38.1088835009256</v>
      </c>
      <c r="Q95" s="22">
        <f t="shared" si="54"/>
        <v>324.02608209744523</v>
      </c>
      <c r="R95" s="62">
        <f t="shared" si="55"/>
        <v>617.35941543077854</v>
      </c>
      <c r="S95" s="62">
        <f ca="1">AVERAGE(OFFSET($R$3,0,0,'Données projet'!$E$9+1,1))-AVERAGE(OFFSET($H$3,0,0,'Données projet'!$E$9+1,1))</f>
        <v>329.14247505779747</v>
      </c>
      <c r="T95" s="62">
        <f t="shared" si="88"/>
        <v>199.43308683696642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4.75</v>
      </c>
      <c r="AI95" s="14">
        <f>IF('Données projet'!$A$62&gt;35,AI94+AH95-AQ94,IF(A95&lt;'Données projet'!$A$62,$AF$205^A95,IF(A95='Données projet'!$A$62,'Données projet'!$B$62,AI94+AH95-AQ94)))</f>
        <v>163.49999999999991</v>
      </c>
      <c r="AJ95" s="14">
        <f>AI95*VLOOKUP('Données projet'!$B$10,Paramètres!$A$1:$I$89,3,0)*VLOOKUP('Données projet'!$B$10,Paramètres!$A$1:$I$89,5,0)</f>
        <v>165.78899999999993</v>
      </c>
      <c r="AK95" s="14">
        <f t="shared" si="89"/>
        <v>42.14552731394938</v>
      </c>
      <c r="AL95" s="22">
        <f t="shared" si="58"/>
        <v>362.15263507179503</v>
      </c>
      <c r="AM95" s="62">
        <f t="shared" si="59"/>
        <v>655.48596840512835</v>
      </c>
      <c r="AN95" s="62">
        <f ca="1">AVERAGE(OFFSET($AM$3,0,0,'Données projet'!$E$10+1,1))-AVERAGE(OFFSET($H$3,0,0,'Données projet'!$E$10+1,1))</f>
        <v>363.99473967460347</v>
      </c>
      <c r="AO95" s="62">
        <f t="shared" si="90"/>
        <v>218.5520645293999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1.738044375088066E-13</v>
      </c>
      <c r="BF95" s="14">
        <f t="shared" si="91"/>
        <v>2.4483293633950478E-12</v>
      </c>
      <c r="BG95" s="22">
        <f t="shared" si="61"/>
        <v>4.566883036574213E-12</v>
      </c>
      <c r="BH95" s="62">
        <f t="shared" si="62"/>
        <v>293.33333333333786</v>
      </c>
      <c r="BI95" s="62">
        <f ca="1">AVERAGE(OFFSET($BH$3,0,0,'Données projet'!$E$11+1,1))-AVERAGE(OFFSET($H$3,0,0,'Données projet'!$E$11+1,1))</f>
        <v>321.23599968992932</v>
      </c>
      <c r="BJ95" s="62">
        <f t="shared" si="92"/>
        <v>388.05195847800502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0.53521432973563987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1.8700856091801567E-8</v>
      </c>
      <c r="BS95" s="24">
        <f t="shared" si="63"/>
        <v>0.53521434843649596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4.75</v>
      </c>
      <c r="N96" s="14">
        <f>IF('Données projet'!$A$36&gt;35,N95+M96-V95,IF(A96&lt;'Données projet'!$A$36,$K$205^A96,IF(A96='Données projet'!$A$36,'Données projet'!$B$36,N95+M96-V95)))</f>
        <v>168.24999999999991</v>
      </c>
      <c r="O96" s="14">
        <f>N96*VLOOKUP('Données projet'!$B$9,Paramètres!$A$1:$I$89,3,0)*VLOOKUP('Données projet'!$B$9,Paramètres!$A$1:$I$89,5,0)</f>
        <v>152.23259999999991</v>
      </c>
      <c r="P96" s="14">
        <f t="shared" si="87"/>
        <v>39.085514892085854</v>
      </c>
      <c r="Q96" s="22">
        <f t="shared" si="54"/>
        <v>333.21238343704937</v>
      </c>
      <c r="R96" s="62">
        <f t="shared" si="55"/>
        <v>626.54571677038268</v>
      </c>
      <c r="S96" s="62">
        <f ca="1">AVERAGE(OFFSET($R$3,0,0,'Données projet'!$E$9+1,1))-AVERAGE(OFFSET($H$3,0,0,'Données projet'!$E$9+1,1))</f>
        <v>329.14247505779747</v>
      </c>
      <c r="T96" s="62">
        <f t="shared" si="88"/>
        <v>199.43308683696642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4.75</v>
      </c>
      <c r="AI96" s="14">
        <f>IF('Données projet'!$A$62&gt;35,AI95+AH96-AQ95,IF(A96&lt;'Données projet'!$A$62,$AF$205^A96,IF(A96='Données projet'!$A$62,'Données projet'!$B$62,AI95+AH96-AQ95)))</f>
        <v>168.24999999999991</v>
      </c>
      <c r="AJ96" s="14">
        <f>AI96*VLOOKUP('Données projet'!$B$10,Paramètres!$A$1:$I$89,3,0)*VLOOKUP('Données projet'!$B$10,Paramètres!$A$1:$I$89,5,0)</f>
        <v>170.60549999999992</v>
      </c>
      <c r="AK96" s="14">
        <f t="shared" si="89"/>
        <v>43.225607368533112</v>
      </c>
      <c r="AL96" s="22">
        <f t="shared" si="58"/>
        <v>372.42251200019501</v>
      </c>
      <c r="AM96" s="62">
        <f t="shared" si="59"/>
        <v>665.75584533352833</v>
      </c>
      <c r="AN96" s="62">
        <f ca="1">AVERAGE(OFFSET($AM$3,0,0,'Données projet'!$E$10+1,1))-AVERAGE(OFFSET($H$3,0,0,'Données projet'!$E$10+1,1))</f>
        <v>363.99473967460347</v>
      </c>
      <c r="AO96" s="62">
        <f t="shared" si="90"/>
        <v>218.5520645293999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1.738044375088066E-13</v>
      </c>
      <c r="BF96" s="14">
        <f t="shared" si="91"/>
        <v>2.4483293633950478E-12</v>
      </c>
      <c r="BG96" s="22">
        <f t="shared" si="61"/>
        <v>4.566883036574213E-12</v>
      </c>
      <c r="BH96" s="62">
        <f t="shared" si="62"/>
        <v>293.33333333333786</v>
      </c>
      <c r="BI96" s="62">
        <f ca="1">AVERAGE(OFFSET($BH$3,0,0,'Données projet'!$E$11+1,1))-AVERAGE(OFFSET($H$3,0,0,'Données projet'!$E$11+1,1))</f>
        <v>321.23599968992932</v>
      </c>
      <c r="BJ96" s="62">
        <f t="shared" si="92"/>
        <v>388.05195847800502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0.52471910317803105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1.3223502156506645E-8</v>
      </c>
      <c r="BS96" s="24">
        <f t="shared" si="63"/>
        <v>0.52471911640153324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4.75</v>
      </c>
      <c r="N97" s="14">
        <f>IF('Données projet'!$A$36&gt;35,N96+M97-V96,IF(A97&lt;'Données projet'!$A$36,$K$205^A97,IF(A97='Données projet'!$A$36,'Données projet'!$B$36,N96+M97-V96)))</f>
        <v>172.99999999999991</v>
      </c>
      <c r="O97" s="14">
        <f>N97*VLOOKUP('Données projet'!$B$9,Paramètres!$A$1:$I$89,3,0)*VLOOKUP('Données projet'!$B$9,Paramètres!$A$1:$I$89,5,0)</f>
        <v>156.53039999999993</v>
      </c>
      <c r="P97" s="14">
        <f t="shared" si="87"/>
        <v>40.058941713182001</v>
      </c>
      <c r="Q97" s="22">
        <f t="shared" si="54"/>
        <v>342.39310348379189</v>
      </c>
      <c r="R97" s="62">
        <f t="shared" si="55"/>
        <v>635.7264368171252</v>
      </c>
      <c r="S97" s="62">
        <f ca="1">AVERAGE(OFFSET($R$3,0,0,'Données projet'!$E$9+1,1))-AVERAGE(OFFSET($H$3,0,0,'Données projet'!$E$9+1,1))</f>
        <v>329.14247505779747</v>
      </c>
      <c r="T97" s="62">
        <f t="shared" si="88"/>
        <v>199.43308683696642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4.75</v>
      </c>
      <c r="AI97" s="14">
        <f>IF('Données projet'!$A$62&gt;35,AI96+AH97-AQ96,IF(A97&lt;'Données projet'!$A$62,$AF$205^A97,IF(A97='Données projet'!$A$62,'Données projet'!$B$62,AI96+AH97-AQ96)))</f>
        <v>172.99999999999991</v>
      </c>
      <c r="AJ97" s="14">
        <f>AI97*VLOOKUP('Données projet'!$B$10,Paramètres!$A$1:$I$89,3,0)*VLOOKUP('Données projet'!$B$10,Paramètres!$A$1:$I$89,5,0)</f>
        <v>175.42199999999991</v>
      </c>
      <c r="AK97" s="14">
        <f t="shared" si="89"/>
        <v>44.302143412304694</v>
      </c>
      <c r="AL97" s="22">
        <f t="shared" si="58"/>
        <v>382.68621644309718</v>
      </c>
      <c r="AM97" s="62">
        <f t="shared" si="59"/>
        <v>676.01954977643049</v>
      </c>
      <c r="AN97" s="62">
        <f ca="1">AVERAGE(OFFSET($AM$3,0,0,'Données projet'!$E$10+1,1))-AVERAGE(OFFSET($H$3,0,0,'Données projet'!$E$10+1,1))</f>
        <v>363.99473967460347</v>
      </c>
      <c r="AO97" s="62">
        <f t="shared" si="90"/>
        <v>218.5520645293999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1.738044375088066E-13</v>
      </c>
      <c r="BF97" s="14">
        <f t="shared" si="91"/>
        <v>2.4483293633950478E-12</v>
      </c>
      <c r="BG97" s="22">
        <f t="shared" si="61"/>
        <v>4.566883036574213E-12</v>
      </c>
      <c r="BH97" s="62">
        <f t="shared" si="62"/>
        <v>293.33333333333786</v>
      </c>
      <c r="BI97" s="62">
        <f ca="1">AVERAGE(OFFSET($BH$3,0,0,'Données projet'!$E$11+1,1))-AVERAGE(OFFSET($H$3,0,0,'Données projet'!$E$11+1,1))</f>
        <v>321.23599968992932</v>
      </c>
      <c r="BJ97" s="62">
        <f t="shared" si="92"/>
        <v>388.05195847800502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0.51442968161176084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9.3504280459007834E-9</v>
      </c>
      <c r="BS97" s="24">
        <f t="shared" si="63"/>
        <v>0.51442969096218893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4.75</v>
      </c>
      <c r="N98" s="14">
        <f>IF('Données projet'!$A$36&gt;35,N97+M98-V97,IF(A98&lt;'Données projet'!$A$36,$K$205^A98,IF(A98='Données projet'!$A$36,'Données projet'!$B$36,N97+M98-V97)))</f>
        <v>177.74999999999991</v>
      </c>
      <c r="O98" s="14">
        <f>N98*VLOOKUP('Données projet'!$B$9,Paramètres!$A$1:$I$89,3,0)*VLOOKUP('Données projet'!$B$9,Paramètres!$A$1:$I$89,5,0)</f>
        <v>160.82819999999992</v>
      </c>
      <c r="P98" s="14">
        <f t="shared" si="87"/>
        <v>41.02926206078601</v>
      </c>
      <c r="Q98" s="22">
        <f t="shared" si="54"/>
        <v>351.56841308920212</v>
      </c>
      <c r="R98" s="62">
        <f t="shared" si="55"/>
        <v>644.90174642253544</v>
      </c>
      <c r="S98" s="62">
        <f ca="1">AVERAGE(OFFSET($R$3,0,0,'Données projet'!$E$9+1,1))-AVERAGE(OFFSET($H$3,0,0,'Données projet'!$E$9+1,1))</f>
        <v>329.14247505779747</v>
      </c>
      <c r="T98" s="62">
        <f t="shared" si="88"/>
        <v>199.43308683696642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4.75</v>
      </c>
      <c r="AI98" s="14">
        <f>IF('Données projet'!$A$62&gt;35,AI97+AH98-AQ97,IF(A98&lt;'Données projet'!$A$62,$AF$205^A98,IF(A98='Données projet'!$A$62,'Données projet'!$B$62,AI97+AH98-AQ97)))</f>
        <v>177.74999999999991</v>
      </c>
      <c r="AJ98" s="14">
        <f>AI98*VLOOKUP('Données projet'!$B$10,Paramètres!$A$1:$I$89,3,0)*VLOOKUP('Données projet'!$B$10,Paramètres!$A$1:$I$89,5,0)</f>
        <v>180.23849999999993</v>
      </c>
      <c r="AK98" s="14">
        <f t="shared" si="89"/>
        <v>45.375243932613408</v>
      </c>
      <c r="AL98" s="22">
        <f t="shared" si="58"/>
        <v>392.94393734930151</v>
      </c>
      <c r="AM98" s="62">
        <f t="shared" si="59"/>
        <v>686.27727068263482</v>
      </c>
      <c r="AN98" s="62">
        <f ca="1">AVERAGE(OFFSET($AM$3,0,0,'Données projet'!$E$10+1,1))-AVERAGE(OFFSET($H$3,0,0,'Données projet'!$E$10+1,1))</f>
        <v>363.99473967460347</v>
      </c>
      <c r="AO98" s="62">
        <f t="shared" si="90"/>
        <v>218.5520645293999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1.738044375088066E-13</v>
      </c>
      <c r="BF98" s="14">
        <f t="shared" si="91"/>
        <v>2.4483293633950478E-12</v>
      </c>
      <c r="BG98" s="22">
        <f t="shared" si="61"/>
        <v>4.566883036574213E-12</v>
      </c>
      <c r="BH98" s="62">
        <f t="shared" si="62"/>
        <v>293.33333333333786</v>
      </c>
      <c r="BI98" s="62">
        <f ca="1">AVERAGE(OFFSET($BH$3,0,0,'Données projet'!$E$11+1,1))-AVERAGE(OFFSET($H$3,0,0,'Données projet'!$E$11+1,1))</f>
        <v>321.23599968992932</v>
      </c>
      <c r="BJ98" s="62">
        <f t="shared" si="92"/>
        <v>388.05195847800502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0.50434202932647765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6.6117510782533224E-9</v>
      </c>
      <c r="BS98" s="24">
        <f t="shared" si="63"/>
        <v>0.50434203593822868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4.75</v>
      </c>
      <c r="N99" s="14">
        <f>IF('Données projet'!$A$36&gt;35,N98+M99-V98,IF(A99&lt;'Données projet'!$A$36,$K$205^A99,IF(A99='Données projet'!$A$36,'Données projet'!$B$36,N98+M99-V98)))</f>
        <v>182.49999999999991</v>
      </c>
      <c r="O99" s="14">
        <f>N99*VLOOKUP('Données projet'!$B$9,Paramètres!$A$1:$I$89,3,0)*VLOOKUP('Données projet'!$B$9,Paramètres!$A$1:$I$89,5,0)</f>
        <v>165.12599999999992</v>
      </c>
      <c r="P99" s="14">
        <f t="shared" si="87"/>
        <v>41.996568490108949</v>
      </c>
      <c r="Q99" s="22">
        <f t="shared" ref="Q99:Q130" si="107">(O99+P99)*0.475*44/12</f>
        <v>360.73847345360628</v>
      </c>
      <c r="R99" s="62">
        <f t="shared" si="55"/>
        <v>654.07180678693953</v>
      </c>
      <c r="S99" s="62">
        <f ca="1">AVERAGE(OFFSET($R$3,0,0,'Données projet'!$E$9+1,1))-AVERAGE(OFFSET($H$3,0,0,'Données projet'!$E$9+1,1))</f>
        <v>329.14247505779747</v>
      </c>
      <c r="T99" s="62">
        <f t="shared" si="88"/>
        <v>199.43308683696642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4.75</v>
      </c>
      <c r="AI99" s="14">
        <f>IF('Données projet'!$A$62&gt;35,AI98+AH99-AQ98,IF(A99&lt;'Données projet'!$A$62,$AF$205^A99,IF(A99='Données projet'!$A$62,'Données projet'!$B$62,AI98+AH99-AQ98)))</f>
        <v>182.49999999999991</v>
      </c>
      <c r="AJ99" s="14">
        <f>AI99*VLOOKUP('Données projet'!$B$10,Paramètres!$A$1:$I$89,3,0)*VLOOKUP('Données projet'!$B$10,Paramètres!$A$1:$I$89,5,0)</f>
        <v>185.05499999999992</v>
      </c>
      <c r="AK99" s="14">
        <f t="shared" si="89"/>
        <v>46.445011288484558</v>
      </c>
      <c r="AL99" s="22">
        <f t="shared" si="58"/>
        <v>403.19585299411045</v>
      </c>
      <c r="AM99" s="62">
        <f t="shared" si="59"/>
        <v>696.52918632744377</v>
      </c>
      <c r="AN99" s="62">
        <f ca="1">AVERAGE(OFFSET($AM$3,0,0,'Données projet'!$E$10+1,1))-AVERAGE(OFFSET($H$3,0,0,'Données projet'!$E$10+1,1))</f>
        <v>363.99473967460347</v>
      </c>
      <c r="AO99" s="62">
        <f t="shared" si="90"/>
        <v>218.5520645293999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1.738044375088066E-13</v>
      </c>
      <c r="BF99" s="14">
        <f t="shared" si="91"/>
        <v>2.4483293633950478E-12</v>
      </c>
      <c r="BG99" s="22">
        <f t="shared" si="61"/>
        <v>4.566883036574213E-12</v>
      </c>
      <c r="BH99" s="62">
        <f t="shared" si="62"/>
        <v>293.33333333333786</v>
      </c>
      <c r="BI99" s="62">
        <f ca="1">AVERAGE(OFFSET($BH$3,0,0,'Données projet'!$E$11+1,1))-AVERAGE(OFFSET($H$3,0,0,'Données projet'!$E$11+1,1))</f>
        <v>321.23599968992932</v>
      </c>
      <c r="BJ99" s="62">
        <f t="shared" si="92"/>
        <v>388.05195847800502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0.49445218974964855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4.6752140229503917E-9</v>
      </c>
      <c r="BS99" s="24">
        <f t="shared" si="63"/>
        <v>0.4944521944248626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4.75</v>
      </c>
      <c r="N100" s="14">
        <f>IF('Données projet'!$A$36&gt;35,N99+M100-V99,IF(A100&lt;'Données projet'!$A$36,$K$205^A100,IF(A100='Données projet'!$A$36,'Données projet'!$B$36,N99+M100-V99)))</f>
        <v>187.24999999999991</v>
      </c>
      <c r="O100" s="14">
        <f>N100*VLOOKUP('Données projet'!$B$9,Paramètres!$A$1:$I$89,3,0)*VLOOKUP('Données projet'!$B$9,Paramètres!$A$1:$I$89,5,0)</f>
        <v>169.42379999999991</v>
      </c>
      <c r="P100" s="14">
        <f t="shared" si="87"/>
        <v>42.960948463994995</v>
      </c>
      <c r="Q100" s="22">
        <f t="shared" si="107"/>
        <v>369.90343690812443</v>
      </c>
      <c r="R100" s="62">
        <f t="shared" si="55"/>
        <v>663.23677024145775</v>
      </c>
      <c r="S100" s="62">
        <f ca="1">AVERAGE(OFFSET($R$3,0,0,'Données projet'!$E$9+1,1))-AVERAGE(OFFSET($H$3,0,0,'Données projet'!$E$9+1,1))</f>
        <v>329.14247505779747</v>
      </c>
      <c r="T100" s="62">
        <f t="shared" si="88"/>
        <v>199.43308683696642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4.75</v>
      </c>
      <c r="AI100" s="14">
        <f>IF('Données projet'!$A$62&gt;35,AI99+AH100-AQ99,IF(A100&lt;'Données projet'!$A$62,$AF$205^A100,IF(A100='Données projet'!$A$62,'Données projet'!$B$62,AI99+AH100-AQ99)))</f>
        <v>187.24999999999991</v>
      </c>
      <c r="AJ100" s="14">
        <f>AI100*VLOOKUP('Données projet'!$B$10,Paramètres!$A$1:$I$89,3,0)*VLOOKUP('Données projet'!$B$10,Paramètres!$A$1:$I$89,5,0)</f>
        <v>189.87149999999994</v>
      </c>
      <c r="AK100" s="14">
        <f t="shared" si="89"/>
        <v>47.511542207173193</v>
      </c>
      <c r="AL100" s="22">
        <f t="shared" si="58"/>
        <v>413.44213184415986</v>
      </c>
      <c r="AM100" s="62">
        <f t="shared" si="59"/>
        <v>706.77546517749317</v>
      </c>
      <c r="AN100" s="62">
        <f ca="1">AVERAGE(OFFSET($AM$3,0,0,'Données projet'!$E$10+1,1))-AVERAGE(OFFSET($H$3,0,0,'Données projet'!$E$10+1,1))</f>
        <v>363.99473967460347</v>
      </c>
      <c r="AO100" s="62">
        <f t="shared" si="90"/>
        <v>218.5520645293999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1.738044375088066E-13</v>
      </c>
      <c r="BF100" s="14">
        <f t="shared" si="91"/>
        <v>2.4483293633950478E-12</v>
      </c>
      <c r="BG100" s="22">
        <f t="shared" si="61"/>
        <v>4.566883036574213E-12</v>
      </c>
      <c r="BH100" s="62">
        <f t="shared" si="62"/>
        <v>293.33333333333786</v>
      </c>
      <c r="BI100" s="62">
        <f ca="1">AVERAGE(OFFSET($BH$3,0,0,'Données projet'!$E$11+1,1))-AVERAGE(OFFSET($H$3,0,0,'Données projet'!$E$11+1,1))</f>
        <v>321.23599968992932</v>
      </c>
      <c r="BJ100" s="62">
        <f t="shared" si="92"/>
        <v>388.05195847800502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0.48475628389471453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3.3058755391266612E-9</v>
      </c>
      <c r="BS100" s="24">
        <f t="shared" si="63"/>
        <v>0.48475628720059005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4.75</v>
      </c>
      <c r="N101" s="14">
        <f>IF('Données projet'!$A$36&gt;35,N100+M101-V100,IF(A101&lt;'Données projet'!$A$36,$K$205^A101,IF(A101='Données projet'!$A$36,'Données projet'!$B$36,N100+M101-V100)))</f>
        <v>191.99999999999991</v>
      </c>
      <c r="O101" s="14">
        <f>N101*VLOOKUP('Données projet'!$B$9,Paramètres!$A$1:$I$89,3,0)*VLOOKUP('Données projet'!$B$9,Paramètres!$A$1:$I$89,5,0)</f>
        <v>173.72159999999991</v>
      </c>
      <c r="P101" s="14">
        <f t="shared" si="87"/>
        <v>43.922484755075111</v>
      </c>
      <c r="Q101" s="22">
        <f t="shared" si="107"/>
        <v>379.06344761508899</v>
      </c>
      <c r="R101" s="62">
        <f t="shared" si="55"/>
        <v>672.39678094842225</v>
      </c>
      <c r="S101" s="62">
        <f ca="1">AVERAGE(OFFSET($R$3,0,0,'Données projet'!$E$9+1,1))-AVERAGE(OFFSET($H$3,0,0,'Données projet'!$E$9+1,1))</f>
        <v>329.14247505779747</v>
      </c>
      <c r="T101" s="62">
        <f t="shared" si="88"/>
        <v>199.43308683696642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4.75</v>
      </c>
      <c r="AI101" s="14">
        <f>IF('Données projet'!$A$62&gt;35,AI100+AH101-AQ100,IF(A101&lt;'Données projet'!$A$62,$AF$205^A101,IF(A101='Données projet'!$A$62,'Données projet'!$B$62,AI100+AH101-AQ100)))</f>
        <v>191.99999999999991</v>
      </c>
      <c r="AJ101" s="14">
        <f>AI101*VLOOKUP('Données projet'!$B$10,Paramètres!$A$1:$I$89,3,0)*VLOOKUP('Données projet'!$B$10,Paramètres!$A$1:$I$89,5,0)</f>
        <v>194.68799999999993</v>
      </c>
      <c r="AK101" s="14">
        <f t="shared" si="89"/>
        <v>48.574928228914978</v>
      </c>
      <c r="AL101" s="22">
        <f t="shared" si="58"/>
        <v>423.68293333202678</v>
      </c>
      <c r="AM101" s="62">
        <f t="shared" si="59"/>
        <v>717.01626666536004</v>
      </c>
      <c r="AN101" s="62">
        <f ca="1">AVERAGE(OFFSET($AM$3,0,0,'Données projet'!$E$10+1,1))-AVERAGE(OFFSET($H$3,0,0,'Données projet'!$E$10+1,1))</f>
        <v>363.99473967460347</v>
      </c>
      <c r="AO101" s="62">
        <f t="shared" si="90"/>
        <v>218.5520645293999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1.738044375088066E-13</v>
      </c>
      <c r="BF101" s="14">
        <f t="shared" si="91"/>
        <v>2.4483293633950478E-12</v>
      </c>
      <c r="BG101" s="22">
        <f t="shared" si="61"/>
        <v>4.566883036574213E-12</v>
      </c>
      <c r="BH101" s="62">
        <f t="shared" si="62"/>
        <v>293.33333333333786</v>
      </c>
      <c r="BI101" s="62">
        <f ca="1">AVERAGE(OFFSET($BH$3,0,0,'Données projet'!$E$11+1,1))-AVERAGE(OFFSET($H$3,0,0,'Données projet'!$E$11+1,1))</f>
        <v>321.23599968992932</v>
      </c>
      <c r="BJ101" s="62">
        <f t="shared" si="92"/>
        <v>388.05195847800502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0.47525050883967718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2.3376070114751958E-9</v>
      </c>
      <c r="BS101" s="24">
        <f t="shared" si="63"/>
        <v>0.47525051117728417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4.75</v>
      </c>
      <c r="N102" s="14">
        <f>IF('Données projet'!$A$36&gt;35,N101+M102-V101,IF(A102&lt;'Données projet'!$A$36,$K$205^A102,IF(A102='Données projet'!$A$36,'Données projet'!$B$36,N101+M102-V101)))</f>
        <v>196.74999999999991</v>
      </c>
      <c r="O102" s="14">
        <f>N102*VLOOKUP('Données projet'!$B$9,Paramètres!$A$1:$I$89,3,0)*VLOOKUP('Données projet'!$B$9,Paramètres!$A$1:$I$89,5,0)</f>
        <v>178.01939999999991</v>
      </c>
      <c r="P102" s="14">
        <f t="shared" si="87"/>
        <v>44.881255807003228</v>
      </c>
      <c r="Q102" s="22">
        <f t="shared" si="107"/>
        <v>388.21864219719714</v>
      </c>
      <c r="R102" s="62">
        <f t="shared" si="55"/>
        <v>681.5519755305304</v>
      </c>
      <c r="S102" s="62">
        <f ca="1">AVERAGE(OFFSET($R$3,0,0,'Données projet'!$E$9+1,1))-AVERAGE(OFFSET($H$3,0,0,'Données projet'!$E$9+1,1))</f>
        <v>329.14247505779747</v>
      </c>
      <c r="T102" s="62">
        <f t="shared" si="88"/>
        <v>199.43308683696642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4.75</v>
      </c>
      <c r="AI102" s="14">
        <f>IF('Données projet'!$A$62&gt;35,AI101+AH102-AQ101,IF(A102&lt;'Données projet'!$A$62,$AF$205^A102,IF(A102='Données projet'!$A$62,'Données projet'!$B$62,AI101+AH102-AQ101)))</f>
        <v>196.74999999999991</v>
      </c>
      <c r="AJ102" s="14">
        <f>AI102*VLOOKUP('Données projet'!$B$10,Paramètres!$A$1:$I$89,3,0)*VLOOKUP('Données projet'!$B$10,Paramètres!$A$1:$I$89,5,0)</f>
        <v>199.50449999999992</v>
      </c>
      <c r="AK102" s="14">
        <f t="shared" si="89"/>
        <v>49.635256106426247</v>
      </c>
      <c r="AL102" s="22">
        <f t="shared" si="58"/>
        <v>433.91840855202554</v>
      </c>
      <c r="AM102" s="62">
        <f t="shared" si="59"/>
        <v>727.2517418853588</v>
      </c>
      <c r="AN102" s="62">
        <f ca="1">AVERAGE(OFFSET($AM$3,0,0,'Données projet'!$E$10+1,1))-AVERAGE(OFFSET($H$3,0,0,'Données projet'!$E$10+1,1))</f>
        <v>363.99473967460347</v>
      </c>
      <c r="AO102" s="62">
        <f t="shared" si="90"/>
        <v>218.5520645293999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1.738044375088066E-13</v>
      </c>
      <c r="BF102" s="14">
        <f t="shared" si="91"/>
        <v>2.4483293633950478E-12</v>
      </c>
      <c r="BG102" s="22">
        <f t="shared" si="61"/>
        <v>4.566883036574213E-12</v>
      </c>
      <c r="BH102" s="62">
        <f t="shared" si="62"/>
        <v>293.33333333333786</v>
      </c>
      <c r="BI102" s="62">
        <f ca="1">AVERAGE(OFFSET($BH$3,0,0,'Données projet'!$E$11+1,1))-AVERAGE(OFFSET($H$3,0,0,'Données projet'!$E$11+1,1))</f>
        <v>321.23599968992932</v>
      </c>
      <c r="BJ102" s="62">
        <f t="shared" si="92"/>
        <v>388.05195847800502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0.46593113623551879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1.6529377695633306E-9</v>
      </c>
      <c r="BS102" s="24">
        <f t="shared" si="63"/>
        <v>0.46593113788845658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4.75</v>
      </c>
      <c r="N103" s="14">
        <f>IF('Données projet'!$A$36&gt;35,N102+M103-V102,IF(A103&lt;'Données projet'!$A$36,$K$205^A103,IF(A103='Données projet'!$A$36,'Données projet'!$B$36,N102+M103-V102)))</f>
        <v>201.49999999999991</v>
      </c>
      <c r="O103" s="14">
        <f>N103*VLOOKUP('Données projet'!$B$9,Paramètres!$A$1:$I$89,3,0)*VLOOKUP('Données projet'!$B$9,Paramètres!$A$1:$I$89,5,0)</f>
        <v>182.31719999999993</v>
      </c>
      <c r="P103" s="14">
        <f t="shared" si="87"/>
        <v>45.83733605982632</v>
      </c>
      <c r="Q103" s="22">
        <f t="shared" si="107"/>
        <v>397.36915030419732</v>
      </c>
      <c r="R103" s="62">
        <f t="shared" si="55"/>
        <v>690.70248363753058</v>
      </c>
      <c r="S103" s="62">
        <f ca="1">AVERAGE(OFFSET($R$3,0,0,'Données projet'!$E$9+1,1))-AVERAGE(OFFSET($H$3,0,0,'Données projet'!$E$9+1,1))</f>
        <v>329.14247505779747</v>
      </c>
      <c r="T103" s="62">
        <f t="shared" si="88"/>
        <v>199.43308683696642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4.75</v>
      </c>
      <c r="AI103" s="14">
        <f>IF('Données projet'!$A$62&gt;35,AI102+AH103-AQ102,IF(A103&lt;'Données projet'!$A$62,$AF$205^A103,IF(A103='Données projet'!$A$62,'Données projet'!$B$62,AI102+AH103-AQ102)))</f>
        <v>201.49999999999991</v>
      </c>
      <c r="AJ103" s="14">
        <f>AI103*VLOOKUP('Données projet'!$B$10,Paramètres!$A$1:$I$89,3,0)*VLOOKUP('Données projet'!$B$10,Paramètres!$A$1:$I$89,5,0)</f>
        <v>204.32099999999991</v>
      </c>
      <c r="AK103" s="14">
        <f t="shared" si="89"/>
        <v>50.692608164738445</v>
      </c>
      <c r="AL103" s="22">
        <f t="shared" si="58"/>
        <v>444.14870088691924</v>
      </c>
      <c r="AM103" s="62">
        <f t="shared" si="59"/>
        <v>737.48203422025256</v>
      </c>
      <c r="AN103" s="62">
        <f ca="1">AVERAGE(OFFSET($AM$3,0,0,'Données projet'!$E$10+1,1))-AVERAGE(OFFSET($H$3,0,0,'Données projet'!$E$10+1,1))</f>
        <v>363.99473967460347</v>
      </c>
      <c r="AO103" s="62">
        <f t="shared" si="90"/>
        <v>218.5520645293999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1.738044375088066E-13</v>
      </c>
      <c r="BF103" s="14">
        <f t="shared" si="91"/>
        <v>2.4483293633950478E-12</v>
      </c>
      <c r="BG103" s="22">
        <f t="shared" si="61"/>
        <v>4.566883036574213E-12</v>
      </c>
      <c r="BH103" s="62">
        <f t="shared" si="62"/>
        <v>293.33333333333786</v>
      </c>
      <c r="BI103" s="62">
        <f ca="1">AVERAGE(OFFSET($BH$3,0,0,'Données projet'!$E$11+1,1))-AVERAGE(OFFSET($H$3,0,0,'Données projet'!$E$11+1,1))</f>
        <v>321.23599968992932</v>
      </c>
      <c r="BJ103" s="62">
        <f t="shared" si="92"/>
        <v>388.05195847800502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0.45679451084387196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1.1688035057375979E-9</v>
      </c>
      <c r="BS103" s="24">
        <f t="shared" si="63"/>
        <v>0.45679451201267546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4.75</v>
      </c>
      <c r="N104" s="14">
        <f>IF('Données projet'!$A$36&gt;35,N103+M104-V103,IF(A104&lt;'Données projet'!$A$36,$K$205^A104,IF(A104='Données projet'!$A$36,'Données projet'!$B$36,N103+M104-V103)))</f>
        <v>206.24999999999991</v>
      </c>
      <c r="O104" s="14">
        <f>N104*VLOOKUP('Données projet'!$B$9,Paramètres!$A$1:$I$89,3,0)*VLOOKUP('Données projet'!$B$9,Paramètres!$A$1:$I$89,5,0)</f>
        <v>186.61499999999992</v>
      </c>
      <c r="P104" s="14">
        <f t="shared" si="87"/>
        <v>46.790796243809559</v>
      </c>
      <c r="Q104" s="22">
        <f t="shared" si="107"/>
        <v>406.51509512463485</v>
      </c>
      <c r="R104" s="62">
        <f t="shared" si="55"/>
        <v>699.84842845796811</v>
      </c>
      <c r="S104" s="62">
        <f ca="1">AVERAGE(OFFSET($R$3,0,0,'Données projet'!$E$9+1,1))-AVERAGE(OFFSET($H$3,0,0,'Données projet'!$E$9+1,1))</f>
        <v>329.14247505779747</v>
      </c>
      <c r="T104" s="62">
        <f t="shared" si="88"/>
        <v>199.43308683696642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4.75</v>
      </c>
      <c r="AI104" s="14">
        <f>IF('Données projet'!$A$62&gt;35,AI103+AH104-AQ103,IF(A104&lt;'Données projet'!$A$62,$AF$205^A104,IF(A104='Données projet'!$A$62,'Données projet'!$B$62,AI103+AH104-AQ103)))</f>
        <v>206.24999999999991</v>
      </c>
      <c r="AJ104" s="14">
        <f>AI104*VLOOKUP('Données projet'!$B$10,Paramètres!$A$1:$I$89,3,0)*VLOOKUP('Données projet'!$B$10,Paramètres!$A$1:$I$89,5,0)</f>
        <v>209.13749999999993</v>
      </c>
      <c r="AK104" s="14">
        <f t="shared" si="89"/>
        <v>51.747062626146445</v>
      </c>
      <c r="AL104" s="22">
        <f t="shared" si="58"/>
        <v>454.37394657387154</v>
      </c>
      <c r="AM104" s="62">
        <f t="shared" si="59"/>
        <v>747.70727990720479</v>
      </c>
      <c r="AN104" s="62">
        <f ca="1">AVERAGE(OFFSET($AM$3,0,0,'Données projet'!$E$10+1,1))-AVERAGE(OFFSET($H$3,0,0,'Données projet'!$E$10+1,1))</f>
        <v>363.99473967460347</v>
      </c>
      <c r="AO104" s="62">
        <f t="shared" si="90"/>
        <v>218.5520645293999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1.738044375088066E-13</v>
      </c>
      <c r="BF104" s="14">
        <f t="shared" si="91"/>
        <v>2.4483293633950478E-12</v>
      </c>
      <c r="BG104" s="22">
        <f t="shared" si="61"/>
        <v>4.566883036574213E-12</v>
      </c>
      <c r="BH104" s="62">
        <f t="shared" si="62"/>
        <v>293.33333333333786</v>
      </c>
      <c r="BI104" s="62">
        <f ca="1">AVERAGE(OFFSET($BH$3,0,0,'Données projet'!$E$11+1,1))-AVERAGE(OFFSET($H$3,0,0,'Données projet'!$E$11+1,1))</f>
        <v>321.23599968992932</v>
      </c>
      <c r="BJ104" s="62">
        <f t="shared" si="92"/>
        <v>388.05195847800502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0.44783704910336408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8.264688847816653E-10</v>
      </c>
      <c r="BS104" s="24">
        <f t="shared" si="63"/>
        <v>0.44783704992983298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>
        <f>VLOOKUP(A105,'Données projet'!$A$35:$I$55,2,0)</f>
        <v>211</v>
      </c>
      <c r="L105" s="13">
        <f>VLOOKUP(A105,'Données projet'!$A$35:$I$55,9,0)</f>
        <v>4.75</v>
      </c>
      <c r="M105" s="13">
        <f t="array" ref="M105">INDEX(L:L,MIN(IF(ISNUMBER(L105:L301),ROW(L105:L301),"")))</f>
        <v>4.75</v>
      </c>
      <c r="N105" s="14">
        <f>IF('Données projet'!$A$36&gt;35,N104+M105-V104,IF(A105&lt;'Données projet'!$A$36,$K$205^A105,IF(A105='Données projet'!$A$36,'Données projet'!$B$36,N104+M105-V104)))</f>
        <v>210.99999999999991</v>
      </c>
      <c r="O105" s="14">
        <f>N105*VLOOKUP('Données projet'!$B$9,Paramètres!$A$1:$I$89,3,0)*VLOOKUP('Données projet'!$B$9,Paramètres!$A$1:$I$89,5,0)</f>
        <v>190.91279999999992</v>
      </c>
      <c r="P105" s="14">
        <f t="shared" si="87"/>
        <v>47.741703645431606</v>
      </c>
      <c r="Q105" s="22">
        <f t="shared" si="107"/>
        <v>415.65659384912652</v>
      </c>
      <c r="R105" s="62">
        <f t="shared" si="55"/>
        <v>708.98992718245984</v>
      </c>
      <c r="S105" s="62">
        <f ca="1">AVERAGE(OFFSET($R$3,0,0,'Données projet'!$E$9+1,1))-AVERAGE(OFFSET($H$3,0,0,'Données projet'!$E$9+1,1))</f>
        <v>329.14247505779747</v>
      </c>
      <c r="T105" s="62">
        <f t="shared" si="88"/>
        <v>199.43308683696642</v>
      </c>
      <c r="U105" s="16">
        <f>IF(ISNA(VLOOKUP(A105,'Données projet'!$A$35:$I$55,3,0)),0,VLOOKUP(A105,'Données projet'!$A$35:$I$55,3,0))</f>
        <v>8</v>
      </c>
      <c r="V105" s="16">
        <f>IF(ISNA(VLOOKUP(A105,'Données projet'!$A$35:$I$55,4,0)),0,VLOOKUP(A105,'Données projet'!$A$35:$I$55,4,0))</f>
        <v>41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>
        <f>VLOOKUP(A105,'Données projet'!$A$61:$I$81,2,0)</f>
        <v>211</v>
      </c>
      <c r="AG105" s="13">
        <f>VLOOKUP(A105,'Données projet'!$A$61:$I$81,9,0)</f>
        <v>4.75</v>
      </c>
      <c r="AH105" s="13">
        <f t="array" ref="AH105">INDEX(AG:AG,MIN(IF(ISNUMBER(AG105:AG301),ROW(AG105:AG301),"")))</f>
        <v>4.75</v>
      </c>
      <c r="AI105" s="14">
        <f>IF('Données projet'!$A$62&gt;35,AI104+AH105-AQ104,IF(A105&lt;'Données projet'!$A$62,$AF$205^A105,IF(A105='Données projet'!$A$62,'Données projet'!$B$62,AI104+AH105-AQ104)))</f>
        <v>210.99999999999991</v>
      </c>
      <c r="AJ105" s="14">
        <f>AI105*VLOOKUP('Données projet'!$B$10,Paramètres!$A$1:$I$89,3,0)*VLOOKUP('Données projet'!$B$10,Paramètres!$A$1:$I$89,5,0)</f>
        <v>213.95399999999992</v>
      </c>
      <c r="AK105" s="14">
        <f t="shared" si="89"/>
        <v>52.798693904379121</v>
      </c>
      <c r="AL105" s="22">
        <f t="shared" si="58"/>
        <v>464.59427521679351</v>
      </c>
      <c r="AM105" s="62">
        <f t="shared" si="59"/>
        <v>757.92760855012682</v>
      </c>
      <c r="AN105" s="62">
        <f ca="1">AVERAGE(OFFSET($AM$3,0,0,'Données projet'!$E$10+1,1))-AVERAGE(OFFSET($H$3,0,0,'Données projet'!$E$10+1,1))</f>
        <v>363.99473967460347</v>
      </c>
      <c r="AO105" s="62">
        <f t="shared" si="90"/>
        <v>218.5520645293999</v>
      </c>
      <c r="AP105" s="16">
        <f>IF(ISNA(VLOOKUP(A105,'Données projet'!$A$61:$I$81,3,0)),0,VLOOKUP(A105,'Données projet'!$A$61:$I$81,3,0))</f>
        <v>8</v>
      </c>
      <c r="AQ105" s="16">
        <f>IF(ISNA(VLOOKUP(A105,'Données projet'!$A$61:$I$81,4,0)),0,VLOOKUP(A105,'Données projet'!$A$61:$I$81,4,0))</f>
        <v>41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1.738044375088066E-13</v>
      </c>
      <c r="BF105" s="14">
        <f t="shared" si="91"/>
        <v>2.4483293633950478E-12</v>
      </c>
      <c r="BG105" s="22">
        <f t="shared" si="61"/>
        <v>4.566883036574213E-12</v>
      </c>
      <c r="BH105" s="62">
        <f t="shared" si="62"/>
        <v>293.33333333333786</v>
      </c>
      <c r="BI105" s="62">
        <f ca="1">AVERAGE(OFFSET($BH$3,0,0,'Données projet'!$E$11+1,1))-AVERAGE(OFFSET($H$3,0,0,'Données projet'!$E$11+1,1))</f>
        <v>321.23599968992932</v>
      </c>
      <c r="BJ105" s="62">
        <f t="shared" si="92"/>
        <v>388.05195847800502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0.4390552377240754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5.8440175286879896E-10</v>
      </c>
      <c r="BS105" s="24">
        <f t="shared" si="63"/>
        <v>0.43905523830847715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4.583333333333333</v>
      </c>
      <c r="N106" s="14">
        <f>IF('Données projet'!$A$36&gt;35,N105+M106-V105,IF(A106&lt;'Données projet'!$A$36,$K$205^A106,IF(A106='Données projet'!$A$36,'Données projet'!$B$36,N105+M106-V105)))</f>
        <v>174.58333333333326</v>
      </c>
      <c r="O106" s="14">
        <f>N106*VLOOKUP('Données projet'!$B$9,Paramètres!$A$1:$I$89,3,0)*VLOOKUP('Données projet'!$B$9,Paramètres!$A$1:$I$89,5,0)</f>
        <v>157.96299999999994</v>
      </c>
      <c r="P106" s="14">
        <f t="shared" si="87"/>
        <v>40.382722312649626</v>
      </c>
      <c r="Q106" s="22">
        <f t="shared" si="107"/>
        <v>345.45213302786465</v>
      </c>
      <c r="R106" s="62">
        <f t="shared" si="55"/>
        <v>638.7854663611979</v>
      </c>
      <c r="S106" s="62">
        <f ca="1">AVERAGE(OFFSET($R$3,0,0,'Données projet'!$E$9+1,1))-AVERAGE(OFFSET($H$3,0,0,'Données projet'!$E$9+1,1))</f>
        <v>329.14247505779747</v>
      </c>
      <c r="T106" s="62">
        <f t="shared" si="88"/>
        <v>199.43308683696642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4.583333333333333</v>
      </c>
      <c r="AI106" s="14">
        <f>IF('Données projet'!$A$62&gt;35,AI105+AH106-AQ105,IF(A106&lt;'Données projet'!$A$62,$AF$205^A106,IF(A106='Données projet'!$A$62,'Données projet'!$B$62,AI105+AH106-AQ105)))</f>
        <v>174.58333333333326</v>
      </c>
      <c r="AJ106" s="14">
        <f>AI106*VLOOKUP('Données projet'!$B$10,Paramètres!$A$1:$I$89,3,0)*VLOOKUP('Données projet'!$B$10,Paramètres!$A$1:$I$89,5,0)</f>
        <v>177.02749999999992</v>
      </c>
      <c r="AK106" s="14">
        <f t="shared" si="89"/>
        <v>44.660220134711423</v>
      </c>
      <c r="AL106" s="22">
        <f t="shared" si="58"/>
        <v>386.10611256795556</v>
      </c>
      <c r="AM106" s="62">
        <f t="shared" si="59"/>
        <v>679.43944590128888</v>
      </c>
      <c r="AN106" s="62">
        <f ca="1">AVERAGE(OFFSET($AM$3,0,0,'Données projet'!$E$10+1,1))-AVERAGE(OFFSET($H$3,0,0,'Données projet'!$E$10+1,1))</f>
        <v>363.99473967460347</v>
      </c>
      <c r="AO106" s="62">
        <f t="shared" si="90"/>
        <v>218.5520645293999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1.738044375088066E-13</v>
      </c>
      <c r="BF106" s="14">
        <f t="shared" si="91"/>
        <v>2.4483293633950478E-12</v>
      </c>
      <c r="BG106" s="22">
        <f t="shared" si="61"/>
        <v>4.566883036574213E-12</v>
      </c>
      <c r="BH106" s="62">
        <f t="shared" si="62"/>
        <v>293.33333333333786</v>
      </c>
      <c r="BI106" s="62">
        <f ca="1">AVERAGE(OFFSET($BH$3,0,0,'Données projet'!$E$11+1,1))-AVERAGE(OFFSET($H$3,0,0,'Données projet'!$E$11+1,1))</f>
        <v>321.23599968992932</v>
      </c>
      <c r="BJ106" s="62">
        <f t="shared" si="92"/>
        <v>388.05195847800502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0.43044563230955851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4.1323444239083265E-10</v>
      </c>
      <c r="BS106" s="24">
        <f t="shared" si="63"/>
        <v>0.43044563272279296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4.583333333333333</v>
      </c>
      <c r="N107" s="14">
        <f>IF('Données projet'!$A$36&gt;35,N106+M107-V106,IF(A107&lt;'Données projet'!$A$36,$K$205^A107,IF(A107='Données projet'!$A$36,'Données projet'!$B$36,N106+M107-V106)))</f>
        <v>179.1666666666666</v>
      </c>
      <c r="O107" s="14">
        <f>N107*VLOOKUP('Données projet'!$B$9,Paramètres!$A$1:$I$89,3,0)*VLOOKUP('Données projet'!$B$9,Paramètres!$A$1:$I$89,5,0)</f>
        <v>162.10999999999993</v>
      </c>
      <c r="P107" s="14">
        <f t="shared" si="87"/>
        <v>41.318068304799873</v>
      </c>
      <c r="Q107" s="22">
        <f t="shared" si="107"/>
        <v>354.30388563085967</v>
      </c>
      <c r="R107" s="62">
        <f t="shared" si="55"/>
        <v>647.63721896419293</v>
      </c>
      <c r="S107" s="62">
        <f ca="1">AVERAGE(OFFSET($R$3,0,0,'Données projet'!$E$9+1,1))-AVERAGE(OFFSET($H$3,0,0,'Données projet'!$E$9+1,1))</f>
        <v>329.14247505779747</v>
      </c>
      <c r="T107" s="62">
        <f t="shared" si="88"/>
        <v>199.43308683696642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4.583333333333333</v>
      </c>
      <c r="AI107" s="14">
        <f>IF('Données projet'!$A$62&gt;35,AI106+AH107-AQ106,IF(A107&lt;'Données projet'!$A$62,$AF$205^A107,IF(A107='Données projet'!$A$62,'Données projet'!$B$62,AI106+AH107-AQ106)))</f>
        <v>179.1666666666666</v>
      </c>
      <c r="AJ107" s="14">
        <f>AI107*VLOOKUP('Données projet'!$B$10,Paramètres!$A$1:$I$89,3,0)*VLOOKUP('Données projet'!$B$10,Paramètres!$A$1:$I$89,5,0)</f>
        <v>181.67499999999995</v>
      </c>
      <c r="AK107" s="14">
        <f t="shared" si="89"/>
        <v>45.694641677373617</v>
      </c>
      <c r="AL107" s="22">
        <f t="shared" si="58"/>
        <v>396.00212592142566</v>
      </c>
      <c r="AM107" s="62">
        <f t="shared" si="59"/>
        <v>689.33545925475892</v>
      </c>
      <c r="AN107" s="62">
        <f ca="1">AVERAGE(OFFSET($AM$3,0,0,'Données projet'!$E$10+1,1))-AVERAGE(OFFSET($H$3,0,0,'Données projet'!$E$10+1,1))</f>
        <v>363.99473967460347</v>
      </c>
      <c r="AO107" s="62">
        <f t="shared" si="90"/>
        <v>218.5520645293999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1.738044375088066E-13</v>
      </c>
      <c r="BF107" s="14">
        <f t="shared" si="91"/>
        <v>2.4483293633950478E-12</v>
      </c>
      <c r="BG107" s="22">
        <f t="shared" si="61"/>
        <v>4.566883036574213E-12</v>
      </c>
      <c r="BH107" s="62">
        <f t="shared" si="62"/>
        <v>293.33333333333786</v>
      </c>
      <c r="BI107" s="62">
        <f ca="1">AVERAGE(OFFSET($BH$3,0,0,'Données projet'!$E$11+1,1))-AVERAGE(OFFSET($H$3,0,0,'Données projet'!$E$11+1,1))</f>
        <v>321.23599968992932</v>
      </c>
      <c r="BJ107" s="62">
        <f t="shared" si="92"/>
        <v>388.05195847800502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0.4220048560058795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2.9220087643439948E-10</v>
      </c>
      <c r="BS107" s="24">
        <f t="shared" si="63"/>
        <v>0.42200485629808038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4.583333333333333</v>
      </c>
      <c r="N108" s="14">
        <f>IF('Données projet'!$A$36&gt;35,N107+M108-V107,IF(A108&lt;'Données projet'!$A$36,$K$205^A108,IF(A108='Données projet'!$A$36,'Données projet'!$B$36,N107+M108-V107)))</f>
        <v>183.74999999999994</v>
      </c>
      <c r="O108" s="14">
        <f>N108*VLOOKUP('Données projet'!$B$9,Paramètres!$A$1:$I$89,3,0)*VLOOKUP('Données projet'!$B$9,Paramètres!$A$1:$I$89,5,0)</f>
        <v>166.25699999999995</v>
      </c>
      <c r="P108" s="14">
        <f t="shared" si="87"/>
        <v>42.250632963064817</v>
      </c>
      <c r="Q108" s="22">
        <f t="shared" si="107"/>
        <v>363.15079407733782</v>
      </c>
      <c r="R108" s="62">
        <f t="shared" si="55"/>
        <v>656.48412741067114</v>
      </c>
      <c r="S108" s="62">
        <f ca="1">AVERAGE(OFFSET($R$3,0,0,'Données projet'!$E$9+1,1))-AVERAGE(OFFSET($H$3,0,0,'Données projet'!$E$9+1,1))</f>
        <v>329.14247505779747</v>
      </c>
      <c r="T108" s="62">
        <f t="shared" si="88"/>
        <v>199.43308683696642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4.583333333333333</v>
      </c>
      <c r="AI108" s="14">
        <f>IF('Données projet'!$A$62&gt;35,AI107+AH108-AQ107,IF(A108&lt;'Données projet'!$A$62,$AF$205^A108,IF(A108='Données projet'!$A$62,'Données projet'!$B$62,AI107+AH108-AQ107)))</f>
        <v>183.74999999999994</v>
      </c>
      <c r="AJ108" s="14">
        <f>AI108*VLOOKUP('Données projet'!$B$10,Paramètres!$A$1:$I$89,3,0)*VLOOKUP('Données projet'!$B$10,Paramètres!$A$1:$I$89,5,0)</f>
        <v>186.32249999999996</v>
      </c>
      <c r="AK108" s="14">
        <f t="shared" si="89"/>
        <v>46.725987276254116</v>
      </c>
      <c r="AL108" s="22">
        <f t="shared" si="58"/>
        <v>405.89278200614257</v>
      </c>
      <c r="AM108" s="62">
        <f t="shared" si="59"/>
        <v>699.22611533947588</v>
      </c>
      <c r="AN108" s="62">
        <f ca="1">AVERAGE(OFFSET($AM$3,0,0,'Données projet'!$E$10+1,1))-AVERAGE(OFFSET($H$3,0,0,'Données projet'!$E$10+1,1))</f>
        <v>363.99473967460347</v>
      </c>
      <c r="AO108" s="62">
        <f t="shared" si="90"/>
        <v>218.5520645293999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1.738044375088066E-13</v>
      </c>
      <c r="BF108" s="14">
        <f t="shared" si="91"/>
        <v>2.4483293633950478E-12</v>
      </c>
      <c r="BG108" s="22">
        <f t="shared" si="61"/>
        <v>4.566883036574213E-12</v>
      </c>
      <c r="BH108" s="62">
        <f t="shared" si="62"/>
        <v>293.33333333333786</v>
      </c>
      <c r="BI108" s="62">
        <f ca="1">AVERAGE(OFFSET($BH$3,0,0,'Données projet'!$E$11+1,1))-AVERAGE(OFFSET($H$3,0,0,'Données projet'!$E$11+1,1))</f>
        <v>321.23599968992932</v>
      </c>
      <c r="BJ108" s="62">
        <f t="shared" si="92"/>
        <v>388.05195847800502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0.41372959817715049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2.0661722119541633E-10</v>
      </c>
      <c r="BS108" s="24">
        <f t="shared" si="63"/>
        <v>0.41372959838376772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4.583333333333333</v>
      </c>
      <c r="N109" s="14">
        <f>IF('Données projet'!$A$36&gt;35,N108+M109-V108,IF(A109&lt;'Données projet'!$A$36,$K$205^A109,IF(A109='Données projet'!$A$36,'Données projet'!$B$36,N108+M109-V108)))</f>
        <v>188.33333333333329</v>
      </c>
      <c r="O109" s="14">
        <f>N109*VLOOKUP('Données projet'!$B$9,Paramètres!$A$1:$I$89,3,0)*VLOOKUP('Données projet'!$B$9,Paramètres!$A$1:$I$89,5,0)</f>
        <v>170.40399999999994</v>
      </c>
      <c r="P109" s="14">
        <f t="shared" si="87"/>
        <v>43.180493642348132</v>
      </c>
      <c r="Q109" s="22">
        <f t="shared" si="107"/>
        <v>371.99299309375618</v>
      </c>
      <c r="R109" s="62">
        <f t="shared" si="55"/>
        <v>665.3263264270895</v>
      </c>
      <c r="S109" s="62">
        <f ca="1">AVERAGE(OFFSET($R$3,0,0,'Données projet'!$E$9+1,1))-AVERAGE(OFFSET($H$3,0,0,'Données projet'!$E$9+1,1))</f>
        <v>329.14247505779747</v>
      </c>
      <c r="T109" s="62">
        <f t="shared" si="88"/>
        <v>199.43308683696642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4.583333333333333</v>
      </c>
      <c r="AI109" s="14">
        <f>IF('Données projet'!$A$62&gt;35,AI108+AH109-AQ108,IF(A109&lt;'Données projet'!$A$62,$AF$205^A109,IF(A109='Données projet'!$A$62,'Données projet'!$B$62,AI108+AH109-AQ108)))</f>
        <v>188.33333333333329</v>
      </c>
      <c r="AJ109" s="14">
        <f>AI109*VLOOKUP('Données projet'!$B$10,Paramètres!$A$1:$I$89,3,0)*VLOOKUP('Données projet'!$B$10,Paramètres!$A$1:$I$89,5,0)</f>
        <v>190.96999999999997</v>
      </c>
      <c r="AK109" s="14">
        <f t="shared" si="89"/>
        <v>47.754342479994186</v>
      </c>
      <c r="AL109" s="22">
        <f t="shared" si="58"/>
        <v>415.77822981932314</v>
      </c>
      <c r="AM109" s="62">
        <f t="shared" si="59"/>
        <v>709.11156315265646</v>
      </c>
      <c r="AN109" s="62">
        <f ca="1">AVERAGE(OFFSET($AM$3,0,0,'Données projet'!$E$10+1,1))-AVERAGE(OFFSET($H$3,0,0,'Données projet'!$E$10+1,1))</f>
        <v>363.99473967460347</v>
      </c>
      <c r="AO109" s="62">
        <f t="shared" si="90"/>
        <v>218.5520645293999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1.738044375088066E-13</v>
      </c>
      <c r="BF109" s="14">
        <f t="shared" si="91"/>
        <v>2.4483293633950478E-12</v>
      </c>
      <c r="BG109" s="22">
        <f t="shared" si="61"/>
        <v>4.566883036574213E-12</v>
      </c>
      <c r="BH109" s="62">
        <f t="shared" si="62"/>
        <v>293.33333333333786</v>
      </c>
      <c r="BI109" s="62">
        <f ca="1">AVERAGE(OFFSET($BH$3,0,0,'Données projet'!$E$11+1,1))-AVERAGE(OFFSET($H$3,0,0,'Données projet'!$E$11+1,1))</f>
        <v>321.23599968992932</v>
      </c>
      <c r="BJ109" s="62">
        <f t="shared" si="92"/>
        <v>388.05195847800502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0.40561661310703395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1.4610043821719974E-10</v>
      </c>
      <c r="BS109" s="24">
        <f t="shared" si="63"/>
        <v>0.40561661325313442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4.583333333333333</v>
      </c>
      <c r="N110" s="14">
        <f>IF('Données projet'!$A$36&gt;35,N109+M110-V109,IF(A110&lt;'Données projet'!$A$36,$K$205^A110,IF(A110='Données projet'!$A$36,'Données projet'!$B$36,N109+M110-V109)))</f>
        <v>192.91666666666663</v>
      </c>
      <c r="O110" s="14">
        <f>N110*VLOOKUP('Données projet'!$B$9,Paramètres!$A$1:$I$89,3,0)*VLOOKUP('Données projet'!$B$9,Paramètres!$A$1:$I$89,5,0)</f>
        <v>174.55099999999996</v>
      </c>
      <c r="P110" s="14">
        <f t="shared" si="87"/>
        <v>44.10772371781929</v>
      </c>
      <c r="Q110" s="22">
        <f t="shared" si="107"/>
        <v>380.83061047520181</v>
      </c>
      <c r="R110" s="62">
        <f t="shared" si="55"/>
        <v>674.16394380853512</v>
      </c>
      <c r="S110" s="62">
        <f ca="1">AVERAGE(OFFSET($R$3,0,0,'Données projet'!$E$9+1,1))-AVERAGE(OFFSET($H$3,0,0,'Données projet'!$E$9+1,1))</f>
        <v>329.14247505779747</v>
      </c>
      <c r="T110" s="62">
        <f t="shared" si="88"/>
        <v>199.43308683696642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4.583333333333333</v>
      </c>
      <c r="AI110" s="14">
        <f>IF('Données projet'!$A$62&gt;35,AI109+AH110-AQ109,IF(A110&lt;'Données projet'!$A$62,$AF$205^A110,IF(A110='Données projet'!$A$62,'Données projet'!$B$62,AI109+AH110-AQ109)))</f>
        <v>192.91666666666663</v>
      </c>
      <c r="AJ110" s="14">
        <f>AI110*VLOOKUP('Données projet'!$B$10,Paramètres!$A$1:$I$89,3,0)*VLOOKUP('Données projet'!$B$10,Paramètres!$A$1:$I$89,5,0)</f>
        <v>195.61749999999998</v>
      </c>
      <c r="AK110" s="14">
        <f t="shared" si="89"/>
        <v>48.779788435951872</v>
      </c>
      <c r="AL110" s="22">
        <f t="shared" si="58"/>
        <v>425.65861069261609</v>
      </c>
      <c r="AM110" s="62">
        <f t="shared" si="59"/>
        <v>718.99194402594935</v>
      </c>
      <c r="AN110" s="62">
        <f ca="1">AVERAGE(OFFSET($AM$3,0,0,'Données projet'!$E$10+1,1))-AVERAGE(OFFSET($H$3,0,0,'Données projet'!$E$10+1,1))</f>
        <v>363.99473967460347</v>
      </c>
      <c r="AO110" s="62">
        <f t="shared" si="90"/>
        <v>218.5520645293999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1.738044375088066E-13</v>
      </c>
      <c r="BF110" s="14">
        <f t="shared" si="91"/>
        <v>2.4483293633950478E-12</v>
      </c>
      <c r="BG110" s="22">
        <f t="shared" si="61"/>
        <v>4.566883036574213E-12</v>
      </c>
      <c r="BH110" s="62">
        <f t="shared" si="62"/>
        <v>293.33333333333786</v>
      </c>
      <c r="BI110" s="62">
        <f ca="1">AVERAGE(OFFSET($BH$3,0,0,'Données projet'!$E$11+1,1))-AVERAGE(OFFSET($H$3,0,0,'Données projet'!$E$11+1,1))</f>
        <v>321.23599968992932</v>
      </c>
      <c r="BJ110" s="62">
        <f t="shared" si="92"/>
        <v>388.05195847800502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0.39766271872571013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1.0330861059770816E-10</v>
      </c>
      <c r="BS110" s="24">
        <f t="shared" si="63"/>
        <v>0.39766271882901871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4.583333333333333</v>
      </c>
      <c r="N111" s="14">
        <f>IF('Données projet'!$A$36&gt;35,N110+M111-V110,IF(A111&lt;'Données projet'!$A$36,$K$205^A111,IF(A111='Données projet'!$A$36,'Données projet'!$B$36,N110+M111-V110)))</f>
        <v>197.49999999999997</v>
      </c>
      <c r="O111" s="14">
        <f>N111*VLOOKUP('Données projet'!$B$9,Paramètres!$A$1:$I$89,3,0)*VLOOKUP('Données projet'!$B$9,Paramètres!$A$1:$I$89,5,0)</f>
        <v>178.69799999999995</v>
      </c>
      <c r="P111" s="14">
        <f t="shared" si="87"/>
        <v>45.032392879276927</v>
      </c>
      <c r="Q111" s="22">
        <f t="shared" si="107"/>
        <v>389.66376759807389</v>
      </c>
      <c r="R111" s="62">
        <f t="shared" si="55"/>
        <v>682.9971009314072</v>
      </c>
      <c r="S111" s="62">
        <f ca="1">AVERAGE(OFFSET($R$3,0,0,'Données projet'!$E$9+1,1))-AVERAGE(OFFSET($H$3,0,0,'Données projet'!$E$9+1,1))</f>
        <v>329.14247505779747</v>
      </c>
      <c r="T111" s="62">
        <f t="shared" si="88"/>
        <v>199.43308683696642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4.583333333333333</v>
      </c>
      <c r="AI111" s="14">
        <f>IF('Données projet'!$A$62&gt;35,AI110+AH111-AQ110,IF(A111&lt;'Données projet'!$A$62,$AF$205^A111,IF(A111='Données projet'!$A$62,'Données projet'!$B$62,AI110+AH111-AQ110)))</f>
        <v>197.49999999999997</v>
      </c>
      <c r="AJ111" s="14">
        <f>AI111*VLOOKUP('Données projet'!$B$10,Paramètres!$A$1:$I$89,3,0)*VLOOKUP('Données projet'!$B$10,Paramètres!$A$1:$I$89,5,0)</f>
        <v>200.26500000000001</v>
      </c>
      <c r="AK111" s="14">
        <f t="shared" si="89"/>
        <v>49.802402215745047</v>
      </c>
      <c r="AL111" s="22">
        <f t="shared" si="58"/>
        <v>435.53405885908927</v>
      </c>
      <c r="AM111" s="62">
        <f t="shared" si="59"/>
        <v>728.86739219242259</v>
      </c>
      <c r="AN111" s="62">
        <f ca="1">AVERAGE(OFFSET($AM$3,0,0,'Données projet'!$E$10+1,1))-AVERAGE(OFFSET($H$3,0,0,'Données projet'!$E$10+1,1))</f>
        <v>363.99473967460347</v>
      </c>
      <c r="AO111" s="62">
        <f t="shared" si="90"/>
        <v>218.5520645293999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1.738044375088066E-13</v>
      </c>
      <c r="BF111" s="14">
        <f t="shared" si="91"/>
        <v>2.4483293633950478E-12</v>
      </c>
      <c r="BG111" s="22">
        <f t="shared" si="61"/>
        <v>4.566883036574213E-12</v>
      </c>
      <c r="BH111" s="62">
        <f t="shared" si="62"/>
        <v>293.33333333333786</v>
      </c>
      <c r="BI111" s="62">
        <f ca="1">AVERAGE(OFFSET($BH$3,0,0,'Données projet'!$E$11+1,1))-AVERAGE(OFFSET($H$3,0,0,'Données projet'!$E$11+1,1))</f>
        <v>321.23599968992932</v>
      </c>
      <c r="BJ111" s="62">
        <f t="shared" si="92"/>
        <v>388.05195847800502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0.38986479536180751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7.305021910859987E-11</v>
      </c>
      <c r="BS111" s="24">
        <f t="shared" si="63"/>
        <v>0.38986479543485775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4.583333333333333</v>
      </c>
      <c r="N112" s="14">
        <f>IF('Données projet'!$A$36&gt;35,N111+M112-V111,IF(A112&lt;'Données projet'!$A$36,$K$205^A112,IF(A112='Données projet'!$A$36,'Données projet'!$B$36,N111+M112-V111)))</f>
        <v>202.08333333333331</v>
      </c>
      <c r="O112" s="14">
        <f>N112*VLOOKUP('Données projet'!$B$9,Paramètres!$A$1:$I$89,3,0)*VLOOKUP('Données projet'!$B$9,Paramètres!$A$1:$I$89,5,0)</f>
        <v>182.84499999999997</v>
      </c>
      <c r="P112" s="14">
        <f t="shared" si="87"/>
        <v>45.954567397416497</v>
      </c>
      <c r="Q112" s="22">
        <f t="shared" si="107"/>
        <v>398.49257988383368</v>
      </c>
      <c r="R112" s="62">
        <f t="shared" si="55"/>
        <v>691.825913217167</v>
      </c>
      <c r="S112" s="62">
        <f ca="1">AVERAGE(OFFSET($R$3,0,0,'Données projet'!$E$9+1,1))-AVERAGE(OFFSET($H$3,0,0,'Données projet'!$E$9+1,1))</f>
        <v>329.14247505779747</v>
      </c>
      <c r="T112" s="62">
        <f t="shared" si="88"/>
        <v>199.43308683696642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4.583333333333333</v>
      </c>
      <c r="AI112" s="14">
        <f>IF('Données projet'!$A$62&gt;35,AI111+AH112-AQ111,IF(A112&lt;'Données projet'!$A$62,$AF$205^A112,IF(A112='Données projet'!$A$62,'Données projet'!$B$62,AI111+AH112-AQ111)))</f>
        <v>202.08333333333331</v>
      </c>
      <c r="AJ112" s="14">
        <f>AI112*VLOOKUP('Données projet'!$B$10,Paramètres!$A$1:$I$89,3,0)*VLOOKUP('Données projet'!$B$10,Paramètres!$A$1:$I$89,5,0)</f>
        <v>204.91249999999999</v>
      </c>
      <c r="AK112" s="14">
        <f t="shared" si="89"/>
        <v>50.822257109723651</v>
      </c>
      <c r="AL112" s="22">
        <f t="shared" si="58"/>
        <v>445.40470196610204</v>
      </c>
      <c r="AM112" s="62">
        <f t="shared" si="59"/>
        <v>738.7380352994353</v>
      </c>
      <c r="AN112" s="62">
        <f ca="1">AVERAGE(OFFSET($AM$3,0,0,'Données projet'!$E$10+1,1))-AVERAGE(OFFSET($H$3,0,0,'Données projet'!$E$10+1,1))</f>
        <v>363.99473967460347</v>
      </c>
      <c r="AO112" s="62">
        <f t="shared" si="90"/>
        <v>218.5520645293999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1.738044375088066E-13</v>
      </c>
      <c r="BF112" s="14">
        <f t="shared" si="91"/>
        <v>2.4483293633950478E-12</v>
      </c>
      <c r="BG112" s="22">
        <f t="shared" si="61"/>
        <v>4.566883036574213E-12</v>
      </c>
      <c r="BH112" s="62">
        <f t="shared" si="62"/>
        <v>293.33333333333786</v>
      </c>
      <c r="BI112" s="62">
        <f ca="1">AVERAGE(OFFSET($BH$3,0,0,'Données projet'!$E$11+1,1))-AVERAGE(OFFSET($H$3,0,0,'Données projet'!$E$11+1,1))</f>
        <v>321.23599968992932</v>
      </c>
      <c r="BJ112" s="62">
        <f t="shared" si="92"/>
        <v>388.05195847800502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0.38221978451880745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5.1654305298854081E-11</v>
      </c>
      <c r="BS112" s="24">
        <f t="shared" si="63"/>
        <v>0.38221978457046174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4.583333333333333</v>
      </c>
      <c r="N113" s="14">
        <f>IF('Données projet'!$A$36&gt;35,N112+M113-V112,IF(A113&lt;'Données projet'!$A$36,$K$205^A113,IF(A113='Données projet'!$A$36,'Données projet'!$B$36,N112+M113-V112)))</f>
        <v>206.66666666666666</v>
      </c>
      <c r="O113" s="14">
        <f>N113*VLOOKUP('Données projet'!$B$9,Paramètres!$A$1:$I$89,3,0)*VLOOKUP('Données projet'!$B$9,Paramètres!$A$1:$I$89,5,0)</f>
        <v>186.99199999999996</v>
      </c>
      <c r="P113" s="14">
        <f t="shared" si="87"/>
        <v>46.87431036526138</v>
      </c>
      <c r="Q113" s="22">
        <f t="shared" si="107"/>
        <v>407.31715721949678</v>
      </c>
      <c r="R113" s="62">
        <f t="shared" si="55"/>
        <v>700.65049055283009</v>
      </c>
      <c r="S113" s="62">
        <f ca="1">AVERAGE(OFFSET($R$3,0,0,'Données projet'!$E$9+1,1))-AVERAGE(OFFSET($H$3,0,0,'Données projet'!$E$9+1,1))</f>
        <v>329.14247505779747</v>
      </c>
      <c r="T113" s="62">
        <f t="shared" si="88"/>
        <v>199.43308683696642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4.583333333333333</v>
      </c>
      <c r="AI113" s="14">
        <f>IF('Données projet'!$A$62&gt;35,AI112+AH113-AQ112,IF(A113&lt;'Données projet'!$A$62,$AF$205^A113,IF(A113='Données projet'!$A$62,'Données projet'!$B$62,AI112+AH113-AQ112)))</f>
        <v>206.66666666666666</v>
      </c>
      <c r="AJ113" s="14">
        <f>AI113*VLOOKUP('Données projet'!$B$10,Paramètres!$A$1:$I$89,3,0)*VLOOKUP('Données projet'!$B$10,Paramètres!$A$1:$I$89,5,0)</f>
        <v>209.56000000000003</v>
      </c>
      <c r="AK113" s="14">
        <f t="shared" si="89"/>
        <v>51.839422893973833</v>
      </c>
      <c r="AL113" s="22">
        <f t="shared" si="58"/>
        <v>455.2706615403377</v>
      </c>
      <c r="AM113" s="62">
        <f t="shared" si="59"/>
        <v>748.60399487367101</v>
      </c>
      <c r="AN113" s="62">
        <f ca="1">AVERAGE(OFFSET($AM$3,0,0,'Données projet'!$E$10+1,1))-AVERAGE(OFFSET($H$3,0,0,'Données projet'!$E$10+1,1))</f>
        <v>363.99473967460347</v>
      </c>
      <c r="AO113" s="62">
        <f t="shared" si="90"/>
        <v>218.5520645293999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1.738044375088066E-13</v>
      </c>
      <c r="BF113" s="14">
        <f t="shared" si="91"/>
        <v>2.4483293633950478E-12</v>
      </c>
      <c r="BG113" s="22">
        <f t="shared" si="61"/>
        <v>4.566883036574213E-12</v>
      </c>
      <c r="BH113" s="62">
        <f t="shared" si="62"/>
        <v>293.33333333333786</v>
      </c>
      <c r="BI113" s="62">
        <f ca="1">AVERAGE(OFFSET($BH$3,0,0,'Données projet'!$E$11+1,1))-AVERAGE(OFFSET($H$3,0,0,'Données projet'!$E$11+1,1))</f>
        <v>321.23599968992932</v>
      </c>
      <c r="BJ113" s="62">
        <f t="shared" si="92"/>
        <v>388.05195847800502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0.37472468767544242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3.6525109554299935E-11</v>
      </c>
      <c r="BS113" s="24">
        <f t="shared" si="63"/>
        <v>0.37472468771196754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4.583333333333333</v>
      </c>
      <c r="N114" s="14">
        <f>IF('Données projet'!$A$36&gt;35,N113+M114-V113,IF(A114&lt;'Données projet'!$A$36,$K$205^A114,IF(A114='Données projet'!$A$36,'Données projet'!$B$36,N113+M114-V113)))</f>
        <v>211.25</v>
      </c>
      <c r="O114" s="14">
        <f>N114*VLOOKUP('Données projet'!$B$9,Paramètres!$A$1:$I$89,3,0)*VLOOKUP('Données projet'!$B$9,Paramètres!$A$1:$I$89,5,0)</f>
        <v>191.13899999999998</v>
      </c>
      <c r="P114" s="14">
        <f t="shared" si="87"/>
        <v>47.791681917572546</v>
      </c>
      <c r="Q114" s="22">
        <f t="shared" si="107"/>
        <v>416.13760433977217</v>
      </c>
      <c r="R114" s="62">
        <f t="shared" si="55"/>
        <v>709.47093767310548</v>
      </c>
      <c r="S114" s="62">
        <f ca="1">AVERAGE(OFFSET($R$3,0,0,'Données projet'!$E$9+1,1))-AVERAGE(OFFSET($H$3,0,0,'Données projet'!$E$9+1,1))</f>
        <v>329.14247505779747</v>
      </c>
      <c r="T114" s="62">
        <f t="shared" si="88"/>
        <v>199.43308683696642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4.583333333333333</v>
      </c>
      <c r="AI114" s="14">
        <f>IF('Données projet'!$A$62&gt;35,AI113+AH114-AQ113,IF(A114&lt;'Données projet'!$A$62,$AF$205^A114,IF(A114='Données projet'!$A$62,'Données projet'!$B$62,AI113+AH114-AQ113)))</f>
        <v>211.25</v>
      </c>
      <c r="AJ114" s="14">
        <f>AI114*VLOOKUP('Données projet'!$B$10,Paramètres!$A$1:$I$89,3,0)*VLOOKUP('Données projet'!$B$10,Paramètres!$A$1:$I$89,5,0)</f>
        <v>214.20750000000001</v>
      </c>
      <c r="AK114" s="14">
        <f t="shared" si="89"/>
        <v>52.853966072968603</v>
      </c>
      <c r="AL114" s="22">
        <f t="shared" si="58"/>
        <v>465.13205341042038</v>
      </c>
      <c r="AM114" s="62">
        <f t="shared" si="59"/>
        <v>758.4653867437537</v>
      </c>
      <c r="AN114" s="62">
        <f ca="1">AVERAGE(OFFSET($AM$3,0,0,'Données projet'!$E$10+1,1))-AVERAGE(OFFSET($H$3,0,0,'Données projet'!$E$10+1,1))</f>
        <v>363.99473967460347</v>
      </c>
      <c r="AO114" s="62">
        <f t="shared" si="90"/>
        <v>218.5520645293999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1.738044375088066E-13</v>
      </c>
      <c r="BF114" s="14">
        <f t="shared" si="91"/>
        <v>2.4483293633950478E-12</v>
      </c>
      <c r="BG114" s="22">
        <f t="shared" si="61"/>
        <v>4.566883036574213E-12</v>
      </c>
      <c r="BH114" s="62">
        <f t="shared" si="62"/>
        <v>293.33333333333786</v>
      </c>
      <c r="BI114" s="62">
        <f ca="1">AVERAGE(OFFSET($BH$3,0,0,'Données projet'!$E$11+1,1))-AVERAGE(OFFSET($H$3,0,0,'Données projet'!$E$11+1,1))</f>
        <v>321.23599968992932</v>
      </c>
      <c r="BJ114" s="62">
        <f t="shared" si="92"/>
        <v>388.05195847800502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0.36737656510961808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2.5827152649427041E-11</v>
      </c>
      <c r="BS114" s="24">
        <f t="shared" si="63"/>
        <v>0.36737656513544525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4.583333333333333</v>
      </c>
      <c r="N115" s="14">
        <f>IF('Données projet'!$A$36&gt;35,N114+M115-V114,IF(A115&lt;'Données projet'!$A$36,$K$205^A115,IF(A115='Données projet'!$A$36,'Données projet'!$B$36,N114+M115-V114)))</f>
        <v>215.83333333333334</v>
      </c>
      <c r="O115" s="14">
        <f>N115*VLOOKUP('Données projet'!$B$9,Paramètres!$A$1:$I$89,3,0)*VLOOKUP('Données projet'!$B$9,Paramètres!$A$1:$I$89,5,0)</f>
        <v>195.286</v>
      </c>
      <c r="P115" s="14">
        <f t="shared" si="87"/>
        <v>48.70673943067964</v>
      </c>
      <c r="Q115" s="22">
        <f t="shared" si="107"/>
        <v>424.95402117510031</v>
      </c>
      <c r="R115" s="62">
        <f t="shared" si="55"/>
        <v>718.28735450843362</v>
      </c>
      <c r="S115" s="62">
        <f ca="1">AVERAGE(OFFSET($R$3,0,0,'Données projet'!$E$9+1,1))-AVERAGE(OFFSET($H$3,0,0,'Données projet'!$E$9+1,1))</f>
        <v>329.14247505779747</v>
      </c>
      <c r="T115" s="62">
        <f t="shared" si="88"/>
        <v>199.43308683696642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4.583333333333333</v>
      </c>
      <c r="AI115" s="14">
        <f>IF('Données projet'!$A$62&gt;35,AI114+AH115-AQ114,IF(A115&lt;'Données projet'!$A$62,$AF$205^A115,IF(A115='Données projet'!$A$62,'Données projet'!$B$62,AI114+AH115-AQ114)))</f>
        <v>215.83333333333334</v>
      </c>
      <c r="AJ115" s="14">
        <f>AI115*VLOOKUP('Données projet'!$B$10,Paramètres!$A$1:$I$89,3,0)*VLOOKUP('Données projet'!$B$10,Paramètres!$A$1:$I$89,5,0)</f>
        <v>218.85500000000005</v>
      </c>
      <c r="AK115" s="14">
        <f t="shared" si="89"/>
        <v>53.865950100565549</v>
      </c>
      <c r="AL115" s="22">
        <f t="shared" si="58"/>
        <v>474.98898809181838</v>
      </c>
      <c r="AM115" s="62">
        <f t="shared" si="59"/>
        <v>768.3223214251517</v>
      </c>
      <c r="AN115" s="62">
        <f ca="1">AVERAGE(OFFSET($AM$3,0,0,'Données projet'!$E$10+1,1))-AVERAGE(OFFSET($H$3,0,0,'Données projet'!$E$10+1,1))</f>
        <v>363.99473967460347</v>
      </c>
      <c r="AO115" s="62">
        <f t="shared" si="90"/>
        <v>218.5520645293999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1.738044375088066E-13</v>
      </c>
      <c r="BF115" s="14">
        <f t="shared" si="91"/>
        <v>2.4483293633950478E-12</v>
      </c>
      <c r="BG115" s="22">
        <f t="shared" si="61"/>
        <v>4.566883036574213E-12</v>
      </c>
      <c r="BH115" s="62">
        <f t="shared" si="62"/>
        <v>293.33333333333786</v>
      </c>
      <c r="BI115" s="62">
        <f ca="1">AVERAGE(OFFSET($BH$3,0,0,'Données projet'!$E$11+1,1))-AVERAGE(OFFSET($H$3,0,0,'Données projet'!$E$11+1,1))</f>
        <v>321.23599968992932</v>
      </c>
      <c r="BJ115" s="62">
        <f t="shared" si="92"/>
        <v>388.05195847800502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0.36017253474539734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1.8262554777149968E-11</v>
      </c>
      <c r="BS115" s="24">
        <f t="shared" si="63"/>
        <v>0.3601725347636599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4.583333333333333</v>
      </c>
      <c r="N116" s="14">
        <f>IF('Données projet'!$A$36&gt;35,N115+M116-V115,IF(A116&lt;'Données projet'!$A$36,$K$205^A116,IF(A116='Données projet'!$A$36,'Données projet'!$B$36,N115+M116-V115)))</f>
        <v>220.41666666666669</v>
      </c>
      <c r="O116" s="14">
        <f>N116*VLOOKUP('Données projet'!$B$9,Paramètres!$A$1:$I$89,3,0)*VLOOKUP('Données projet'!$B$9,Paramètres!$A$1:$I$89,5,0)</f>
        <v>199.43300000000002</v>
      </c>
      <c r="P116" s="14">
        <f t="shared" si="87"/>
        <v>49.619537704859006</v>
      </c>
      <c r="Q116" s="22">
        <f t="shared" si="107"/>
        <v>433.76650316929613</v>
      </c>
      <c r="R116" s="62">
        <f t="shared" si="55"/>
        <v>727.09983650262939</v>
      </c>
      <c r="S116" s="62">
        <f ca="1">AVERAGE(OFFSET($R$3,0,0,'Données projet'!$E$9+1,1))-AVERAGE(OFFSET($H$3,0,0,'Données projet'!$E$9+1,1))</f>
        <v>329.14247505779747</v>
      </c>
      <c r="T116" s="62">
        <f t="shared" si="88"/>
        <v>199.43308683696642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4.583333333333333</v>
      </c>
      <c r="AI116" s="14">
        <f>IF('Données projet'!$A$62&gt;35,AI115+AH116-AQ115,IF(A116&lt;'Données projet'!$A$62,$AF$205^A116,IF(A116='Données projet'!$A$62,'Données projet'!$B$62,AI115+AH116-AQ115)))</f>
        <v>220.41666666666669</v>
      </c>
      <c r="AJ116" s="14">
        <f>AI116*VLOOKUP('Données projet'!$B$10,Paramètres!$A$1:$I$89,3,0)*VLOOKUP('Données projet'!$B$10,Paramètres!$A$1:$I$89,5,0)</f>
        <v>223.50250000000003</v>
      </c>
      <c r="AK116" s="14">
        <f t="shared" si="89"/>
        <v>54.875435581703243</v>
      </c>
      <c r="AL116" s="22">
        <f t="shared" si="58"/>
        <v>484.84157113813313</v>
      </c>
      <c r="AM116" s="62">
        <f t="shared" si="59"/>
        <v>778.17490447146645</v>
      </c>
      <c r="AN116" s="62">
        <f ca="1">AVERAGE(OFFSET($AM$3,0,0,'Données projet'!$E$10+1,1))-AVERAGE(OFFSET($H$3,0,0,'Données projet'!$E$10+1,1))</f>
        <v>363.99473967460347</v>
      </c>
      <c r="AO116" s="62">
        <f t="shared" si="90"/>
        <v>218.5520645293999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1.738044375088066E-13</v>
      </c>
      <c r="BF116" s="14">
        <f t="shared" si="91"/>
        <v>2.4483293633950478E-12</v>
      </c>
      <c r="BG116" s="22">
        <f t="shared" si="61"/>
        <v>4.566883036574213E-12</v>
      </c>
      <c r="BH116" s="62">
        <f t="shared" si="62"/>
        <v>293.33333333333786</v>
      </c>
      <c r="BI116" s="62">
        <f ca="1">AVERAGE(OFFSET($BH$3,0,0,'Données projet'!$E$11+1,1))-AVERAGE(OFFSET($H$3,0,0,'Données projet'!$E$11+1,1))</f>
        <v>321.23599968992932</v>
      </c>
      <c r="BJ116" s="62">
        <f t="shared" si="92"/>
        <v>388.05195847800502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0.35310977102259433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1.291357632471352E-11</v>
      </c>
      <c r="BS116" s="24">
        <f t="shared" si="63"/>
        <v>0.35310977103550789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225</v>
      </c>
      <c r="L117" s="13">
        <f>VLOOKUP(A117,'Données projet'!$A$35:$I$55,9,0)</f>
        <v>4.583333333333333</v>
      </c>
      <c r="M117" s="13">
        <f t="array" ref="M117">INDEX(L:L,MIN(IF(ISNUMBER(L117:L313),ROW(L117:L313),"")))</f>
        <v>4.583333333333333</v>
      </c>
      <c r="N117" s="14">
        <f>IF('Données projet'!$A$36&gt;35,N116+M117-V116,IF(A117&lt;'Données projet'!$A$36,$K$205^A117,IF(A117='Données projet'!$A$36,'Données projet'!$B$36,N116+M117-V116)))</f>
        <v>225.00000000000003</v>
      </c>
      <c r="O117" s="14">
        <f>N117*VLOOKUP('Données projet'!$B$9,Paramètres!$A$1:$I$89,3,0)*VLOOKUP('Données projet'!$B$9,Paramètres!$A$1:$I$89,5,0)</f>
        <v>203.58</v>
      </c>
      <c r="P117" s="14">
        <f t="shared" si="87"/>
        <v>50.530129131114101</v>
      </c>
      <c r="Q117" s="22">
        <f t="shared" si="107"/>
        <v>442.57514157002373</v>
      </c>
      <c r="R117" s="62">
        <f t="shared" si="55"/>
        <v>735.90847490335705</v>
      </c>
      <c r="S117" s="62">
        <f ca="1">AVERAGE(OFFSET($R$3,0,0,'Données projet'!$E$9+1,1))-AVERAGE(OFFSET($H$3,0,0,'Données projet'!$E$9+1,1))</f>
        <v>329.14247505779747</v>
      </c>
      <c r="T117" s="62">
        <f t="shared" si="88"/>
        <v>199.43308683696642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37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>
        <f>VLOOKUP(A117,'Données projet'!$A$61:$I$81,2,0)</f>
        <v>225</v>
      </c>
      <c r="AG117" s="13">
        <f>VLOOKUP(A117,'Données projet'!$A$61:$I$81,9,0)</f>
        <v>4.583333333333333</v>
      </c>
      <c r="AH117" s="13">
        <f t="array" ref="AH117">INDEX(AG:AG,MIN(IF(ISNUMBER(AG117:AG313),ROW(AG117:AG313),"")))</f>
        <v>4.583333333333333</v>
      </c>
      <c r="AI117" s="14">
        <f>IF('Données projet'!$A$62&gt;35,AI116+AH117-AQ116,IF(A117&lt;'Données projet'!$A$62,$AF$205^A117,IF(A117='Données projet'!$A$62,'Données projet'!$B$62,AI116+AH117-AQ116)))</f>
        <v>225.00000000000003</v>
      </c>
      <c r="AJ117" s="14">
        <f>AI117*VLOOKUP('Données projet'!$B$10,Paramètres!$A$1:$I$89,3,0)*VLOOKUP('Données projet'!$B$10,Paramètres!$A$1:$I$89,5,0)</f>
        <v>228.15000000000006</v>
      </c>
      <c r="AK117" s="14">
        <f t="shared" si="89"/>
        <v>55.882480456847702</v>
      </c>
      <c r="AL117" s="22">
        <f t="shared" si="58"/>
        <v>494.68990346234324</v>
      </c>
      <c r="AM117" s="62">
        <f t="shared" si="59"/>
        <v>788.02323679567655</v>
      </c>
      <c r="AN117" s="62">
        <f ca="1">AVERAGE(OFFSET($AM$3,0,0,'Données projet'!$E$10+1,1))-AVERAGE(OFFSET($H$3,0,0,'Données projet'!$E$10+1,1))</f>
        <v>363.99473967460347</v>
      </c>
      <c r="AO117" s="62">
        <f t="shared" si="90"/>
        <v>218.5520645293999</v>
      </c>
      <c r="AP117" s="16">
        <f>IF(ISNA(VLOOKUP(A117,'Données projet'!$A$61:$I$81,3,0)),0,VLOOKUP(A117,'Données projet'!$A$61:$I$81,3,0))</f>
        <v>9</v>
      </c>
      <c r="AQ117" s="16">
        <f>IF(ISNA(VLOOKUP(A117,'Données projet'!$A$61:$I$81,4,0)),0,VLOOKUP(A117,'Données projet'!$A$61:$I$81,4,0))</f>
        <v>37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1.738044375088066E-13</v>
      </c>
      <c r="BF117" s="14">
        <f t="shared" si="91"/>
        <v>2.4483293633950478E-12</v>
      </c>
      <c r="BG117" s="22">
        <f t="shared" si="61"/>
        <v>4.566883036574213E-12</v>
      </c>
      <c r="BH117" s="62">
        <f t="shared" si="62"/>
        <v>293.33333333333786</v>
      </c>
      <c r="BI117" s="62">
        <f ca="1">AVERAGE(OFFSET($BH$3,0,0,'Données projet'!$E$11+1,1))-AVERAGE(OFFSET($H$3,0,0,'Données projet'!$E$11+1,1))</f>
        <v>321.23599968992932</v>
      </c>
      <c r="BJ117" s="62">
        <f t="shared" si="92"/>
        <v>388.05195847800502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0.34618550378853502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9.1312773885749838E-12</v>
      </c>
      <c r="BS117" s="24">
        <f t="shared" si="63"/>
        <v>0.34618550379766627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4.666666666666667</v>
      </c>
      <c r="N118" s="14">
        <f>IF('Données projet'!$A$36&gt;35,N117+M118-V117,IF(A118&lt;'Données projet'!$A$36,$K$205^A118,IF(A118='Données projet'!$A$36,'Données projet'!$B$36,N117+M118-V117)))</f>
        <v>192.66666666666669</v>
      </c>
      <c r="O118" s="14">
        <f>N118*VLOOKUP('Données projet'!$B$9,Paramètres!$A$1:$I$89,3,0)*VLOOKUP('Données projet'!$B$9,Paramètres!$A$1:$I$89,5,0)</f>
        <v>174.32480000000001</v>
      </c>
      <c r="P118" s="14">
        <f t="shared" si="87"/>
        <v>44.057214181496924</v>
      </c>
      <c r="Q118" s="22">
        <f t="shared" si="107"/>
        <v>380.34867469944055</v>
      </c>
      <c r="R118" s="62">
        <f t="shared" si="55"/>
        <v>673.68200803277387</v>
      </c>
      <c r="S118" s="62">
        <f ca="1">AVERAGE(OFFSET($R$3,0,0,'Données projet'!$E$9+1,1))-AVERAGE(OFFSET($H$3,0,0,'Données projet'!$E$9+1,1))</f>
        <v>329.14247505779747</v>
      </c>
      <c r="T118" s="62">
        <f t="shared" si="88"/>
        <v>199.43308683696642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4.666666666666667</v>
      </c>
      <c r="AI118" s="14">
        <f>IF('Données projet'!$A$62&gt;35,AI117+AH118-AQ117,IF(A118&lt;'Données projet'!$A$62,$AF$205^A118,IF(A118='Données projet'!$A$62,'Données projet'!$B$62,AI117+AH118-AQ117)))</f>
        <v>192.66666666666669</v>
      </c>
      <c r="AJ118" s="14">
        <f>AI118*VLOOKUP('Données projet'!$B$10,Paramètres!$A$1:$I$89,3,0)*VLOOKUP('Données projet'!$B$10,Paramètres!$A$1:$I$89,5,0)</f>
        <v>195.36400000000003</v>
      </c>
      <c r="AK118" s="14">
        <f t="shared" si="89"/>
        <v>48.723928729575597</v>
      </c>
      <c r="AL118" s="22">
        <f t="shared" si="58"/>
        <v>425.11980920401083</v>
      </c>
      <c r="AM118" s="62">
        <f t="shared" si="59"/>
        <v>718.45314253734409</v>
      </c>
      <c r="AN118" s="62">
        <f ca="1">AVERAGE(OFFSET($AM$3,0,0,'Données projet'!$E$10+1,1))-AVERAGE(OFFSET($H$3,0,0,'Données projet'!$E$10+1,1))</f>
        <v>363.99473967460347</v>
      </c>
      <c r="AO118" s="62">
        <f t="shared" si="90"/>
        <v>218.5520645293999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1.738044375088066E-13</v>
      </c>
      <c r="BF118" s="14">
        <f t="shared" si="91"/>
        <v>2.4483293633950478E-12</v>
      </c>
      <c r="BG118" s="22">
        <f t="shared" si="61"/>
        <v>4.566883036574213E-12</v>
      </c>
      <c r="BH118" s="62">
        <f t="shared" si="62"/>
        <v>293.33333333333786</v>
      </c>
      <c r="BI118" s="62">
        <f ca="1">AVERAGE(OFFSET($BH$3,0,0,'Données projet'!$E$11+1,1))-AVERAGE(OFFSET($H$3,0,0,'Données projet'!$E$11+1,1))</f>
        <v>321.23599968992932</v>
      </c>
      <c r="BJ118" s="62">
        <f t="shared" si="92"/>
        <v>388.05195847800502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0.33939701721154958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6.4567881623567602E-12</v>
      </c>
      <c r="BS118" s="24">
        <f t="shared" si="63"/>
        <v>0.33939701721800636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4.666666666666667</v>
      </c>
      <c r="N119" s="14">
        <f>IF('Données projet'!$A$36&gt;35,N118+M119-V118,IF(A119&lt;'Données projet'!$A$36,$K$205^A119,IF(A119='Données projet'!$A$36,'Données projet'!$B$36,N118+M119-V118)))</f>
        <v>197.33333333333334</v>
      </c>
      <c r="O119" s="14">
        <f>N119*VLOOKUP('Données projet'!$B$9,Paramètres!$A$1:$I$89,3,0)*VLOOKUP('Données projet'!$B$9,Paramètres!$A$1:$I$89,5,0)</f>
        <v>178.5472</v>
      </c>
      <c r="P119" s="14">
        <f t="shared" si="87"/>
        <v>44.998812645322751</v>
      </c>
      <c r="Q119" s="22">
        <f t="shared" si="107"/>
        <v>389.34263869060379</v>
      </c>
      <c r="R119" s="62">
        <f t="shared" si="55"/>
        <v>682.67597202393711</v>
      </c>
      <c r="S119" s="62">
        <f ca="1">AVERAGE(OFFSET($R$3,0,0,'Données projet'!$E$9+1,1))-AVERAGE(OFFSET($H$3,0,0,'Données projet'!$E$9+1,1))</f>
        <v>329.14247505779747</v>
      </c>
      <c r="T119" s="62">
        <f t="shared" si="88"/>
        <v>199.43308683696642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4.666666666666667</v>
      </c>
      <c r="AI119" s="14">
        <f>IF('Données projet'!$A$62&gt;35,AI118+AH119-AQ118,IF(A119&lt;'Données projet'!$A$62,$AF$205^A119,IF(A119='Données projet'!$A$62,'Données projet'!$B$62,AI118+AH119-AQ118)))</f>
        <v>197.33333333333334</v>
      </c>
      <c r="AJ119" s="14">
        <f>AI119*VLOOKUP('Données projet'!$B$10,Paramètres!$A$1:$I$89,3,0)*VLOOKUP('Données projet'!$B$10,Paramètres!$A$1:$I$89,5,0)</f>
        <v>200.09600000000003</v>
      </c>
      <c r="AK119" s="14">
        <f t="shared" si="89"/>
        <v>49.765265030466708</v>
      </c>
      <c r="AL119" s="22">
        <f t="shared" si="58"/>
        <v>435.17503659472953</v>
      </c>
      <c r="AM119" s="62">
        <f t="shared" si="59"/>
        <v>728.50836992806285</v>
      </c>
      <c r="AN119" s="62">
        <f ca="1">AVERAGE(OFFSET($AM$3,0,0,'Données projet'!$E$10+1,1))-AVERAGE(OFFSET($H$3,0,0,'Données projet'!$E$10+1,1))</f>
        <v>363.99473967460347</v>
      </c>
      <c r="AO119" s="62">
        <f t="shared" si="90"/>
        <v>218.5520645293999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1.738044375088066E-13</v>
      </c>
      <c r="BF119" s="14">
        <f t="shared" si="91"/>
        <v>2.4483293633950478E-12</v>
      </c>
      <c r="BG119" s="22">
        <f t="shared" si="61"/>
        <v>4.566883036574213E-12</v>
      </c>
      <c r="BH119" s="62">
        <f t="shared" si="62"/>
        <v>293.33333333333786</v>
      </c>
      <c r="BI119" s="62">
        <f ca="1">AVERAGE(OFFSET($BH$3,0,0,'Données projet'!$E$11+1,1))-AVERAGE(OFFSET($H$3,0,0,'Données projet'!$E$11+1,1))</f>
        <v>321.23599968992932</v>
      </c>
      <c r="BJ119" s="62">
        <f t="shared" si="92"/>
        <v>388.05195847800502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0.33274164871577089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4.5656386942874919E-12</v>
      </c>
      <c r="BS119" s="24">
        <f t="shared" si="63"/>
        <v>0.33274164872033651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4.666666666666667</v>
      </c>
      <c r="N120" s="14">
        <f>IF('Données projet'!$A$36&gt;35,N119+M120-V119,IF(A120&lt;'Données projet'!$A$36,$K$205^A120,IF(A120='Données projet'!$A$36,'Données projet'!$B$36,N119+M120-V119)))</f>
        <v>202</v>
      </c>
      <c r="O120" s="14">
        <f>N120*VLOOKUP('Données projet'!$B$9,Paramètres!$A$1:$I$89,3,0)*VLOOKUP('Données projet'!$B$9,Paramètres!$A$1:$I$89,5,0)</f>
        <v>182.7696</v>
      </c>
      <c r="P120" s="14">
        <f t="shared" si="87"/>
        <v>45.937822477650357</v>
      </c>
      <c r="Q120" s="22">
        <f t="shared" si="107"/>
        <v>398.33209414857441</v>
      </c>
      <c r="R120" s="62">
        <f t="shared" si="55"/>
        <v>691.66542748190773</v>
      </c>
      <c r="S120" s="62">
        <f ca="1">AVERAGE(OFFSET($R$3,0,0,'Données projet'!$E$9+1,1))-AVERAGE(OFFSET($H$3,0,0,'Données projet'!$E$9+1,1))</f>
        <v>329.14247505779747</v>
      </c>
      <c r="T120" s="62">
        <f t="shared" si="88"/>
        <v>199.43308683696642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4.666666666666667</v>
      </c>
      <c r="AI120" s="14">
        <f>IF('Données projet'!$A$62&gt;35,AI119+AH120-AQ119,IF(A120&lt;'Données projet'!$A$62,$AF$205^A120,IF(A120='Données projet'!$A$62,'Données projet'!$B$62,AI119+AH120-AQ119)))</f>
        <v>202</v>
      </c>
      <c r="AJ120" s="14">
        <f>AI120*VLOOKUP('Données projet'!$B$10,Paramètres!$A$1:$I$89,3,0)*VLOOKUP('Données projet'!$B$10,Paramètres!$A$1:$I$89,5,0)</f>
        <v>204.82800000000003</v>
      </c>
      <c r="AK120" s="14">
        <f t="shared" si="89"/>
        <v>50.80373850176295</v>
      </c>
      <c r="AL120" s="22">
        <f t="shared" si="58"/>
        <v>445.22527789057045</v>
      </c>
      <c r="AM120" s="62">
        <f t="shared" si="59"/>
        <v>738.55861122390377</v>
      </c>
      <c r="AN120" s="62">
        <f ca="1">AVERAGE(OFFSET($AM$3,0,0,'Données projet'!$E$10+1,1))-AVERAGE(OFFSET($H$3,0,0,'Données projet'!$E$10+1,1))</f>
        <v>363.99473967460347</v>
      </c>
      <c r="AO120" s="62">
        <f t="shared" si="90"/>
        <v>218.5520645293999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1.738044375088066E-13</v>
      </c>
      <c r="BF120" s="14">
        <f t="shared" si="91"/>
        <v>2.4483293633950478E-12</v>
      </c>
      <c r="BG120" s="22">
        <f t="shared" si="61"/>
        <v>4.566883036574213E-12</v>
      </c>
      <c r="BH120" s="62">
        <f t="shared" si="62"/>
        <v>293.33333333333786</v>
      </c>
      <c r="BI120" s="62">
        <f ca="1">AVERAGE(OFFSET($BH$3,0,0,'Données projet'!$E$11+1,1))-AVERAGE(OFFSET($H$3,0,0,'Données projet'!$E$11+1,1))</f>
        <v>321.23599968992932</v>
      </c>
      <c r="BJ120" s="62">
        <f t="shared" si="92"/>
        <v>388.05195847800502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0.32621678793682046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3.2283940811783801E-12</v>
      </c>
      <c r="BS120" s="24">
        <f t="shared" si="63"/>
        <v>0.32621678794004888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4.666666666666667</v>
      </c>
      <c r="N121" s="14">
        <f>IF('Données projet'!$A$36&gt;35,N120+M121-V120,IF(A121&lt;'Données projet'!$A$36,$K$205^A121,IF(A121='Données projet'!$A$36,'Données projet'!$B$36,N120+M121-V120)))</f>
        <v>206.66666666666666</v>
      </c>
      <c r="O121" s="14">
        <f>N121*VLOOKUP('Données projet'!$B$9,Paramètres!$A$1:$I$89,3,0)*VLOOKUP('Données projet'!$B$9,Paramètres!$A$1:$I$89,5,0)</f>
        <v>186.99199999999996</v>
      </c>
      <c r="P121" s="14">
        <f t="shared" si="87"/>
        <v>46.87431036526138</v>
      </c>
      <c r="Q121" s="22">
        <f t="shared" si="107"/>
        <v>407.31715721949678</v>
      </c>
      <c r="R121" s="62">
        <f t="shared" si="55"/>
        <v>700.65049055283009</v>
      </c>
      <c r="S121" s="62">
        <f ca="1">AVERAGE(OFFSET($R$3,0,0,'Données projet'!$E$9+1,1))-AVERAGE(OFFSET($H$3,0,0,'Données projet'!$E$9+1,1))</f>
        <v>329.14247505779747</v>
      </c>
      <c r="T121" s="62">
        <f t="shared" si="88"/>
        <v>199.43308683696642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4.666666666666667</v>
      </c>
      <c r="AI121" s="14">
        <f>IF('Données projet'!$A$62&gt;35,AI120+AH121-AQ120,IF(A121&lt;'Données projet'!$A$62,$AF$205^A121,IF(A121='Données projet'!$A$62,'Données projet'!$B$62,AI120+AH121-AQ120)))</f>
        <v>206.66666666666666</v>
      </c>
      <c r="AJ121" s="14">
        <f>AI121*VLOOKUP('Données projet'!$B$10,Paramètres!$A$1:$I$89,3,0)*VLOOKUP('Données projet'!$B$10,Paramètres!$A$1:$I$89,5,0)</f>
        <v>209.56000000000003</v>
      </c>
      <c r="AK121" s="14">
        <f t="shared" si="89"/>
        <v>51.839422893973833</v>
      </c>
      <c r="AL121" s="22">
        <f t="shared" si="58"/>
        <v>455.2706615403377</v>
      </c>
      <c r="AM121" s="62">
        <f t="shared" si="59"/>
        <v>748.60399487367101</v>
      </c>
      <c r="AN121" s="62">
        <f ca="1">AVERAGE(OFFSET($AM$3,0,0,'Données projet'!$E$10+1,1))-AVERAGE(OFFSET($H$3,0,0,'Données projet'!$E$10+1,1))</f>
        <v>363.99473967460347</v>
      </c>
      <c r="AO121" s="62">
        <f t="shared" si="90"/>
        <v>218.5520645293999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1.738044375088066E-13</v>
      </c>
      <c r="BF121" s="14">
        <f t="shared" si="91"/>
        <v>2.4483293633950478E-12</v>
      </c>
      <c r="BG121" s="22">
        <f t="shared" si="61"/>
        <v>4.566883036574213E-12</v>
      </c>
      <c r="BH121" s="62">
        <f t="shared" si="62"/>
        <v>293.33333333333786</v>
      </c>
      <c r="BI121" s="62">
        <f ca="1">AVERAGE(OFFSET($BH$3,0,0,'Données projet'!$E$11+1,1))-AVERAGE(OFFSET($H$3,0,0,'Données projet'!$E$11+1,1))</f>
        <v>321.23599968992932</v>
      </c>
      <c r="BJ121" s="62">
        <f t="shared" si="92"/>
        <v>388.05195847800502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0.31981987569797315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2.2828193471437459E-12</v>
      </c>
      <c r="BS121" s="24">
        <f t="shared" si="63"/>
        <v>0.319819875700256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4.666666666666667</v>
      </c>
      <c r="N122" s="14">
        <f>IF('Données projet'!$A$36&gt;35,N121+M122-V121,IF(A122&lt;'Données projet'!$A$36,$K$205^A122,IF(A122='Données projet'!$A$36,'Données projet'!$B$36,N121+M122-V121)))</f>
        <v>211.33333333333331</v>
      </c>
      <c r="O122" s="14">
        <f>N122*VLOOKUP('Données projet'!$B$9,Paramètres!$A$1:$I$89,3,0)*VLOOKUP('Données projet'!$B$9,Paramètres!$A$1:$I$89,5,0)</f>
        <v>191.21439999999996</v>
      </c>
      <c r="P122" s="14">
        <f t="shared" si="87"/>
        <v>47.808339811368604</v>
      </c>
      <c r="Q122" s="22">
        <f t="shared" si="107"/>
        <v>416.29793850480019</v>
      </c>
      <c r="R122" s="62">
        <f t="shared" si="55"/>
        <v>709.63127183813344</v>
      </c>
      <c r="S122" s="62">
        <f ca="1">AVERAGE(OFFSET($R$3,0,0,'Données projet'!$E$9+1,1))-AVERAGE(OFFSET($H$3,0,0,'Données projet'!$E$9+1,1))</f>
        <v>329.14247505779747</v>
      </c>
      <c r="T122" s="62">
        <f t="shared" si="88"/>
        <v>199.43308683696642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4.666666666666667</v>
      </c>
      <c r="AI122" s="14">
        <f>IF('Données projet'!$A$62&gt;35,AI121+AH122-AQ121,IF(A122&lt;'Données projet'!$A$62,$AF$205^A122,IF(A122='Données projet'!$A$62,'Données projet'!$B$62,AI121+AH122-AQ121)))</f>
        <v>211.33333333333331</v>
      </c>
      <c r="AJ122" s="14">
        <f>AI122*VLOOKUP('Données projet'!$B$10,Paramètres!$A$1:$I$89,3,0)*VLOOKUP('Données projet'!$B$10,Paramètres!$A$1:$I$89,5,0)</f>
        <v>214.29199999999997</v>
      </c>
      <c r="AK122" s="14">
        <f t="shared" si="89"/>
        <v>52.87238843682394</v>
      </c>
      <c r="AL122" s="22">
        <f t="shared" si="58"/>
        <v>465.31130986080166</v>
      </c>
      <c r="AM122" s="62">
        <f t="shared" si="59"/>
        <v>758.64464319413491</v>
      </c>
      <c r="AN122" s="62">
        <f ca="1">AVERAGE(OFFSET($AM$3,0,0,'Données projet'!$E$10+1,1))-AVERAGE(OFFSET($H$3,0,0,'Données projet'!$E$10+1,1))</f>
        <v>363.99473967460347</v>
      </c>
      <c r="AO122" s="62">
        <f t="shared" si="90"/>
        <v>218.5520645293999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1.738044375088066E-13</v>
      </c>
      <c r="BF122" s="14">
        <f t="shared" si="91"/>
        <v>2.4483293633950478E-12</v>
      </c>
      <c r="BG122" s="22">
        <f t="shared" si="61"/>
        <v>4.566883036574213E-12</v>
      </c>
      <c r="BH122" s="62">
        <f t="shared" si="62"/>
        <v>293.33333333333786</v>
      </c>
      <c r="BI122" s="62">
        <f ca="1">AVERAGE(OFFSET($BH$3,0,0,'Données projet'!$E$11+1,1))-AVERAGE(OFFSET($H$3,0,0,'Données projet'!$E$11+1,1))</f>
        <v>321.23599968992932</v>
      </c>
      <c r="BJ122" s="62">
        <f t="shared" si="92"/>
        <v>388.05195847800502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0.31354840300639841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1.61419704058919E-12</v>
      </c>
      <c r="BS122" s="24">
        <f t="shared" si="63"/>
        <v>0.31354840300801262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4.666666666666667</v>
      </c>
      <c r="N123" s="14">
        <f>IF('Données projet'!$A$36&gt;35,N122+M123-V122,IF(A123&lt;'Données projet'!$A$36,$K$205^A123,IF(A123='Données projet'!$A$36,'Données projet'!$B$36,N122+M123-V122)))</f>
        <v>215.99999999999997</v>
      </c>
      <c r="O123" s="14">
        <f>N123*VLOOKUP('Données projet'!$B$9,Paramètres!$A$1:$I$89,3,0)*VLOOKUP('Données projet'!$B$9,Paramètres!$A$1:$I$89,5,0)</f>
        <v>195.43679999999998</v>
      </c>
      <c r="P123" s="14">
        <f t="shared" si="87"/>
        <v>48.739971354487849</v>
      </c>
      <c r="Q123" s="22">
        <f t="shared" si="107"/>
        <v>425.27454344239959</v>
      </c>
      <c r="R123" s="62">
        <f t="shared" si="55"/>
        <v>718.60787677573285</v>
      </c>
      <c r="S123" s="62">
        <f ca="1">AVERAGE(OFFSET($R$3,0,0,'Données projet'!$E$9+1,1))-AVERAGE(OFFSET($H$3,0,0,'Données projet'!$E$9+1,1))</f>
        <v>329.14247505779747</v>
      </c>
      <c r="T123" s="62">
        <f t="shared" si="88"/>
        <v>199.43308683696642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4.666666666666667</v>
      </c>
      <c r="AI123" s="14">
        <f>IF('Données projet'!$A$62&gt;35,AI122+AH123-AQ122,IF(A123&lt;'Données projet'!$A$62,$AF$205^A123,IF(A123='Données projet'!$A$62,'Données projet'!$B$62,AI122+AH123-AQ122)))</f>
        <v>215.99999999999997</v>
      </c>
      <c r="AJ123" s="14">
        <f>AI123*VLOOKUP('Données projet'!$B$10,Paramètres!$A$1:$I$89,3,0)*VLOOKUP('Données projet'!$B$10,Paramètres!$A$1:$I$89,5,0)</f>
        <v>219.02399999999997</v>
      </c>
      <c r="AK123" s="14">
        <f t="shared" si="89"/>
        <v>53.902702081308355</v>
      </c>
      <c r="AL123" s="22">
        <f t="shared" si="58"/>
        <v>475.34733945827867</v>
      </c>
      <c r="AM123" s="62">
        <f t="shared" si="59"/>
        <v>768.68067279161198</v>
      </c>
      <c r="AN123" s="62">
        <f ca="1">AVERAGE(OFFSET($AM$3,0,0,'Données projet'!$E$10+1,1))-AVERAGE(OFFSET($H$3,0,0,'Données projet'!$E$10+1,1))</f>
        <v>363.99473967460347</v>
      </c>
      <c r="AO123" s="62">
        <f t="shared" si="90"/>
        <v>218.5520645293999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1.738044375088066E-13</v>
      </c>
      <c r="BF123" s="14">
        <f t="shared" si="91"/>
        <v>2.4483293633950478E-12</v>
      </c>
      <c r="BG123" s="22">
        <f t="shared" si="61"/>
        <v>4.566883036574213E-12</v>
      </c>
      <c r="BH123" s="62">
        <f t="shared" si="62"/>
        <v>293.33333333333786</v>
      </c>
      <c r="BI123" s="62">
        <f ca="1">AVERAGE(OFFSET($BH$3,0,0,'Données projet'!$E$11+1,1))-AVERAGE(OFFSET($H$3,0,0,'Données projet'!$E$11+1,1))</f>
        <v>321.23599968992932</v>
      </c>
      <c r="BJ123" s="62">
        <f t="shared" si="92"/>
        <v>388.05195847800502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0.30739991006908485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1.141409673571873E-12</v>
      </c>
      <c r="BS123" s="24">
        <f t="shared" si="63"/>
        <v>0.30739991007022627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4.666666666666667</v>
      </c>
      <c r="N124" s="14">
        <f>IF('Données projet'!$A$36&gt;35,N123+M124-V123,IF(A124&lt;'Données projet'!$A$36,$K$205^A124,IF(A124='Données projet'!$A$36,'Données projet'!$B$36,N123+M124-V123)))</f>
        <v>220.66666666666663</v>
      </c>
      <c r="O124" s="14">
        <f>N124*VLOOKUP('Données projet'!$B$9,Paramètres!$A$1:$I$89,3,0)*VLOOKUP('Données projet'!$B$9,Paramètres!$A$1:$I$89,5,0)</f>
        <v>199.65919999999997</v>
      </c>
      <c r="P124" s="14">
        <f t="shared" si="87"/>
        <v>49.66926276786149</v>
      </c>
      <c r="Q124" s="22">
        <f t="shared" si="107"/>
        <v>434.24707265402532</v>
      </c>
      <c r="R124" s="62">
        <f t="shared" si="55"/>
        <v>727.58040598735863</v>
      </c>
      <c r="S124" s="62">
        <f ca="1">AVERAGE(OFFSET($R$3,0,0,'Données projet'!$E$9+1,1))-AVERAGE(OFFSET($H$3,0,0,'Données projet'!$E$9+1,1))</f>
        <v>329.14247505779747</v>
      </c>
      <c r="T124" s="62">
        <f t="shared" si="88"/>
        <v>199.43308683696642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4.666666666666667</v>
      </c>
      <c r="AI124" s="14">
        <f>IF('Données projet'!$A$62&gt;35,AI123+AH124-AQ123,IF(A124&lt;'Données projet'!$A$62,$AF$205^A124,IF(A124='Données projet'!$A$62,'Données projet'!$B$62,AI123+AH124-AQ123)))</f>
        <v>220.66666666666663</v>
      </c>
      <c r="AJ124" s="14">
        <f>AI124*VLOOKUP('Données projet'!$B$10,Paramètres!$A$1:$I$89,3,0)*VLOOKUP('Données projet'!$B$10,Paramètres!$A$1:$I$89,5,0)</f>
        <v>223.75599999999997</v>
      </c>
      <c r="AK124" s="14">
        <f t="shared" si="89"/>
        <v>54.930427720239869</v>
      </c>
      <c r="AL124" s="22">
        <f t="shared" si="58"/>
        <v>485.37886161275105</v>
      </c>
      <c r="AM124" s="62">
        <f t="shared" si="59"/>
        <v>778.71219494608431</v>
      </c>
      <c r="AN124" s="62">
        <f ca="1">AVERAGE(OFFSET($AM$3,0,0,'Données projet'!$E$10+1,1))-AVERAGE(OFFSET($H$3,0,0,'Données projet'!$E$10+1,1))</f>
        <v>363.99473967460347</v>
      </c>
      <c r="AO124" s="62">
        <f t="shared" si="90"/>
        <v>218.5520645293999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1.738044375088066E-13</v>
      </c>
      <c r="BF124" s="14">
        <f t="shared" si="91"/>
        <v>2.4483293633950478E-12</v>
      </c>
      <c r="BG124" s="22">
        <f t="shared" si="61"/>
        <v>4.566883036574213E-12</v>
      </c>
      <c r="BH124" s="62">
        <f t="shared" si="62"/>
        <v>293.33333333333786</v>
      </c>
      <c r="BI124" s="62">
        <f ca="1">AVERAGE(OFFSET($BH$3,0,0,'Données projet'!$E$11+1,1))-AVERAGE(OFFSET($H$3,0,0,'Données projet'!$E$11+1,1))</f>
        <v>321.23599968992932</v>
      </c>
      <c r="BJ124" s="62">
        <f t="shared" si="92"/>
        <v>388.05195847800502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0.30137198532806159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8.0709852029459502E-13</v>
      </c>
      <c r="BS124" s="24">
        <f t="shared" si="63"/>
        <v>0.30137198532886866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4.666666666666667</v>
      </c>
      <c r="N125" s="14">
        <f>IF('Données projet'!$A$36&gt;35,N124+M125-V124,IF(A125&lt;'Données projet'!$A$36,$K$205^A125,IF(A125='Données projet'!$A$36,'Données projet'!$B$36,N124+M125-V124)))</f>
        <v>225.33333333333329</v>
      </c>
      <c r="O125" s="14">
        <f>N125*VLOOKUP('Données projet'!$B$9,Paramètres!$A$1:$I$89,3,0)*VLOOKUP('Données projet'!$B$9,Paramètres!$A$1:$I$89,5,0)</f>
        <v>203.88159999999996</v>
      </c>
      <c r="P125" s="14">
        <f t="shared" si="87"/>
        <v>50.596269241536007</v>
      </c>
      <c r="Q125" s="22">
        <f t="shared" si="107"/>
        <v>443.21562226234187</v>
      </c>
      <c r="R125" s="62">
        <f t="shared" si="55"/>
        <v>736.54895559567512</v>
      </c>
      <c r="S125" s="62">
        <f ca="1">AVERAGE(OFFSET($R$3,0,0,'Données projet'!$E$9+1,1))-AVERAGE(OFFSET($H$3,0,0,'Données projet'!$E$9+1,1))</f>
        <v>329.14247505779747</v>
      </c>
      <c r="T125" s="62">
        <f t="shared" si="88"/>
        <v>199.43308683696642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4.666666666666667</v>
      </c>
      <c r="AI125" s="14">
        <f>IF('Données projet'!$A$62&gt;35,AI124+AH125-AQ124,IF(A125&lt;'Données projet'!$A$62,$AF$205^A125,IF(A125='Données projet'!$A$62,'Données projet'!$B$62,AI124+AH125-AQ124)))</f>
        <v>225.33333333333329</v>
      </c>
      <c r="AJ125" s="14">
        <f>AI125*VLOOKUP('Données projet'!$B$10,Paramètres!$A$1:$I$89,3,0)*VLOOKUP('Données projet'!$B$10,Paramètres!$A$1:$I$89,5,0)</f>
        <v>228.48799999999997</v>
      </c>
      <c r="AK125" s="14">
        <f t="shared" si="89"/>
        <v>55.955626389613336</v>
      </c>
      <c r="AL125" s="22">
        <f t="shared" si="58"/>
        <v>495.40598262857651</v>
      </c>
      <c r="AM125" s="62">
        <f t="shared" si="59"/>
        <v>788.73931596190982</v>
      </c>
      <c r="AN125" s="62">
        <f ca="1">AVERAGE(OFFSET($AM$3,0,0,'Données projet'!$E$10+1,1))-AVERAGE(OFFSET($H$3,0,0,'Données projet'!$E$10+1,1))</f>
        <v>363.99473967460347</v>
      </c>
      <c r="AO125" s="62">
        <f t="shared" si="90"/>
        <v>218.5520645293999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1.738044375088066E-13</v>
      </c>
      <c r="BF125" s="14">
        <f t="shared" si="91"/>
        <v>2.4483293633950478E-12</v>
      </c>
      <c r="BG125" s="22">
        <f t="shared" si="61"/>
        <v>4.566883036574213E-12</v>
      </c>
      <c r="BH125" s="62">
        <f t="shared" si="62"/>
        <v>293.33333333333786</v>
      </c>
      <c r="BI125" s="62">
        <f ca="1">AVERAGE(OFFSET($BH$3,0,0,'Données projet'!$E$11+1,1))-AVERAGE(OFFSET($H$3,0,0,'Données projet'!$E$11+1,1))</f>
        <v>321.23599968992932</v>
      </c>
      <c r="BJ125" s="62">
        <f t="shared" si="92"/>
        <v>388.05195847800502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0.29546226451453877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5.7070483678593648E-13</v>
      </c>
      <c r="BS125" s="24">
        <f t="shared" si="63"/>
        <v>0.29546226451510949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4.666666666666667</v>
      </c>
      <c r="N126" s="14">
        <f>IF('Données projet'!$A$36&gt;35,N125+M126-V125,IF(A126&lt;'Données projet'!$A$36,$K$205^A126,IF(A126='Données projet'!$A$36,'Données projet'!$B$36,N125+M126-V125)))</f>
        <v>229.99999999999994</v>
      </c>
      <c r="O126" s="14">
        <f>N126*VLOOKUP('Données projet'!$B$9,Paramètres!$A$1:$I$89,3,0)*VLOOKUP('Données projet'!$B$9,Paramètres!$A$1:$I$89,5,0)</f>
        <v>208.10399999999993</v>
      </c>
      <c r="P126" s="14">
        <f t="shared" si="87"/>
        <v>51.52104354893045</v>
      </c>
      <c r="Q126" s="22">
        <f t="shared" si="107"/>
        <v>452.18028418105376</v>
      </c>
      <c r="R126" s="62">
        <f t="shared" si="55"/>
        <v>745.51361751438708</v>
      </c>
      <c r="S126" s="62">
        <f ca="1">AVERAGE(OFFSET($R$3,0,0,'Données projet'!$E$9+1,1))-AVERAGE(OFFSET($H$3,0,0,'Données projet'!$E$9+1,1))</f>
        <v>329.14247505779747</v>
      </c>
      <c r="T126" s="62">
        <f t="shared" si="88"/>
        <v>199.43308683696642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4.666666666666667</v>
      </c>
      <c r="AI126" s="14">
        <f>IF('Données projet'!$A$62&gt;35,AI125+AH126-AQ125,IF(A126&lt;'Données projet'!$A$62,$AF$205^A126,IF(A126='Données projet'!$A$62,'Données projet'!$B$62,AI125+AH126-AQ125)))</f>
        <v>229.99999999999994</v>
      </c>
      <c r="AJ126" s="14">
        <f>AI126*VLOOKUP('Données projet'!$B$10,Paramètres!$A$1:$I$89,3,0)*VLOOKUP('Données projet'!$B$10,Paramètres!$A$1:$I$89,5,0)</f>
        <v>233.21999999999997</v>
      </c>
      <c r="AK126" s="14">
        <f t="shared" si="89"/>
        <v>56.978356452817273</v>
      </c>
      <c r="AL126" s="22">
        <f t="shared" si="58"/>
        <v>505.42880415532323</v>
      </c>
      <c r="AM126" s="62">
        <f t="shared" si="59"/>
        <v>798.76213748865655</v>
      </c>
      <c r="AN126" s="62">
        <f ca="1">AVERAGE(OFFSET($AM$3,0,0,'Données projet'!$E$10+1,1))-AVERAGE(OFFSET($H$3,0,0,'Données projet'!$E$10+1,1))</f>
        <v>363.99473967460347</v>
      </c>
      <c r="AO126" s="62">
        <f t="shared" si="90"/>
        <v>218.5520645293999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1.738044375088066E-13</v>
      </c>
      <c r="BF126" s="14">
        <f t="shared" si="91"/>
        <v>2.4483293633950478E-12</v>
      </c>
      <c r="BG126" s="22">
        <f t="shared" si="61"/>
        <v>4.566883036574213E-12</v>
      </c>
      <c r="BH126" s="62">
        <f t="shared" si="62"/>
        <v>293.33333333333786</v>
      </c>
      <c r="BI126" s="62">
        <f ca="1">AVERAGE(OFFSET($BH$3,0,0,'Données projet'!$E$11+1,1))-AVERAGE(OFFSET($H$3,0,0,'Données projet'!$E$11+1,1))</f>
        <v>321.23599968992932</v>
      </c>
      <c r="BJ126" s="62">
        <f t="shared" si="92"/>
        <v>388.05195847800502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0.28966842972159534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4.0354926014729751E-13</v>
      </c>
      <c r="BS126" s="24">
        <f t="shared" si="63"/>
        <v>0.28966842972199891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4.666666666666667</v>
      </c>
      <c r="N127" s="14">
        <f>IF('Données projet'!$A$36&gt;35,N126+M127-V126,IF(A127&lt;'Données projet'!$A$36,$K$205^A127,IF(A127='Données projet'!$A$36,'Données projet'!$B$36,N126+M127-V126)))</f>
        <v>234.6666666666666</v>
      </c>
      <c r="O127" s="14">
        <f>N127*VLOOKUP('Données projet'!$B$9,Paramètres!$A$1:$I$89,3,0)*VLOOKUP('Données projet'!$B$9,Paramètres!$A$1:$I$89,5,0)</f>
        <v>212.32639999999995</v>
      </c>
      <c r="P127" s="14">
        <f t="shared" si="87"/>
        <v>52.443636199504745</v>
      </c>
      <c r="Q127" s="22">
        <f t="shared" si="107"/>
        <v>461.141146380804</v>
      </c>
      <c r="R127" s="62">
        <f t="shared" si="55"/>
        <v>754.47447971413726</v>
      </c>
      <c r="S127" s="62">
        <f ca="1">AVERAGE(OFFSET($R$3,0,0,'Données projet'!$E$9+1,1))-AVERAGE(OFFSET($H$3,0,0,'Données projet'!$E$9+1,1))</f>
        <v>329.14247505779747</v>
      </c>
      <c r="T127" s="62">
        <f t="shared" si="88"/>
        <v>199.43308683696642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4.666666666666667</v>
      </c>
      <c r="AI127" s="14">
        <f>IF('Données projet'!$A$62&gt;35,AI126+AH127-AQ126,IF(A127&lt;'Données projet'!$A$62,$AF$205^A127,IF(A127='Données projet'!$A$62,'Données projet'!$B$62,AI126+AH127-AQ126)))</f>
        <v>234.6666666666666</v>
      </c>
      <c r="AJ127" s="14">
        <f>AI127*VLOOKUP('Données projet'!$B$10,Paramètres!$A$1:$I$89,3,0)*VLOOKUP('Données projet'!$B$10,Paramètres!$A$1:$I$89,5,0)</f>
        <v>237.95199999999997</v>
      </c>
      <c r="AK127" s="14">
        <f t="shared" si="89"/>
        <v>57.99867376947342</v>
      </c>
      <c r="AL127" s="22">
        <f t="shared" si="58"/>
        <v>515.44742348183274</v>
      </c>
      <c r="AM127" s="62">
        <f t="shared" si="59"/>
        <v>808.78075681516611</v>
      </c>
      <c r="AN127" s="62">
        <f ca="1">AVERAGE(OFFSET($AM$3,0,0,'Données projet'!$E$10+1,1))-AVERAGE(OFFSET($H$3,0,0,'Données projet'!$E$10+1,1))</f>
        <v>363.99473967460347</v>
      </c>
      <c r="AO127" s="62">
        <f t="shared" si="90"/>
        <v>218.5520645293999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1.738044375088066E-13</v>
      </c>
      <c r="BF127" s="14">
        <f t="shared" si="91"/>
        <v>2.4483293633950478E-12</v>
      </c>
      <c r="BG127" s="22">
        <f t="shared" si="61"/>
        <v>4.566883036574213E-12</v>
      </c>
      <c r="BH127" s="62">
        <f t="shared" si="62"/>
        <v>293.33333333333786</v>
      </c>
      <c r="BI127" s="62">
        <f ca="1">AVERAGE(OFFSET($BH$3,0,0,'Données projet'!$E$11+1,1))-AVERAGE(OFFSET($H$3,0,0,'Données projet'!$E$11+1,1))</f>
        <v>321.23599968992932</v>
      </c>
      <c r="BJ127" s="62">
        <f t="shared" si="92"/>
        <v>388.05195847800502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0.28398820849505124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2.8535241839296824E-13</v>
      </c>
      <c r="BS127" s="24">
        <f t="shared" si="63"/>
        <v>0.28398820849533657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4.666666666666667</v>
      </c>
      <c r="N128" s="14">
        <f>IF('Données projet'!$A$36&gt;35,N127+M128-V127,IF(A128&lt;'Données projet'!$A$36,$K$205^A128,IF(A128='Données projet'!$A$36,'Données projet'!$B$36,N127+M128-V127)))</f>
        <v>239.33333333333326</v>
      </c>
      <c r="O128" s="14">
        <f>N128*VLOOKUP('Données projet'!$B$9,Paramètres!$A$1:$I$89,3,0)*VLOOKUP('Données projet'!$B$9,Paramètres!$A$1:$I$89,5,0)</f>
        <v>216.54879999999991</v>
      </c>
      <c r="P128" s="14">
        <f t="shared" si="87"/>
        <v>53.364095578940429</v>
      </c>
      <c r="Q128" s="22">
        <f t="shared" si="107"/>
        <v>470.09829313332102</v>
      </c>
      <c r="R128" s="62">
        <f t="shared" si="55"/>
        <v>763.43162646665428</v>
      </c>
      <c r="S128" s="62">
        <f ca="1">AVERAGE(OFFSET($R$3,0,0,'Données projet'!$E$9+1,1))-AVERAGE(OFFSET($H$3,0,0,'Données projet'!$E$9+1,1))</f>
        <v>329.14247505779747</v>
      </c>
      <c r="T128" s="62">
        <f t="shared" si="88"/>
        <v>199.43308683696642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4.666666666666667</v>
      </c>
      <c r="AI128" s="14">
        <f>IF('Données projet'!$A$62&gt;35,AI127+AH128-AQ127,IF(A128&lt;'Données projet'!$A$62,$AF$205^A128,IF(A128='Données projet'!$A$62,'Données projet'!$B$62,AI127+AH128-AQ127)))</f>
        <v>239.33333333333326</v>
      </c>
      <c r="AJ128" s="14">
        <f>AI128*VLOOKUP('Données projet'!$B$10,Paramètres!$A$1:$I$89,3,0)*VLOOKUP('Données projet'!$B$10,Paramètres!$A$1:$I$89,5,0)</f>
        <v>242.68399999999997</v>
      </c>
      <c r="AK128" s="14">
        <f t="shared" si="89"/>
        <v>59.016631850466453</v>
      </c>
      <c r="AL128" s="22">
        <f t="shared" si="58"/>
        <v>525.46193380622901</v>
      </c>
      <c r="AM128" s="62">
        <f t="shared" si="59"/>
        <v>818.79526713956238</v>
      </c>
      <c r="AN128" s="62">
        <f ca="1">AVERAGE(OFFSET($AM$3,0,0,'Données projet'!$E$10+1,1))-AVERAGE(OFFSET($H$3,0,0,'Données projet'!$E$10+1,1))</f>
        <v>363.99473967460347</v>
      </c>
      <c r="AO128" s="62">
        <f t="shared" si="90"/>
        <v>218.5520645293999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1.738044375088066E-13</v>
      </c>
      <c r="BF128" s="14">
        <f t="shared" si="91"/>
        <v>2.4483293633950478E-12</v>
      </c>
      <c r="BG128" s="22">
        <f t="shared" si="61"/>
        <v>4.566883036574213E-12</v>
      </c>
      <c r="BH128" s="62">
        <f t="shared" si="62"/>
        <v>293.33333333333786</v>
      </c>
      <c r="BI128" s="62">
        <f ca="1">AVERAGE(OFFSET($BH$3,0,0,'Données projet'!$E$11+1,1))-AVERAGE(OFFSET($H$3,0,0,'Données projet'!$E$11+1,1))</f>
        <v>321.23599968992932</v>
      </c>
      <c r="BJ128" s="62">
        <f t="shared" si="92"/>
        <v>388.05195847800502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0.27841937294216684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2.0177463007364876E-13</v>
      </c>
      <c r="BS128" s="24">
        <f t="shared" si="63"/>
        <v>0.27841937294236863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>
        <f>VLOOKUP(A129,'Données projet'!$A$35:$I$55,2,0)</f>
        <v>244</v>
      </c>
      <c r="L129" s="13">
        <f>VLOOKUP(A129,'Données projet'!$A$35:$I$55,9,0)</f>
        <v>4.666666666666667</v>
      </c>
      <c r="M129" s="13">
        <f t="array" ref="M129">INDEX(L:L,MIN(IF(ISNUMBER(L129:L325),ROW(L129:L325),"")))</f>
        <v>4.666666666666667</v>
      </c>
      <c r="N129" s="14">
        <f>IF('Données projet'!$A$36&gt;35,N128+M129-V128,IF(A129&lt;'Données projet'!$A$36,$K$205^A129,IF(A129='Données projet'!$A$36,'Données projet'!$B$36,N128+M129-V128)))</f>
        <v>243.99999999999991</v>
      </c>
      <c r="O129" s="14">
        <f>N129*VLOOKUP('Données projet'!$B$9,Paramètres!$A$1:$I$89,3,0)*VLOOKUP('Données projet'!$B$9,Paramètres!$A$1:$I$89,5,0)</f>
        <v>220.77119999999994</v>
      </c>
      <c r="P129" s="14">
        <f t="shared" si="87"/>
        <v>54.28246807807983</v>
      </c>
      <c r="Q129" s="22">
        <f t="shared" si="107"/>
        <v>479.05180523598892</v>
      </c>
      <c r="R129" s="62">
        <f t="shared" si="55"/>
        <v>772.38513856932218</v>
      </c>
      <c r="S129" s="62">
        <f ca="1">AVERAGE(OFFSET($R$3,0,0,'Données projet'!$E$9+1,1))-AVERAGE(OFFSET($H$3,0,0,'Données projet'!$E$9+1,1))</f>
        <v>329.14247505779747</v>
      </c>
      <c r="T129" s="62">
        <f t="shared" si="88"/>
        <v>199.43308683696642</v>
      </c>
      <c r="U129" s="16">
        <f>IF(ISNA(VLOOKUP(A129,'Données projet'!$A$35:$I$55,3,0)),0,VLOOKUP(A129,'Données projet'!$A$35:$I$55,3,0))</f>
        <v>10</v>
      </c>
      <c r="V129" s="16">
        <f>IF(ISNA(VLOOKUP(A129,'Données projet'!$A$35:$I$55,4,0)),0,VLOOKUP(A129,'Données projet'!$A$35:$I$55,4,0))</f>
        <v>38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>
        <f>VLOOKUP(A129,'Données projet'!$A$61:$I$81,2,0)</f>
        <v>244</v>
      </c>
      <c r="AG129" s="13">
        <f>VLOOKUP(A129,'Données projet'!$A$61:$I$81,9,0)</f>
        <v>4.666666666666667</v>
      </c>
      <c r="AH129" s="13">
        <f t="array" ref="AH129">INDEX(AG:AG,MIN(IF(ISNUMBER(AG129:AG325),ROW(AG129:AG325),"")))</f>
        <v>4.666666666666667</v>
      </c>
      <c r="AI129" s="14">
        <f>IF('Données projet'!$A$62&gt;35,AI128+AH129-AQ128,IF(A129&lt;'Données projet'!$A$62,$AF$205^A129,IF(A129='Données projet'!$A$62,'Données projet'!$B$62,AI128+AH129-AQ128)))</f>
        <v>243.99999999999991</v>
      </c>
      <c r="AJ129" s="14">
        <f>AI129*VLOOKUP('Données projet'!$B$10,Paramètres!$A$1:$I$89,3,0)*VLOOKUP('Données projet'!$B$10,Paramètres!$A$1:$I$89,5,0)</f>
        <v>247.41599999999991</v>
      </c>
      <c r="AK129" s="14">
        <f t="shared" si="89"/>
        <v>60.032282000540192</v>
      </c>
      <c r="AL129" s="22">
        <f t="shared" si="58"/>
        <v>535.47242448427392</v>
      </c>
      <c r="AM129" s="62">
        <f t="shared" si="59"/>
        <v>828.80575781760717</v>
      </c>
      <c r="AN129" s="62">
        <f ca="1">AVERAGE(OFFSET($AM$3,0,0,'Données projet'!$E$10+1,1))-AVERAGE(OFFSET($H$3,0,0,'Données projet'!$E$10+1,1))</f>
        <v>363.99473967460347</v>
      </c>
      <c r="AO129" s="62">
        <f t="shared" si="90"/>
        <v>218.5520645293999</v>
      </c>
      <c r="AP129" s="16">
        <f>IF(ISNA(VLOOKUP(A129,'Données projet'!$A$61:$I$81,3,0)),0,VLOOKUP(A129,'Données projet'!$A$61:$I$81,3,0))</f>
        <v>10</v>
      </c>
      <c r="AQ129" s="16">
        <f>IF(ISNA(VLOOKUP(A129,'Données projet'!$A$61:$I$81,4,0)),0,VLOOKUP(A129,'Données projet'!$A$61:$I$81,4,0))</f>
        <v>38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1.738044375088066E-13</v>
      </c>
      <c r="BF129" s="14">
        <f t="shared" si="91"/>
        <v>2.4483293633950478E-12</v>
      </c>
      <c r="BG129" s="22">
        <f t="shared" si="61"/>
        <v>4.566883036574213E-12</v>
      </c>
      <c r="BH129" s="62">
        <f t="shared" si="62"/>
        <v>293.33333333333786</v>
      </c>
      <c r="BI129" s="62">
        <f ca="1">AVERAGE(OFFSET($BH$3,0,0,'Données projet'!$E$11+1,1))-AVERAGE(OFFSET($H$3,0,0,'Données projet'!$E$11+1,1))</f>
        <v>321.23599968992932</v>
      </c>
      <c r="BJ129" s="62">
        <f t="shared" si="92"/>
        <v>388.05195847800502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0.27295973885782021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1.4267620919648412E-13</v>
      </c>
      <c r="BS129" s="24">
        <f t="shared" si="63"/>
        <v>0.27295973885796287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4.666666666666667</v>
      </c>
      <c r="N130" s="14">
        <f>IF('Données projet'!$A$36&gt;35,N129+M130-V129,IF(A130&lt;'Données projet'!$A$36,$K$205^A130,IF(A130='Données projet'!$A$36,'Données projet'!$B$36,N129+M130-V129)))</f>
        <v>210.66666666666657</v>
      </c>
      <c r="O130" s="14">
        <f>N130*VLOOKUP('Données projet'!$B$9,Paramètres!$A$1:$I$89,3,0)*VLOOKUP('Données projet'!$B$9,Paramètres!$A$1:$I$89,5,0)</f>
        <v>190.61119999999988</v>
      </c>
      <c r="P130" s="14">
        <f t="shared" si="87"/>
        <v>47.675055224887458</v>
      </c>
      <c r="Q130" s="22">
        <f t="shared" si="107"/>
        <v>415.01522785001202</v>
      </c>
      <c r="R130" s="62">
        <f t="shared" si="55"/>
        <v>708.34856118334528</v>
      </c>
      <c r="S130" s="62">
        <f ca="1">AVERAGE(OFFSET($R$3,0,0,'Données projet'!$E$9+1,1))-AVERAGE(OFFSET($H$3,0,0,'Données projet'!$E$9+1,1))</f>
        <v>329.14247505779747</v>
      </c>
      <c r="T130" s="62">
        <f t="shared" si="88"/>
        <v>199.43308683696642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4.666666666666667</v>
      </c>
      <c r="AI130" s="14">
        <f>IF('Données projet'!$A$62&gt;35,AI129+AH130-AQ129,IF(A130&lt;'Données projet'!$A$62,$AF$205^A130,IF(A130='Données projet'!$A$62,'Données projet'!$B$62,AI129+AH130-AQ129)))</f>
        <v>210.66666666666657</v>
      </c>
      <c r="AJ130" s="14">
        <f>AI130*VLOOKUP('Données projet'!$B$10,Paramètres!$A$1:$I$89,3,0)*VLOOKUP('Données projet'!$B$10,Paramètres!$A$1:$I$89,5,0)</f>
        <v>213.61599999999993</v>
      </c>
      <c r="AK130" s="14">
        <f t="shared" si="89"/>
        <v>52.72498581927065</v>
      </c>
      <c r="AL130" s="22">
        <f t="shared" si="58"/>
        <v>463.87721696856289</v>
      </c>
      <c r="AM130" s="62">
        <f t="shared" si="59"/>
        <v>757.21055030189621</v>
      </c>
      <c r="AN130" s="62">
        <f ca="1">AVERAGE(OFFSET($AM$3,0,0,'Données projet'!$E$10+1,1))-AVERAGE(OFFSET($H$3,0,0,'Données projet'!$E$10+1,1))</f>
        <v>363.99473967460347</v>
      </c>
      <c r="AO130" s="62">
        <f t="shared" si="90"/>
        <v>218.5520645293999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1.738044375088066E-13</v>
      </c>
      <c r="BF130" s="14">
        <f t="shared" si="91"/>
        <v>2.4483293633950478E-12</v>
      </c>
      <c r="BG130" s="22">
        <f t="shared" si="61"/>
        <v>4.566883036574213E-12</v>
      </c>
      <c r="BH130" s="62">
        <f t="shared" si="62"/>
        <v>293.33333333333786</v>
      </c>
      <c r="BI130" s="62">
        <f ca="1">AVERAGE(OFFSET($BH$3,0,0,'Données projet'!$E$11+1,1))-AVERAGE(OFFSET($H$3,0,0,'Données projet'!$E$11+1,1))</f>
        <v>321.23599968992932</v>
      </c>
      <c r="BJ130" s="62">
        <f t="shared" si="92"/>
        <v>388.05195847800502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0.26760716486781966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1.0088731503682438E-13</v>
      </c>
      <c r="BS130" s="24">
        <f t="shared" si="63"/>
        <v>0.26760716486792052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4.666666666666667</v>
      </c>
      <c r="N131" s="14">
        <f>IF('Données projet'!$A$36&gt;35,N130+M131-V130,IF(A131&lt;'Données projet'!$A$36,$K$205^A131,IF(A131='Données projet'!$A$36,'Données projet'!$B$36,N130+M131-V130)))</f>
        <v>215.33333333333323</v>
      </c>
      <c r="O131" s="14">
        <f>N131*VLOOKUP('Données projet'!$B$9,Paramètres!$A$1:$I$89,3,0)*VLOOKUP('Données projet'!$B$9,Paramètres!$A$1:$I$89,5,0)</f>
        <v>194.8335999999999</v>
      </c>
      <c r="P131" s="14">
        <f t="shared" si="87"/>
        <v>48.607025725990823</v>
      </c>
      <c r="Q131" s="22">
        <f t="shared" ref="Q131:Q153" si="108">(O131+P131)*0.475*44/12</f>
        <v>423.99242313943387</v>
      </c>
      <c r="R131" s="62">
        <f t="shared" ref="R131:R194" si="109">Q131+(I131+J131)*44/12</f>
        <v>717.32575647276713</v>
      </c>
      <c r="S131" s="62">
        <f ca="1">AVERAGE(OFFSET($R$3,0,0,'Données projet'!$E$9+1,1))-AVERAGE(OFFSET($H$3,0,0,'Données projet'!$E$9+1,1))</f>
        <v>329.14247505779747</v>
      </c>
      <c r="T131" s="62">
        <f t="shared" si="88"/>
        <v>199.43308683696642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4.666666666666667</v>
      </c>
      <c r="AI131" s="14">
        <f>IF('Données projet'!$A$62&gt;35,AI130+AH131-AQ130,IF(A131&lt;'Données projet'!$A$62,$AF$205^A131,IF(A131='Données projet'!$A$62,'Données projet'!$B$62,AI130+AH131-AQ130)))</f>
        <v>215.33333333333323</v>
      </c>
      <c r="AJ131" s="14">
        <f>AI131*VLOOKUP('Données projet'!$B$10,Paramètres!$A$1:$I$89,3,0)*VLOOKUP('Données projet'!$B$10,Paramètres!$A$1:$I$89,5,0)</f>
        <v>218.34799999999993</v>
      </c>
      <c r="AK131" s="14">
        <f t="shared" si="89"/>
        <v>53.755674325510796</v>
      </c>
      <c r="AL131" s="22">
        <f t="shared" si="58"/>
        <v>473.91389945026441</v>
      </c>
      <c r="AM131" s="62">
        <f t="shared" si="59"/>
        <v>767.24723278359772</v>
      </c>
      <c r="AN131" s="62">
        <f ca="1">AVERAGE(OFFSET($AM$3,0,0,'Données projet'!$E$10+1,1))-AVERAGE(OFFSET($H$3,0,0,'Données projet'!$E$10+1,1))</f>
        <v>363.99473967460347</v>
      </c>
      <c r="AO131" s="62">
        <f t="shared" si="90"/>
        <v>218.5520645293999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1.738044375088066E-13</v>
      </c>
      <c r="BF131" s="14">
        <f t="shared" si="91"/>
        <v>2.4483293633950478E-12</v>
      </c>
      <c r="BG131" s="22">
        <f t="shared" si="61"/>
        <v>4.566883036574213E-12</v>
      </c>
      <c r="BH131" s="62">
        <f t="shared" si="62"/>
        <v>293.33333333333786</v>
      </c>
      <c r="BI131" s="62">
        <f ca="1">AVERAGE(OFFSET($BH$3,0,0,'Données projet'!$E$11+1,1))-AVERAGE(OFFSET($H$3,0,0,'Données projet'!$E$11+1,1))</f>
        <v>321.23599968992932</v>
      </c>
      <c r="BJ131" s="62">
        <f t="shared" si="92"/>
        <v>388.05195847800502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0.26235955158901525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7.1338104598242061E-14</v>
      </c>
      <c r="BS131" s="24">
        <f t="shared" si="63"/>
        <v>0.26235955158908658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4.666666666666667</v>
      </c>
      <c r="N132" s="14">
        <f>IF('Données projet'!$A$36&gt;35,N131+M132-V131,IF(A132&lt;'Données projet'!$A$36,$K$205^A132,IF(A132='Données projet'!$A$36,'Données projet'!$B$36,N131+M132-V131)))</f>
        <v>219.99999999999989</v>
      </c>
      <c r="O132" s="14">
        <f>N132*VLOOKUP('Données projet'!$B$9,Paramètres!$A$1:$I$89,3,0)*VLOOKUP('Données projet'!$B$9,Paramètres!$A$1:$I$89,5,0)</f>
        <v>199.0559999999999</v>
      </c>
      <c r="P132" s="14">
        <f t="shared" si="87"/>
        <v>49.536648006253891</v>
      </c>
      <c r="Q132" s="22">
        <f t="shared" si="108"/>
        <v>432.96552861089202</v>
      </c>
      <c r="R132" s="62">
        <f t="shared" si="109"/>
        <v>726.29886194422534</v>
      </c>
      <c r="S132" s="62">
        <f ca="1">AVERAGE(OFFSET($R$3,0,0,'Données projet'!$E$9+1,1))-AVERAGE(OFFSET($H$3,0,0,'Données projet'!$E$9+1,1))</f>
        <v>329.14247505779747</v>
      </c>
      <c r="T132" s="62">
        <f t="shared" si="88"/>
        <v>199.43308683696642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4.666666666666667</v>
      </c>
      <c r="AI132" s="14">
        <f>IF('Données projet'!$A$62&gt;35,AI131+AH132-AQ131,IF(A132&lt;'Données projet'!$A$62,$AF$205^A132,IF(A132='Données projet'!$A$62,'Données projet'!$B$62,AI131+AH132-AQ131)))</f>
        <v>219.99999999999989</v>
      </c>
      <c r="AJ132" s="14">
        <f>AI132*VLOOKUP('Données projet'!$B$10,Paramètres!$A$1:$I$89,3,0)*VLOOKUP('Données projet'!$B$10,Paramètres!$A$1:$I$89,5,0)</f>
        <v>223.07999999999993</v>
      </c>
      <c r="AK132" s="14">
        <f t="shared" si="89"/>
        <v>54.783765878062617</v>
      </c>
      <c r="AL132" s="22">
        <f t="shared" ref="AL132:AL153" si="112">(AJ132+AK132)*0.475*44/12</f>
        <v>483.94605890429222</v>
      </c>
      <c r="AM132" s="62">
        <f t="shared" ref="AM132:AM195" si="113">AL132+(AD132+AE132)*44/12</f>
        <v>777.27939223762553</v>
      </c>
      <c r="AN132" s="62">
        <f ca="1">AVERAGE(OFFSET($AM$3,0,0,'Données projet'!$E$10+1,1))-AVERAGE(OFFSET($H$3,0,0,'Données projet'!$E$10+1,1))</f>
        <v>363.99473967460347</v>
      </c>
      <c r="AO132" s="62">
        <f t="shared" si="90"/>
        <v>218.5520645293999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1.738044375088066E-13</v>
      </c>
      <c r="BF132" s="14">
        <f t="shared" si="91"/>
        <v>2.4483293633950478E-12</v>
      </c>
      <c r="BG132" s="22">
        <f t="shared" ref="BG132:BG153" si="115">(BE132+BF132)*0.475*44/12</f>
        <v>4.566883036574213E-12</v>
      </c>
      <c r="BH132" s="62">
        <f t="shared" ref="BH132:BH195" si="116">BG132+(AY132+AZ132)*44/12</f>
        <v>293.33333333333786</v>
      </c>
      <c r="BI132" s="62">
        <f ca="1">AVERAGE(OFFSET($BH$3,0,0,'Données projet'!$E$11+1,1))-AVERAGE(OFFSET($H$3,0,0,'Données projet'!$E$11+1,1))</f>
        <v>321.23599968992932</v>
      </c>
      <c r="BJ132" s="62">
        <f t="shared" si="92"/>
        <v>388.05195847800502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0.25721484080588014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5.0443657518412189E-14</v>
      </c>
      <c r="BS132" s="24">
        <f t="shared" ref="BS132:BS153" si="117">SUM(BP132:BR132)</f>
        <v>0.2572148408059306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4.666666666666667</v>
      </c>
      <c r="N133" s="14">
        <f>IF('Données projet'!$A$36&gt;35,N132+M133-V132,IF(A133&lt;'Données projet'!$A$36,$K$205^A133,IF(A133='Données projet'!$A$36,'Données projet'!$B$36,N132+M133-V132)))</f>
        <v>224.66666666666654</v>
      </c>
      <c r="O133" s="14">
        <f>N133*VLOOKUP('Données projet'!$B$9,Paramètres!$A$1:$I$89,3,0)*VLOOKUP('Données projet'!$B$9,Paramètres!$A$1:$I$89,5,0)</f>
        <v>203.27839999999989</v>
      </c>
      <c r="P133" s="14">
        <f t="shared" ref="P133:P196" si="141">EXP(-1.0587+0.8836*LN(O133)+0.284)</f>
        <v>50.463977614209732</v>
      </c>
      <c r="Q133" s="22">
        <f t="shared" si="108"/>
        <v>441.93464101141507</v>
      </c>
      <c r="R133" s="62">
        <f t="shared" si="109"/>
        <v>735.26797434474838</v>
      </c>
      <c r="S133" s="62">
        <f ca="1">AVERAGE(OFFSET($R$3,0,0,'Données projet'!$E$9+1,1))-AVERAGE(OFFSET($H$3,0,0,'Données projet'!$E$9+1,1))</f>
        <v>329.14247505779747</v>
      </c>
      <c r="T133" s="62">
        <f t="shared" ref="T133:T196" si="142">$T$3</f>
        <v>199.43308683696642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4.666666666666667</v>
      </c>
      <c r="AI133" s="14">
        <f>IF('Données projet'!$A$62&gt;35,AI132+AH133-AQ132,IF(A133&lt;'Données projet'!$A$62,$AF$205^A133,IF(A133='Données projet'!$A$62,'Données projet'!$B$62,AI132+AH133-AQ132)))</f>
        <v>224.66666666666654</v>
      </c>
      <c r="AJ133" s="14">
        <f>AI133*VLOOKUP('Données projet'!$B$10,Paramètres!$A$1:$I$89,3,0)*VLOOKUP('Données projet'!$B$10,Paramètres!$A$1:$I$89,5,0)</f>
        <v>227.81199999999987</v>
      </c>
      <c r="AK133" s="14">
        <f t="shared" ref="AK133:AK153" si="143">EXP(-1.0587+0.8836*LN(AJ133)+0.284)</f>
        <v>55.809321909379719</v>
      </c>
      <c r="AL133" s="22">
        <f t="shared" si="112"/>
        <v>493.97380232550273</v>
      </c>
      <c r="AM133" s="62">
        <f t="shared" si="113"/>
        <v>787.30713565883605</v>
      </c>
      <c r="AN133" s="62">
        <f ca="1">AVERAGE(OFFSET($AM$3,0,0,'Données projet'!$E$10+1,1))-AVERAGE(OFFSET($H$3,0,0,'Données projet'!$E$10+1,1))</f>
        <v>363.99473967460347</v>
      </c>
      <c r="AO133" s="62">
        <f t="shared" ref="AO133:AO196" si="144">$AO$3</f>
        <v>218.5520645293999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1.738044375088066E-13</v>
      </c>
      <c r="BF133" s="14">
        <f t="shared" ref="BF133:BF153" si="145">EXP(-1.0587+0.8836*LN(BE133)+0.284)</f>
        <v>2.4483293633950478E-12</v>
      </c>
      <c r="BG133" s="22">
        <f t="shared" si="115"/>
        <v>4.566883036574213E-12</v>
      </c>
      <c r="BH133" s="62">
        <f t="shared" si="116"/>
        <v>293.33333333333786</v>
      </c>
      <c r="BI133" s="62">
        <f ca="1">AVERAGE(OFFSET($BH$3,0,0,'Données projet'!$E$11+1,1))-AVERAGE(OFFSET($H$3,0,0,'Données projet'!$E$11+1,1))</f>
        <v>321.23599968992932</v>
      </c>
      <c r="BJ133" s="62">
        <f t="shared" ref="BJ133:BJ196" si="146">$BJ$3</f>
        <v>388.05195847800502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0.25217101466323855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3.566905229912103E-14</v>
      </c>
      <c r="BS133" s="24">
        <f t="shared" si="117"/>
        <v>0.25217101466327424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4.666666666666667</v>
      </c>
      <c r="N134" s="14">
        <f>IF('Données projet'!$A$36&gt;35,N133+M134-V133,IF(A134&lt;'Données projet'!$A$36,$K$205^A134,IF(A134='Données projet'!$A$36,'Données projet'!$B$36,N133+M134-V133)))</f>
        <v>229.3333333333332</v>
      </c>
      <c r="O134" s="14">
        <f>N134*VLOOKUP('Données projet'!$B$9,Paramètres!$A$1:$I$89,3,0)*VLOOKUP('Données projet'!$B$9,Paramètres!$A$1:$I$89,5,0)</f>
        <v>207.50079999999986</v>
      </c>
      <c r="P134" s="14">
        <f t="shared" si="141"/>
        <v>51.389067658854721</v>
      </c>
      <c r="Q134" s="22">
        <f t="shared" si="108"/>
        <v>450.89985283917173</v>
      </c>
      <c r="R134" s="62">
        <f t="shared" si="109"/>
        <v>744.23318617250504</v>
      </c>
      <c r="S134" s="62">
        <f ca="1">AVERAGE(OFFSET($R$3,0,0,'Données projet'!$E$9+1,1))-AVERAGE(OFFSET($H$3,0,0,'Données projet'!$E$9+1,1))</f>
        <v>329.14247505779747</v>
      </c>
      <c r="T134" s="62">
        <f t="shared" si="142"/>
        <v>199.43308683696642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4.666666666666667</v>
      </c>
      <c r="AI134" s="14">
        <f>IF('Données projet'!$A$62&gt;35,AI133+AH134-AQ133,IF(A134&lt;'Données projet'!$A$62,$AF$205^A134,IF(A134='Données projet'!$A$62,'Données projet'!$B$62,AI133+AH134-AQ133)))</f>
        <v>229.3333333333332</v>
      </c>
      <c r="AJ134" s="14">
        <f>AI134*VLOOKUP('Données projet'!$B$10,Paramètres!$A$1:$I$89,3,0)*VLOOKUP('Données projet'!$B$10,Paramètres!$A$1:$I$89,5,0)</f>
        <v>232.54399999999987</v>
      </c>
      <c r="AK134" s="14">
        <f t="shared" si="143"/>
        <v>56.832401153973727</v>
      </c>
      <c r="AL134" s="22">
        <f t="shared" si="112"/>
        <v>503.99723200983732</v>
      </c>
      <c r="AM134" s="62">
        <f t="shared" si="113"/>
        <v>797.33056534317063</v>
      </c>
      <c r="AN134" s="62">
        <f ca="1">AVERAGE(OFFSET($AM$3,0,0,'Données projet'!$E$10+1,1))-AVERAGE(OFFSET($H$3,0,0,'Données projet'!$E$10+1,1))</f>
        <v>363.99473967460347</v>
      </c>
      <c r="AO134" s="62">
        <f t="shared" si="144"/>
        <v>218.5520645293999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1.738044375088066E-13</v>
      </c>
      <c r="BF134" s="14">
        <f t="shared" si="145"/>
        <v>2.4483293633950478E-12</v>
      </c>
      <c r="BG134" s="22">
        <f t="shared" si="115"/>
        <v>4.566883036574213E-12</v>
      </c>
      <c r="BH134" s="62">
        <f t="shared" si="116"/>
        <v>293.33333333333786</v>
      </c>
      <c r="BI134" s="62">
        <f ca="1">AVERAGE(OFFSET($BH$3,0,0,'Données projet'!$E$11+1,1))-AVERAGE(OFFSET($H$3,0,0,'Données projet'!$E$11+1,1))</f>
        <v>321.23599968992932</v>
      </c>
      <c r="BJ134" s="62">
        <f t="shared" si="146"/>
        <v>388.05195847800502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0.247226094874824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2.5221828759206094E-14</v>
      </c>
      <c r="BS134" s="24">
        <f t="shared" si="117"/>
        <v>0.24722609487484923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4.666666666666667</v>
      </c>
      <c r="N135" s="14">
        <f>IF('Données projet'!$A$36&gt;35,N134+M135-V134,IF(A135&lt;'Données projet'!$A$36,$K$205^A135,IF(A135='Données projet'!$A$36,'Données projet'!$B$36,N134+M135-V134)))</f>
        <v>233.99999999999986</v>
      </c>
      <c r="O135" s="14">
        <f>N135*VLOOKUP('Données projet'!$B$9,Paramètres!$A$1:$I$89,3,0)*VLOOKUP('Données projet'!$B$9,Paramètres!$A$1:$I$89,5,0)</f>
        <v>211.72319999999988</v>
      </c>
      <c r="P135" s="14">
        <f t="shared" si="141"/>
        <v>52.311968964212028</v>
      </c>
      <c r="Q135" s="22">
        <f t="shared" si="108"/>
        <v>459.86125261266903</v>
      </c>
      <c r="R135" s="62">
        <f t="shared" si="109"/>
        <v>753.19458594600235</v>
      </c>
      <c r="S135" s="62">
        <f ca="1">AVERAGE(OFFSET($R$3,0,0,'Données projet'!$E$9+1,1))-AVERAGE(OFFSET($H$3,0,0,'Données projet'!$E$9+1,1))</f>
        <v>329.14247505779747</v>
      </c>
      <c r="T135" s="62">
        <f t="shared" si="142"/>
        <v>199.43308683696642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4.666666666666667</v>
      </c>
      <c r="AI135" s="14">
        <f>IF('Données projet'!$A$62&gt;35,AI134+AH135-AQ134,IF(A135&lt;'Données projet'!$A$62,$AF$205^A135,IF(A135='Données projet'!$A$62,'Données projet'!$B$62,AI134+AH135-AQ134)))</f>
        <v>233.99999999999986</v>
      </c>
      <c r="AJ135" s="14">
        <f>AI135*VLOOKUP('Données projet'!$B$10,Paramètres!$A$1:$I$89,3,0)*VLOOKUP('Données projet'!$B$10,Paramètres!$A$1:$I$89,5,0)</f>
        <v>237.27599999999987</v>
      </c>
      <c r="AK135" s="14">
        <f t="shared" si="143"/>
        <v>57.853059819349511</v>
      </c>
      <c r="AL135" s="22">
        <f t="shared" si="112"/>
        <v>514.01644585203348</v>
      </c>
      <c r="AM135" s="62">
        <f t="shared" si="113"/>
        <v>807.34977918536674</v>
      </c>
      <c r="AN135" s="62">
        <f ca="1">AVERAGE(OFFSET($AM$3,0,0,'Données projet'!$E$10+1,1))-AVERAGE(OFFSET($H$3,0,0,'Données projet'!$E$10+1,1))</f>
        <v>363.99473967460347</v>
      </c>
      <c r="AO135" s="62">
        <f t="shared" si="144"/>
        <v>218.5520645293999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1.738044375088066E-13</v>
      </c>
      <c r="BF135" s="14">
        <f t="shared" si="145"/>
        <v>2.4483293633950478E-12</v>
      </c>
      <c r="BG135" s="22">
        <f t="shared" si="115"/>
        <v>4.566883036574213E-12</v>
      </c>
      <c r="BH135" s="62">
        <f t="shared" si="116"/>
        <v>293.33333333333786</v>
      </c>
      <c r="BI135" s="62">
        <f ca="1">AVERAGE(OFFSET($BH$3,0,0,'Données projet'!$E$11+1,1))-AVERAGE(OFFSET($H$3,0,0,'Données projet'!$E$11+1,1))</f>
        <v>321.23599968992932</v>
      </c>
      <c r="BJ135" s="62">
        <f t="shared" si="146"/>
        <v>388.05195847800502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0.24237814194735699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1.7834526149560515E-14</v>
      </c>
      <c r="BS135" s="24">
        <f t="shared" si="117"/>
        <v>0.24237814194737484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4.666666666666667</v>
      </c>
      <c r="N136" s="14">
        <f>IF('Données projet'!$A$36&gt;35,N135+M136-V135,IF(A136&lt;'Données projet'!$A$36,$K$205^A136,IF(A136='Données projet'!$A$36,'Données projet'!$B$36,N135+M136-V135)))</f>
        <v>238.66666666666652</v>
      </c>
      <c r="O136" s="14">
        <f>N136*VLOOKUP('Données projet'!$B$9,Paramètres!$A$1:$I$89,3,0)*VLOOKUP('Données projet'!$B$9,Paramètres!$A$1:$I$89,5,0)</f>
        <v>215.94559999999984</v>
      </c>
      <c r="P136" s="14">
        <f t="shared" si="141"/>
        <v>53.232730211216257</v>
      </c>
      <c r="Q136" s="22">
        <f t="shared" si="108"/>
        <v>468.81892511786805</v>
      </c>
      <c r="R136" s="62">
        <f t="shared" si="109"/>
        <v>762.15225845120131</v>
      </c>
      <c r="S136" s="62">
        <f ca="1">AVERAGE(OFFSET($R$3,0,0,'Données projet'!$E$9+1,1))-AVERAGE(OFFSET($H$3,0,0,'Données projet'!$E$9+1,1))</f>
        <v>329.14247505779747</v>
      </c>
      <c r="T136" s="62">
        <f t="shared" si="142"/>
        <v>199.43308683696642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4.666666666666667</v>
      </c>
      <c r="AI136" s="14">
        <f>IF('Données projet'!$A$62&gt;35,AI135+AH136-AQ135,IF(A136&lt;'Données projet'!$A$62,$AF$205^A136,IF(A136='Données projet'!$A$62,'Données projet'!$B$62,AI135+AH136-AQ135)))</f>
        <v>238.66666666666652</v>
      </c>
      <c r="AJ136" s="14">
        <f>AI136*VLOOKUP('Données projet'!$B$10,Paramètres!$A$1:$I$89,3,0)*VLOOKUP('Données projet'!$B$10,Paramètres!$A$1:$I$89,5,0)</f>
        <v>242.00799999999987</v>
      </c>
      <c r="AK136" s="14">
        <f t="shared" si="143"/>
        <v>58.871351742919046</v>
      </c>
      <c r="AL136" s="22">
        <f t="shared" si="112"/>
        <v>524.03153761891701</v>
      </c>
      <c r="AM136" s="62">
        <f t="shared" si="113"/>
        <v>817.36487095225039</v>
      </c>
      <c r="AN136" s="62">
        <f ca="1">AVERAGE(OFFSET($AM$3,0,0,'Données projet'!$E$10+1,1))-AVERAGE(OFFSET($H$3,0,0,'Données projet'!$E$10+1,1))</f>
        <v>363.99473967460347</v>
      </c>
      <c r="AO136" s="62">
        <f t="shared" si="144"/>
        <v>218.5520645293999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1.738044375088066E-13</v>
      </c>
      <c r="BF136" s="14">
        <f t="shared" si="145"/>
        <v>2.4483293633950478E-12</v>
      </c>
      <c r="BG136" s="22">
        <f t="shared" si="115"/>
        <v>4.566883036574213E-12</v>
      </c>
      <c r="BH136" s="62">
        <f t="shared" si="116"/>
        <v>293.33333333333786</v>
      </c>
      <c r="BI136" s="62">
        <f ca="1">AVERAGE(OFFSET($BH$3,0,0,'Données projet'!$E$11+1,1))-AVERAGE(OFFSET($H$3,0,0,'Données projet'!$E$11+1,1))</f>
        <v>321.23599968992932</v>
      </c>
      <c r="BJ136" s="62">
        <f t="shared" si="146"/>
        <v>388.05195847800502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0.23762525441983831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1.2610914379603047E-14</v>
      </c>
      <c r="BS136" s="24">
        <f t="shared" si="117"/>
        <v>0.23762525441985091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4.666666666666667</v>
      </c>
      <c r="N137" s="14">
        <f>IF('Données projet'!$A$36&gt;35,N136+M137-V136,IF(A137&lt;'Données projet'!$A$36,$K$205^A137,IF(A137='Données projet'!$A$36,'Données projet'!$B$36,N136+M137-V136)))</f>
        <v>243.33333333333317</v>
      </c>
      <c r="O137" s="14">
        <f>N137*VLOOKUP('Données projet'!$B$9,Paramètres!$A$1:$I$89,3,0)*VLOOKUP('Données projet'!$B$9,Paramètres!$A$1:$I$89,5,0)</f>
        <v>220.16799999999986</v>
      </c>
      <c r="P137" s="14">
        <f t="shared" si="141"/>
        <v>54.151398068187987</v>
      </c>
      <c r="Q137" s="22">
        <f t="shared" si="108"/>
        <v>477.77295163542721</v>
      </c>
      <c r="R137" s="62">
        <f t="shared" si="109"/>
        <v>771.10628496876052</v>
      </c>
      <c r="S137" s="62">
        <f ca="1">AVERAGE(OFFSET($R$3,0,0,'Données projet'!$E$9+1,1))-AVERAGE(OFFSET($H$3,0,0,'Données projet'!$E$9+1,1))</f>
        <v>329.14247505779747</v>
      </c>
      <c r="T137" s="62">
        <f t="shared" si="142"/>
        <v>199.43308683696642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4.666666666666667</v>
      </c>
      <c r="AI137" s="14">
        <f>IF('Données projet'!$A$62&gt;35,AI136+AH137-AQ136,IF(A137&lt;'Données projet'!$A$62,$AF$205^A137,IF(A137='Données projet'!$A$62,'Données projet'!$B$62,AI136+AH137-AQ136)))</f>
        <v>243.33333333333317</v>
      </c>
      <c r="AJ137" s="14">
        <f>AI137*VLOOKUP('Données projet'!$B$10,Paramètres!$A$1:$I$89,3,0)*VLOOKUP('Données projet'!$B$10,Paramètres!$A$1:$I$89,5,0)</f>
        <v>246.73999999999987</v>
      </c>
      <c r="AK137" s="14">
        <f t="shared" si="143"/>
        <v>59.887328536296032</v>
      </c>
      <c r="AL137" s="22">
        <f t="shared" si="112"/>
        <v>534.04259720071548</v>
      </c>
      <c r="AM137" s="62">
        <f t="shared" si="113"/>
        <v>827.37593053404885</v>
      </c>
      <c r="AN137" s="62">
        <f ca="1">AVERAGE(OFFSET($AM$3,0,0,'Données projet'!$E$10+1,1))-AVERAGE(OFFSET($H$3,0,0,'Données projet'!$E$10+1,1))</f>
        <v>363.99473967460347</v>
      </c>
      <c r="AO137" s="62">
        <f t="shared" si="144"/>
        <v>218.5520645293999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1.738044375088066E-13</v>
      </c>
      <c r="BF137" s="14">
        <f t="shared" si="145"/>
        <v>2.4483293633950478E-12</v>
      </c>
      <c r="BG137" s="22">
        <f t="shared" si="115"/>
        <v>4.566883036574213E-12</v>
      </c>
      <c r="BH137" s="62">
        <f t="shared" si="116"/>
        <v>293.33333333333786</v>
      </c>
      <c r="BI137" s="62">
        <f ca="1">AVERAGE(OFFSET($BH$3,0,0,'Données projet'!$E$11+1,1))-AVERAGE(OFFSET($H$3,0,0,'Données projet'!$E$11+1,1))</f>
        <v>321.23599968992932</v>
      </c>
      <c r="BJ137" s="62">
        <f t="shared" si="146"/>
        <v>388.05195847800502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0.23296556811775912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8.9172630747802576E-15</v>
      </c>
      <c r="BS137" s="24">
        <f t="shared" si="117"/>
        <v>0.23296556811776803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4.666666666666667</v>
      </c>
      <c r="N138" s="14">
        <f>IF('Données projet'!$A$36&gt;35,N137+M138-V137,IF(A138&lt;'Données projet'!$A$36,$K$205^A138,IF(A138='Données projet'!$A$36,'Données projet'!$B$36,N137+M138-V137)))</f>
        <v>247.99999999999983</v>
      </c>
      <c r="O138" s="14">
        <f>N138*VLOOKUP('Données projet'!$B$9,Paramètres!$A$1:$I$89,3,0)*VLOOKUP('Données projet'!$B$9,Paramètres!$A$1:$I$89,5,0)</f>
        <v>224.39039999999983</v>
      </c>
      <c r="P138" s="14">
        <f t="shared" si="141"/>
        <v>55.068017311015808</v>
      </c>
      <c r="Q138" s="22">
        <f t="shared" si="108"/>
        <v>486.72341015001888</v>
      </c>
      <c r="R138" s="62">
        <f t="shared" si="109"/>
        <v>780.05674348335219</v>
      </c>
      <c r="S138" s="62">
        <f ca="1">AVERAGE(OFFSET($R$3,0,0,'Données projet'!$E$9+1,1))-AVERAGE(OFFSET($H$3,0,0,'Données projet'!$E$9+1,1))</f>
        <v>329.14247505779747</v>
      </c>
      <c r="T138" s="62">
        <f t="shared" si="142"/>
        <v>199.43308683696642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4.666666666666667</v>
      </c>
      <c r="AI138" s="14">
        <f>IF('Données projet'!$A$62&gt;35,AI137+AH138-AQ137,IF(A138&lt;'Données projet'!$A$62,$AF$205^A138,IF(A138='Données projet'!$A$62,'Données projet'!$B$62,AI137+AH138-AQ137)))</f>
        <v>247.99999999999983</v>
      </c>
      <c r="AJ138" s="14">
        <f>AI138*VLOOKUP('Données projet'!$B$10,Paramètres!$A$1:$I$89,3,0)*VLOOKUP('Données projet'!$B$10,Paramètres!$A$1:$I$89,5,0)</f>
        <v>251.47199999999987</v>
      </c>
      <c r="AK138" s="14">
        <f t="shared" si="143"/>
        <v>60.901039718208594</v>
      </c>
      <c r="AL138" s="22">
        <f t="shared" si="112"/>
        <v>544.04971084254646</v>
      </c>
      <c r="AM138" s="62">
        <f t="shared" si="113"/>
        <v>837.38304417587983</v>
      </c>
      <c r="AN138" s="62">
        <f ca="1">AVERAGE(OFFSET($AM$3,0,0,'Données projet'!$E$10+1,1))-AVERAGE(OFFSET($H$3,0,0,'Données projet'!$E$10+1,1))</f>
        <v>363.99473967460347</v>
      </c>
      <c r="AO138" s="62">
        <f t="shared" si="144"/>
        <v>218.5520645293999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1.738044375088066E-13</v>
      </c>
      <c r="BF138" s="14">
        <f t="shared" si="145"/>
        <v>2.4483293633950478E-12</v>
      </c>
      <c r="BG138" s="22">
        <f t="shared" si="115"/>
        <v>4.566883036574213E-12</v>
      </c>
      <c r="BH138" s="62">
        <f t="shared" si="116"/>
        <v>293.33333333333786</v>
      </c>
      <c r="BI138" s="62">
        <f ca="1">AVERAGE(OFFSET($BH$3,0,0,'Données projet'!$E$11+1,1))-AVERAGE(OFFSET($H$3,0,0,'Données projet'!$E$11+1,1))</f>
        <v>321.23599968992932</v>
      </c>
      <c r="BJ138" s="62">
        <f t="shared" si="146"/>
        <v>388.05195847800502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0.2283972554219357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6.3054571898015236E-15</v>
      </c>
      <c r="BS138" s="24">
        <f t="shared" si="117"/>
        <v>0.228397255421942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4.666666666666667</v>
      </c>
      <c r="N139" s="14">
        <f>IF('Données projet'!$A$36&gt;35,N138+M139-V138,IF(A139&lt;'Données projet'!$A$36,$K$205^A139,IF(A139='Données projet'!$A$36,'Données projet'!$B$36,N138+M139-V138)))</f>
        <v>252.66666666666649</v>
      </c>
      <c r="O139" s="14">
        <f>N139*VLOOKUP('Données projet'!$B$9,Paramètres!$A$1:$I$89,3,0)*VLOOKUP('Données projet'!$B$9,Paramètres!$A$1:$I$89,5,0)</f>
        <v>228.61279999999982</v>
      </c>
      <c r="P139" s="14">
        <f t="shared" si="141"/>
        <v>55.982630934037282</v>
      </c>
      <c r="Q139" s="22">
        <f t="shared" si="108"/>
        <v>495.67037554344796</v>
      </c>
      <c r="R139" s="62">
        <f t="shared" si="109"/>
        <v>789.00370887678127</v>
      </c>
      <c r="S139" s="62">
        <f ca="1">AVERAGE(OFFSET($R$3,0,0,'Données projet'!$E$9+1,1))-AVERAGE(OFFSET($H$3,0,0,'Données projet'!$E$9+1,1))</f>
        <v>329.14247505779747</v>
      </c>
      <c r="T139" s="62">
        <f t="shared" si="142"/>
        <v>199.43308683696642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4.666666666666667</v>
      </c>
      <c r="AI139" s="14">
        <f>IF('Données projet'!$A$62&gt;35,AI138+AH139-AQ138,IF(A139&lt;'Données projet'!$A$62,$AF$205^A139,IF(A139='Données projet'!$A$62,'Données projet'!$B$62,AI138+AH139-AQ138)))</f>
        <v>252.66666666666649</v>
      </c>
      <c r="AJ139" s="14">
        <f>AI139*VLOOKUP('Données projet'!$B$10,Paramètres!$A$1:$I$89,3,0)*VLOOKUP('Données projet'!$B$10,Paramètres!$A$1:$I$89,5,0)</f>
        <v>256.20399999999984</v>
      </c>
      <c r="AK139" s="14">
        <f t="shared" si="143"/>
        <v>61.912532837124694</v>
      </c>
      <c r="AL139" s="22">
        <f t="shared" si="112"/>
        <v>554.05296135799176</v>
      </c>
      <c r="AM139" s="62">
        <f t="shared" si="113"/>
        <v>847.38629469132502</v>
      </c>
      <c r="AN139" s="62">
        <f ca="1">AVERAGE(OFFSET($AM$3,0,0,'Données projet'!$E$10+1,1))-AVERAGE(OFFSET($H$3,0,0,'Données projet'!$E$10+1,1))</f>
        <v>363.99473967460347</v>
      </c>
      <c r="AO139" s="62">
        <f t="shared" si="144"/>
        <v>218.5520645293999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1.738044375088066E-13</v>
      </c>
      <c r="BF139" s="14">
        <f t="shared" si="145"/>
        <v>2.4483293633950478E-12</v>
      </c>
      <c r="BG139" s="22">
        <f t="shared" si="115"/>
        <v>4.566883036574213E-12</v>
      </c>
      <c r="BH139" s="62">
        <f t="shared" si="116"/>
        <v>293.33333333333786</v>
      </c>
      <c r="BI139" s="62">
        <f ca="1">AVERAGE(OFFSET($BH$3,0,0,'Données projet'!$E$11+1,1))-AVERAGE(OFFSET($H$3,0,0,'Données projet'!$E$11+1,1))</f>
        <v>321.23599968992932</v>
      </c>
      <c r="BJ139" s="62">
        <f t="shared" si="146"/>
        <v>388.05195847800502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0.22391852455168176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4.4586315373901288E-15</v>
      </c>
      <c r="BS139" s="24">
        <f t="shared" si="117"/>
        <v>0.22391852455168623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4.666666666666667</v>
      </c>
      <c r="N140" s="14">
        <f>IF('Données projet'!$A$36&gt;35,N139+M140-V139,IF(A140&lt;'Données projet'!$A$36,$K$205^A140,IF(A140='Données projet'!$A$36,'Données projet'!$B$36,N139+M140-V139)))</f>
        <v>257.33333333333314</v>
      </c>
      <c r="O140" s="14">
        <f>N140*VLOOKUP('Données projet'!$B$9,Paramètres!$A$1:$I$89,3,0)*VLOOKUP('Données projet'!$B$9,Paramètres!$A$1:$I$89,5,0)</f>
        <v>232.83519999999982</v>
      </c>
      <c r="P140" s="14">
        <f t="shared" si="141"/>
        <v>56.895280252495532</v>
      </c>
      <c r="Q140" s="22">
        <f t="shared" si="108"/>
        <v>504.61391977309603</v>
      </c>
      <c r="R140" s="62">
        <f t="shared" si="109"/>
        <v>797.94725310642934</v>
      </c>
      <c r="S140" s="62">
        <f ca="1">AVERAGE(OFFSET($R$3,0,0,'Données projet'!$E$9+1,1))-AVERAGE(OFFSET($H$3,0,0,'Données projet'!$E$9+1,1))</f>
        <v>329.14247505779747</v>
      </c>
      <c r="T140" s="62">
        <f t="shared" si="142"/>
        <v>199.43308683696642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4.666666666666667</v>
      </c>
      <c r="AI140" s="14">
        <f>IF('Données projet'!$A$62&gt;35,AI139+AH140-AQ139,IF(A140&lt;'Données projet'!$A$62,$AF$205^A140,IF(A140='Données projet'!$A$62,'Données projet'!$B$62,AI139+AH140-AQ139)))</f>
        <v>257.33333333333314</v>
      </c>
      <c r="AJ140" s="14">
        <f>AI140*VLOOKUP('Données projet'!$B$10,Paramètres!$A$1:$I$89,3,0)*VLOOKUP('Données projet'!$B$10,Paramètres!$A$1:$I$89,5,0)</f>
        <v>260.93599999999981</v>
      </c>
      <c r="AK140" s="14">
        <f t="shared" si="143"/>
        <v>62.921853584561646</v>
      </c>
      <c r="AL140" s="22">
        <f t="shared" si="112"/>
        <v>564.05242832644456</v>
      </c>
      <c r="AM140" s="62">
        <f t="shared" si="113"/>
        <v>857.38576165977793</v>
      </c>
      <c r="AN140" s="62">
        <f ca="1">AVERAGE(OFFSET($AM$3,0,0,'Données projet'!$E$10+1,1))-AVERAGE(OFFSET($H$3,0,0,'Données projet'!$E$10+1,1))</f>
        <v>363.99473967460347</v>
      </c>
      <c r="AO140" s="62">
        <f t="shared" si="144"/>
        <v>218.5520645293999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1.738044375088066E-13</v>
      </c>
      <c r="BF140" s="14">
        <f t="shared" si="145"/>
        <v>2.4483293633950478E-12</v>
      </c>
      <c r="BG140" s="22">
        <f t="shared" si="115"/>
        <v>4.566883036574213E-12</v>
      </c>
      <c r="BH140" s="62">
        <f t="shared" si="116"/>
        <v>293.33333333333786</v>
      </c>
      <c r="BI140" s="62">
        <f ca="1">AVERAGE(OFFSET($BH$3,0,0,'Données projet'!$E$11+1,1))-AVERAGE(OFFSET($H$3,0,0,'Données projet'!$E$11+1,1))</f>
        <v>321.23599968992932</v>
      </c>
      <c r="BJ140" s="62">
        <f t="shared" si="146"/>
        <v>388.05195847800502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0.21952761886203742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3.1527285949007618E-15</v>
      </c>
      <c r="BS140" s="24">
        <f t="shared" si="117"/>
        <v>0.21952761886204059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262</v>
      </c>
      <c r="L141" s="13">
        <f>VLOOKUP(A141,'Données projet'!$A$35:$I$55,9,0)</f>
        <v>4.666666666666667</v>
      </c>
      <c r="M141" s="13">
        <f t="array" ref="M141">INDEX(L:L,MIN(IF(ISNUMBER(L141:L337),ROW(L141:L337),"")))</f>
        <v>4.666666666666667</v>
      </c>
      <c r="N141" s="14">
        <f>IF('Données projet'!$A$36&gt;35,N140+M141-V140,IF(A141&lt;'Données projet'!$A$36,$K$205^A141,IF(A141='Données projet'!$A$36,'Données projet'!$B$36,N140+M141-V140)))</f>
        <v>261.99999999999983</v>
      </c>
      <c r="O141" s="14">
        <f>N141*VLOOKUP('Données projet'!$B$9,Paramètres!$A$1:$I$89,3,0)*VLOOKUP('Données projet'!$B$9,Paramètres!$A$1:$I$89,5,0)</f>
        <v>237.05759999999984</v>
      </c>
      <c r="P141" s="14">
        <f t="shared" si="141"/>
        <v>57.806004997354641</v>
      </c>
      <c r="Q141" s="22">
        <f t="shared" si="108"/>
        <v>513.55411203705899</v>
      </c>
      <c r="R141" s="62">
        <f t="shared" si="109"/>
        <v>806.88744537039224</v>
      </c>
      <c r="S141" s="62">
        <f ca="1">AVERAGE(OFFSET($R$3,0,0,'Données projet'!$E$9+1,1))-AVERAGE(OFFSET($H$3,0,0,'Données projet'!$E$9+1,1))</f>
        <v>329.14247505779747</v>
      </c>
      <c r="T141" s="62">
        <f t="shared" si="142"/>
        <v>199.43308683696642</v>
      </c>
      <c r="U141" s="16">
        <f>IF(ISNA(VLOOKUP(A141,'Données projet'!$A$35:$I$55,3,0)),0,VLOOKUP(A141,'Données projet'!$A$35:$I$55,3,0))</f>
        <v>11</v>
      </c>
      <c r="V141" s="16">
        <f>IF(ISNA(VLOOKUP(A141,'Données projet'!$A$35:$I$55,4,0)),0,VLOOKUP(A141,'Données projet'!$A$35:$I$55,4,0))</f>
        <v>39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>
        <f>VLOOKUP(A141,'Données projet'!$A$61:$I$81,2,0)</f>
        <v>262</v>
      </c>
      <c r="AG141" s="13">
        <f>VLOOKUP(A141,'Données projet'!$A$61:$I$81,9,0)</f>
        <v>4.666666666666667</v>
      </c>
      <c r="AH141" s="13">
        <f t="array" ref="AH141">INDEX(AG:AG,MIN(IF(ISNUMBER(AG141:AG337),ROW(AG141:AG337),"")))</f>
        <v>4.666666666666667</v>
      </c>
      <c r="AI141" s="14">
        <f>IF('Données projet'!$A$62&gt;35,AI140+AH141-AQ140,IF(A141&lt;'Données projet'!$A$62,$AF$205^A141,IF(A141='Données projet'!$A$62,'Données projet'!$B$62,AI140+AH141-AQ140)))</f>
        <v>261.99999999999983</v>
      </c>
      <c r="AJ141" s="14">
        <f>AI141*VLOOKUP('Données projet'!$B$10,Paramètres!$A$1:$I$89,3,0)*VLOOKUP('Données projet'!$B$10,Paramètres!$A$1:$I$89,5,0)</f>
        <v>265.66799999999984</v>
      </c>
      <c r="AK141" s="14">
        <f t="shared" si="143"/>
        <v>63.929045899944349</v>
      </c>
      <c r="AL141" s="22">
        <f t="shared" si="112"/>
        <v>574.04818827573615</v>
      </c>
      <c r="AM141" s="62">
        <f t="shared" si="113"/>
        <v>867.38152160906952</v>
      </c>
      <c r="AN141" s="62">
        <f ca="1">AVERAGE(OFFSET($AM$3,0,0,'Données projet'!$E$10+1,1))-AVERAGE(OFFSET($H$3,0,0,'Données projet'!$E$10+1,1))</f>
        <v>363.99473967460347</v>
      </c>
      <c r="AO141" s="62">
        <f t="shared" si="144"/>
        <v>218.5520645293999</v>
      </c>
      <c r="AP141" s="16">
        <f>IF(ISNA(VLOOKUP(A141,'Données projet'!$A$61:$I$81,3,0)),0,VLOOKUP(A141,'Données projet'!$A$61:$I$81,3,0))</f>
        <v>11</v>
      </c>
      <c r="AQ141" s="16">
        <f>IF(ISNA(VLOOKUP(A141,'Données projet'!$A$61:$I$81,4,0)),0,VLOOKUP(A141,'Données projet'!$A$61:$I$81,4,0))</f>
        <v>39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1.738044375088066E-13</v>
      </c>
      <c r="BF141" s="14">
        <f t="shared" si="145"/>
        <v>2.4483293633950478E-12</v>
      </c>
      <c r="BG141" s="22">
        <f t="shared" si="115"/>
        <v>4.566883036574213E-12</v>
      </c>
      <c r="BH141" s="62">
        <f t="shared" si="116"/>
        <v>293.33333333333786</v>
      </c>
      <c r="BI141" s="62">
        <f ca="1">AVERAGE(OFFSET($BH$3,0,0,'Données projet'!$E$11+1,1))-AVERAGE(OFFSET($H$3,0,0,'Données projet'!$E$11+1,1))</f>
        <v>321.23599968992932</v>
      </c>
      <c r="BJ141" s="62">
        <f t="shared" si="146"/>
        <v>388.05195847800502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0.21522281615477898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2.2293157686950644E-15</v>
      </c>
      <c r="BS141" s="24">
        <f t="shared" si="117"/>
        <v>0.2152228161547812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4.8666666666666663</v>
      </c>
      <c r="N142" s="14">
        <f>IF('Données projet'!$A$36&gt;35,N141+M142-V141,IF(A142&lt;'Données projet'!$A$36,$K$205^A142,IF(A142='Données projet'!$A$36,'Données projet'!$B$36,N141+M142-V141)))</f>
        <v>227.8666666666665</v>
      </c>
      <c r="O142" s="14">
        <f>N142*VLOOKUP('Données projet'!$B$9,Paramètres!$A$1:$I$89,3,0)*VLOOKUP('Données projet'!$B$9,Paramètres!$A$1:$I$89,5,0)</f>
        <v>206.17375999999982</v>
      </c>
      <c r="P142" s="14">
        <f t="shared" si="141"/>
        <v>51.098563276577075</v>
      </c>
      <c r="Q142" s="22">
        <f t="shared" si="108"/>
        <v>448.08262970670484</v>
      </c>
      <c r="R142" s="62">
        <f t="shared" si="109"/>
        <v>741.41596304003815</v>
      </c>
      <c r="S142" s="62">
        <f ca="1">AVERAGE(OFFSET($R$3,0,0,'Données projet'!$E$9+1,1))-AVERAGE(OFFSET($H$3,0,0,'Données projet'!$E$9+1,1))</f>
        <v>329.14247505779747</v>
      </c>
      <c r="T142" s="62">
        <f t="shared" si="142"/>
        <v>199.43308683696642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4.8666666666666663</v>
      </c>
      <c r="AI142" s="14">
        <f>IF('Données projet'!$A$62&gt;35,AI141+AH142-AQ141,IF(A142&lt;'Données projet'!$A$62,$AF$205^A142,IF(A142='Données projet'!$A$62,'Données projet'!$B$62,AI141+AH142-AQ141)))</f>
        <v>227.8666666666665</v>
      </c>
      <c r="AJ142" s="14">
        <f>AI142*VLOOKUP('Données projet'!$B$10,Paramètres!$A$1:$I$89,3,0)*VLOOKUP('Données projet'!$B$10,Paramètres!$A$1:$I$89,5,0)</f>
        <v>231.05679999999984</v>
      </c>
      <c r="AK142" s="14">
        <f t="shared" si="143"/>
        <v>56.511125397421971</v>
      </c>
      <c r="AL142" s="22">
        <f t="shared" si="112"/>
        <v>500.84747006717635</v>
      </c>
      <c r="AM142" s="62">
        <f t="shared" si="113"/>
        <v>794.1808034005096</v>
      </c>
      <c r="AN142" s="62">
        <f ca="1">AVERAGE(OFFSET($AM$3,0,0,'Données projet'!$E$10+1,1))-AVERAGE(OFFSET($H$3,0,0,'Données projet'!$E$10+1,1))</f>
        <v>363.99473967460347</v>
      </c>
      <c r="AO142" s="62">
        <f t="shared" si="144"/>
        <v>218.5520645293999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1.738044375088066E-13</v>
      </c>
      <c r="BF142" s="14">
        <f t="shared" si="145"/>
        <v>2.4483293633950478E-12</v>
      </c>
      <c r="BG142" s="22">
        <f t="shared" si="115"/>
        <v>4.566883036574213E-12</v>
      </c>
      <c r="BH142" s="62">
        <f t="shared" si="116"/>
        <v>293.33333333333786</v>
      </c>
      <c r="BI142" s="62">
        <f ca="1">AVERAGE(OFFSET($BH$3,0,0,'Données projet'!$E$11+1,1))-AVERAGE(OFFSET($H$3,0,0,'Données projet'!$E$11+1,1))</f>
        <v>321.23599968992932</v>
      </c>
      <c r="BJ142" s="62">
        <f t="shared" si="146"/>
        <v>388.05195847800502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0.2110024280029395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1.5763642974503809E-15</v>
      </c>
      <c r="BS142" s="24">
        <f t="shared" si="117"/>
        <v>0.21100242800294108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4.8666666666666663</v>
      </c>
      <c r="N143" s="14">
        <f>IF('Données projet'!$A$36&gt;35,N142+M143-V142,IF(A143&lt;'Données projet'!$A$36,$K$205^A143,IF(A143='Données projet'!$A$36,'Données projet'!$B$36,N142+M143-V142)))</f>
        <v>232.73333333333318</v>
      </c>
      <c r="O143" s="14">
        <f>N143*VLOOKUP('Données projet'!$B$9,Paramètres!$A$1:$I$89,3,0)*VLOOKUP('Données projet'!$B$9,Paramètres!$A$1:$I$89,5,0)</f>
        <v>210.57711999999987</v>
      </c>
      <c r="P143" s="14">
        <f t="shared" si="141"/>
        <v>52.061680787565365</v>
      </c>
      <c r="Q143" s="22">
        <f t="shared" si="108"/>
        <v>457.42924470500947</v>
      </c>
      <c r="R143" s="62">
        <f t="shared" si="109"/>
        <v>750.76257803834278</v>
      </c>
      <c r="S143" s="62">
        <f ca="1">AVERAGE(OFFSET($R$3,0,0,'Données projet'!$E$9+1,1))-AVERAGE(OFFSET($H$3,0,0,'Données projet'!$E$9+1,1))</f>
        <v>329.14247505779747</v>
      </c>
      <c r="T143" s="62">
        <f t="shared" si="142"/>
        <v>199.43308683696642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4.8666666666666663</v>
      </c>
      <c r="AI143" s="14">
        <f>IF('Données projet'!$A$62&gt;35,AI142+AH143-AQ142,IF(A143&lt;'Données projet'!$A$62,$AF$205^A143,IF(A143='Données projet'!$A$62,'Données projet'!$B$62,AI142+AH143-AQ142)))</f>
        <v>232.73333333333318</v>
      </c>
      <c r="AJ143" s="14">
        <f>AI143*VLOOKUP('Données projet'!$B$10,Paramètres!$A$1:$I$89,3,0)*VLOOKUP('Données projet'!$B$10,Paramètres!$A$1:$I$89,5,0)</f>
        <v>235.99159999999983</v>
      </c>
      <c r="AK143" s="14">
        <f t="shared" si="143"/>
        <v>57.57626012814459</v>
      </c>
      <c r="AL143" s="22">
        <f t="shared" si="112"/>
        <v>511.29735638985153</v>
      </c>
      <c r="AM143" s="62">
        <f t="shared" si="113"/>
        <v>804.63068972318479</v>
      </c>
      <c r="AN143" s="62">
        <f ca="1">AVERAGE(OFFSET($AM$3,0,0,'Données projet'!$E$10+1,1))-AVERAGE(OFFSET($H$3,0,0,'Données projet'!$E$10+1,1))</f>
        <v>363.99473967460347</v>
      </c>
      <c r="AO143" s="62">
        <f t="shared" si="144"/>
        <v>218.5520645293999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1.738044375088066E-13</v>
      </c>
      <c r="BF143" s="14">
        <f t="shared" si="145"/>
        <v>2.4483293633950478E-12</v>
      </c>
      <c r="BG143" s="22">
        <f t="shared" si="115"/>
        <v>4.566883036574213E-12</v>
      </c>
      <c r="BH143" s="62">
        <f t="shared" si="116"/>
        <v>293.33333333333786</v>
      </c>
      <c r="BI143" s="62">
        <f ca="1">AVERAGE(OFFSET($BH$3,0,0,'Données projet'!$E$11+1,1))-AVERAGE(OFFSET($H$3,0,0,'Données projet'!$E$11+1,1))</f>
        <v>321.23599968992932</v>
      </c>
      <c r="BJ143" s="62">
        <f t="shared" si="146"/>
        <v>388.05195847800502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0.206864799088575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1.1146578843475322E-15</v>
      </c>
      <c r="BS143" s="24">
        <f t="shared" si="117"/>
        <v>0.20686479908857611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4.8666666666666663</v>
      </c>
      <c r="N144" s="14">
        <f>IF('Données projet'!$A$36&gt;35,N143+M144-V143,IF(A144&lt;'Données projet'!$A$36,$K$205^A144,IF(A144='Données projet'!$A$36,'Données projet'!$B$36,N143+M144-V143)))</f>
        <v>237.59999999999985</v>
      </c>
      <c r="O144" s="14">
        <f>N144*VLOOKUP('Données projet'!$B$9,Paramètres!$A$1:$I$89,3,0)*VLOOKUP('Données projet'!$B$9,Paramètres!$A$1:$I$89,5,0)</f>
        <v>214.98047999999986</v>
      </c>
      <c r="P144" s="14">
        <f t="shared" si="141"/>
        <v>53.022456711590607</v>
      </c>
      <c r="Q144" s="22">
        <f t="shared" si="108"/>
        <v>466.77178143935333</v>
      </c>
      <c r="R144" s="62">
        <f t="shared" si="109"/>
        <v>760.10511477268665</v>
      </c>
      <c r="S144" s="62">
        <f ca="1">AVERAGE(OFFSET($R$3,0,0,'Données projet'!$E$9+1,1))-AVERAGE(OFFSET($H$3,0,0,'Données projet'!$E$9+1,1))</f>
        <v>329.14247505779747</v>
      </c>
      <c r="T144" s="62">
        <f t="shared" si="142"/>
        <v>199.43308683696642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4.8666666666666663</v>
      </c>
      <c r="AI144" s="14">
        <f>IF('Données projet'!$A$62&gt;35,AI143+AH144-AQ143,IF(A144&lt;'Données projet'!$A$62,$AF$205^A144,IF(A144='Données projet'!$A$62,'Données projet'!$B$62,AI143+AH144-AQ143)))</f>
        <v>237.59999999999985</v>
      </c>
      <c r="AJ144" s="14">
        <f>AI144*VLOOKUP('Données projet'!$B$10,Paramètres!$A$1:$I$89,3,0)*VLOOKUP('Données projet'!$B$10,Paramètres!$A$1:$I$89,5,0)</f>
        <v>240.92639999999986</v>
      </c>
      <c r="AK144" s="14">
        <f t="shared" si="143"/>
        <v>58.638805241742773</v>
      </c>
      <c r="AL144" s="22">
        <f t="shared" si="112"/>
        <v>521.74273246270184</v>
      </c>
      <c r="AM144" s="62">
        <f t="shared" si="113"/>
        <v>815.07606579603521</v>
      </c>
      <c r="AN144" s="62">
        <f ca="1">AVERAGE(OFFSET($AM$3,0,0,'Données projet'!$E$10+1,1))-AVERAGE(OFFSET($H$3,0,0,'Données projet'!$E$10+1,1))</f>
        <v>363.99473967460347</v>
      </c>
      <c r="AO144" s="62">
        <f t="shared" si="144"/>
        <v>218.5520645293999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1.738044375088066E-13</v>
      </c>
      <c r="BF144" s="14">
        <f t="shared" si="145"/>
        <v>2.4483293633950478E-12</v>
      </c>
      <c r="BG144" s="22">
        <f t="shared" si="115"/>
        <v>4.566883036574213E-12</v>
      </c>
      <c r="BH144" s="62">
        <f t="shared" si="116"/>
        <v>293.33333333333786</v>
      </c>
      <c r="BI144" s="62">
        <f ca="1">AVERAGE(OFFSET($BH$3,0,0,'Données projet'!$E$11+1,1))-AVERAGE(OFFSET($H$3,0,0,'Données projet'!$E$11+1,1))</f>
        <v>321.23599968992932</v>
      </c>
      <c r="BJ144" s="62">
        <f t="shared" si="146"/>
        <v>388.05195847800502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0.20280830655351673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7.8818214872519045E-16</v>
      </c>
      <c r="BS144" s="24">
        <f t="shared" si="117"/>
        <v>0.2028083065535175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4.8666666666666663</v>
      </c>
      <c r="N145" s="14">
        <f>IF('Données projet'!$A$36&gt;35,N144+M145-V144,IF(A145&lt;'Données projet'!$A$36,$K$205^A145,IF(A145='Données projet'!$A$36,'Données projet'!$B$36,N144+M145-V144)))</f>
        <v>242.46666666666653</v>
      </c>
      <c r="O145" s="14">
        <f>N145*VLOOKUP('Données projet'!$B$9,Paramètres!$A$1:$I$89,3,0)*VLOOKUP('Données projet'!$B$9,Paramètres!$A$1:$I$89,5,0)</f>
        <v>219.38383999999985</v>
      </c>
      <c r="P145" s="14">
        <f t="shared" si="141"/>
        <v>53.980944536975066</v>
      </c>
      <c r="Q145" s="22">
        <f t="shared" si="108"/>
        <v>476.11033306856461</v>
      </c>
      <c r="R145" s="62">
        <f t="shared" si="109"/>
        <v>769.44366640189787</v>
      </c>
      <c r="S145" s="62">
        <f ca="1">AVERAGE(OFFSET($R$3,0,0,'Données projet'!$E$9+1,1))-AVERAGE(OFFSET($H$3,0,0,'Données projet'!$E$9+1,1))</f>
        <v>329.14247505779747</v>
      </c>
      <c r="T145" s="62">
        <f t="shared" si="142"/>
        <v>199.43308683696642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4.8666666666666663</v>
      </c>
      <c r="AI145" s="14">
        <f>IF('Données projet'!$A$62&gt;35,AI144+AH145-AQ144,IF(A145&lt;'Données projet'!$A$62,$AF$205^A145,IF(A145='Données projet'!$A$62,'Données projet'!$B$62,AI144+AH145-AQ144)))</f>
        <v>242.46666666666653</v>
      </c>
      <c r="AJ145" s="14">
        <f>AI145*VLOOKUP('Données projet'!$B$10,Paramètres!$A$1:$I$89,3,0)*VLOOKUP('Données projet'!$B$10,Paramètres!$A$1:$I$89,5,0)</f>
        <v>245.86119999999985</v>
      </c>
      <c r="AK145" s="14">
        <f t="shared" si="143"/>
        <v>59.69881989223358</v>
      </c>
      <c r="AL145" s="22">
        <f t="shared" si="112"/>
        <v>532.18370131230654</v>
      </c>
      <c r="AM145" s="62">
        <f t="shared" si="113"/>
        <v>825.5170346456398</v>
      </c>
      <c r="AN145" s="62">
        <f ca="1">AVERAGE(OFFSET($AM$3,0,0,'Données projet'!$E$10+1,1))-AVERAGE(OFFSET($H$3,0,0,'Données projet'!$E$10+1,1))</f>
        <v>363.99473967460347</v>
      </c>
      <c r="AO145" s="62">
        <f t="shared" si="144"/>
        <v>218.5520645293999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1.738044375088066E-13</v>
      </c>
      <c r="BF145" s="14">
        <f t="shared" si="145"/>
        <v>2.4483293633950478E-12</v>
      </c>
      <c r="BG145" s="22">
        <f t="shared" si="115"/>
        <v>4.566883036574213E-12</v>
      </c>
      <c r="BH145" s="62">
        <f t="shared" si="116"/>
        <v>293.33333333333786</v>
      </c>
      <c r="BI145" s="62">
        <f ca="1">AVERAGE(OFFSET($BH$3,0,0,'Données projet'!$E$11+1,1))-AVERAGE(OFFSET($H$3,0,0,'Données projet'!$E$11+1,1))</f>
        <v>321.23599968992932</v>
      </c>
      <c r="BJ145" s="62">
        <f t="shared" si="146"/>
        <v>388.05195847800502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0.19883135936285481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5.573289421737661E-16</v>
      </c>
      <c r="BS145" s="24">
        <f t="shared" si="117"/>
        <v>0.19883135936285537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4.8666666666666663</v>
      </c>
      <c r="N146" s="14">
        <f>IF('Données projet'!$A$36&gt;35,N145+M146-V145,IF(A146&lt;'Données projet'!$A$36,$K$205^A146,IF(A146='Données projet'!$A$36,'Données projet'!$B$36,N145+M146-V145)))</f>
        <v>247.3333333333332</v>
      </c>
      <c r="O146" s="14">
        <f>N146*VLOOKUP('Données projet'!$B$9,Paramètres!$A$1:$I$89,3,0)*VLOOKUP('Données projet'!$B$9,Paramètres!$A$1:$I$89,5,0)</f>
        <v>223.78719999999984</v>
      </c>
      <c r="P146" s="14">
        <f t="shared" si="141"/>
        <v>54.937195482089805</v>
      </c>
      <c r="Q146" s="22">
        <f t="shared" si="108"/>
        <v>485.44498879797288</v>
      </c>
      <c r="R146" s="62">
        <f t="shared" si="109"/>
        <v>778.77832213130614</v>
      </c>
      <c r="S146" s="62">
        <f ca="1">AVERAGE(OFFSET($R$3,0,0,'Données projet'!$E$9+1,1))-AVERAGE(OFFSET($H$3,0,0,'Données projet'!$E$9+1,1))</f>
        <v>329.14247505779747</v>
      </c>
      <c r="T146" s="62">
        <f t="shared" si="142"/>
        <v>199.43308683696642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4.8666666666666663</v>
      </c>
      <c r="AI146" s="14">
        <f>IF('Données projet'!$A$62&gt;35,AI145+AH146-AQ145,IF(A146&lt;'Données projet'!$A$62,$AF$205^A146,IF(A146='Données projet'!$A$62,'Données projet'!$B$62,AI145+AH146-AQ145)))</f>
        <v>247.3333333333332</v>
      </c>
      <c r="AJ146" s="14">
        <f>AI146*VLOOKUP('Données projet'!$B$10,Paramètres!$A$1:$I$89,3,0)*VLOOKUP('Données projet'!$B$10,Paramètres!$A$1:$I$89,5,0)</f>
        <v>250.79599999999991</v>
      </c>
      <c r="AK146" s="14">
        <f t="shared" si="143"/>
        <v>60.756360723240782</v>
      </c>
      <c r="AL146" s="22">
        <f t="shared" si="112"/>
        <v>542.62036159297747</v>
      </c>
      <c r="AM146" s="62">
        <f t="shared" si="113"/>
        <v>835.95369492631085</v>
      </c>
      <c r="AN146" s="62">
        <f ca="1">AVERAGE(OFFSET($AM$3,0,0,'Données projet'!$E$10+1,1))-AVERAGE(OFFSET($H$3,0,0,'Données projet'!$E$10+1,1))</f>
        <v>363.99473967460347</v>
      </c>
      <c r="AO146" s="62">
        <f t="shared" si="144"/>
        <v>218.5520645293999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1.738044375088066E-13</v>
      </c>
      <c r="BF146" s="14">
        <f t="shared" si="145"/>
        <v>2.4483293633950478E-12</v>
      </c>
      <c r="BG146" s="22">
        <f t="shared" si="115"/>
        <v>4.566883036574213E-12</v>
      </c>
      <c r="BH146" s="62">
        <f t="shared" si="116"/>
        <v>293.33333333333786</v>
      </c>
      <c r="BI146" s="62">
        <f ca="1">AVERAGE(OFFSET($BH$3,0,0,'Données projet'!$E$11+1,1))-AVERAGE(OFFSET($H$3,0,0,'Données projet'!$E$11+1,1))</f>
        <v>321.23599968992932</v>
      </c>
      <c r="BJ146" s="62">
        <f t="shared" si="146"/>
        <v>388.05195847800502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0.19493239768090351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3.9409107436259523E-16</v>
      </c>
      <c r="BS146" s="24">
        <f t="shared" si="117"/>
        <v>0.1949323976809039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4.8666666666666663</v>
      </c>
      <c r="N147" s="14">
        <f>IF('Données projet'!$A$36&gt;35,N146+M147-V146,IF(A147&lt;'Données projet'!$A$36,$K$205^A147,IF(A147='Données projet'!$A$36,'Données projet'!$B$36,N146+M147-V146)))</f>
        <v>252.19999999999987</v>
      </c>
      <c r="O147" s="14">
        <f>N147*VLOOKUP('Données projet'!$B$9,Paramètres!$A$1:$I$89,3,0)*VLOOKUP('Données projet'!$B$9,Paramètres!$A$1:$I$89,5,0)</f>
        <v>228.19055999999989</v>
      </c>
      <c r="P147" s="14">
        <f t="shared" si="141"/>
        <v>55.89125863442456</v>
      </c>
      <c r="Q147" s="22">
        <f t="shared" si="108"/>
        <v>494.77583412162261</v>
      </c>
      <c r="R147" s="62">
        <f t="shared" si="109"/>
        <v>788.10916745495592</v>
      </c>
      <c r="S147" s="62">
        <f ca="1">AVERAGE(OFFSET($R$3,0,0,'Données projet'!$E$9+1,1))-AVERAGE(OFFSET($H$3,0,0,'Données projet'!$E$9+1,1))</f>
        <v>329.14247505779747</v>
      </c>
      <c r="T147" s="62">
        <f t="shared" si="142"/>
        <v>199.43308683696642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4.8666666666666663</v>
      </c>
      <c r="AI147" s="14">
        <f>IF('Données projet'!$A$62&gt;35,AI146+AH147-AQ146,IF(A147&lt;'Données projet'!$A$62,$AF$205^A147,IF(A147='Données projet'!$A$62,'Données projet'!$B$62,AI146+AH147-AQ146)))</f>
        <v>252.19999999999987</v>
      </c>
      <c r="AJ147" s="14">
        <f>AI147*VLOOKUP('Données projet'!$B$10,Paramètres!$A$1:$I$89,3,0)*VLOOKUP('Données projet'!$B$10,Paramètres!$A$1:$I$89,5,0)</f>
        <v>255.73079999999987</v>
      </c>
      <c r="AK147" s="14">
        <f t="shared" si="143"/>
        <v>61.811482021795229</v>
      </c>
      <c r="AL147" s="22">
        <f t="shared" si="112"/>
        <v>553.05280785462651</v>
      </c>
      <c r="AM147" s="62">
        <f t="shared" si="113"/>
        <v>846.38614118795977</v>
      </c>
      <c r="AN147" s="62">
        <f ca="1">AVERAGE(OFFSET($AM$3,0,0,'Données projet'!$E$10+1,1))-AVERAGE(OFFSET($H$3,0,0,'Données projet'!$E$10+1,1))</f>
        <v>363.99473967460347</v>
      </c>
      <c r="AO147" s="62">
        <f t="shared" si="144"/>
        <v>218.5520645293999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1.738044375088066E-13</v>
      </c>
      <c r="BF147" s="14">
        <f t="shared" si="145"/>
        <v>2.4483293633950478E-12</v>
      </c>
      <c r="BG147" s="22">
        <f t="shared" si="115"/>
        <v>4.566883036574213E-12</v>
      </c>
      <c r="BH147" s="62">
        <f t="shared" si="116"/>
        <v>293.33333333333786</v>
      </c>
      <c r="BI147" s="62">
        <f ca="1">AVERAGE(OFFSET($BH$3,0,0,'Données projet'!$E$11+1,1))-AVERAGE(OFFSET($H$3,0,0,'Données projet'!$E$11+1,1))</f>
        <v>321.23599968992932</v>
      </c>
      <c r="BJ147" s="62">
        <f t="shared" si="146"/>
        <v>388.05195847800502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0.19110989225940347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2.7866447108688305E-16</v>
      </c>
      <c r="BS147" s="24">
        <f t="shared" si="117"/>
        <v>0.19110989225940375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4.8666666666666663</v>
      </c>
      <c r="N148" s="14">
        <f>IF('Données projet'!$A$36&gt;35,N147+M148-V147,IF(A148&lt;'Données projet'!$A$36,$K$205^A148,IF(A148='Données projet'!$A$36,'Données projet'!$B$36,N147+M148-V147)))</f>
        <v>257.06666666666655</v>
      </c>
      <c r="O148" s="14">
        <f>N148*VLOOKUP('Données projet'!$B$9,Paramètres!$A$1:$I$89,3,0)*VLOOKUP('Données projet'!$B$9,Paramètres!$A$1:$I$89,5,0)</f>
        <v>232.59391999999988</v>
      </c>
      <c r="P148" s="14">
        <f t="shared" si="141"/>
        <v>56.843181078619992</v>
      </c>
      <c r="Q148" s="22">
        <f t="shared" si="108"/>
        <v>504.10295104526296</v>
      </c>
      <c r="R148" s="62">
        <f t="shared" si="109"/>
        <v>797.43628437859627</v>
      </c>
      <c r="S148" s="62">
        <f ca="1">AVERAGE(OFFSET($R$3,0,0,'Données projet'!$E$9+1,1))-AVERAGE(OFFSET($H$3,0,0,'Données projet'!$E$9+1,1))</f>
        <v>329.14247505779747</v>
      </c>
      <c r="T148" s="62">
        <f t="shared" si="142"/>
        <v>199.43308683696642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4.8666666666666663</v>
      </c>
      <c r="AI148" s="14">
        <f>IF('Données projet'!$A$62&gt;35,AI147+AH148-AQ147,IF(A148&lt;'Données projet'!$A$62,$AF$205^A148,IF(A148='Données projet'!$A$62,'Données projet'!$B$62,AI147+AH148-AQ147)))</f>
        <v>257.06666666666655</v>
      </c>
      <c r="AJ148" s="14">
        <f>AI148*VLOOKUP('Données projet'!$B$10,Paramètres!$A$1:$I$89,3,0)*VLOOKUP('Données projet'!$B$10,Paramètres!$A$1:$I$89,5,0)</f>
        <v>260.66559999999993</v>
      </c>
      <c r="AK148" s="14">
        <f t="shared" si="143"/>
        <v>62.864235859929153</v>
      </c>
      <c r="AL148" s="22">
        <f t="shared" si="112"/>
        <v>563.48113078937661</v>
      </c>
      <c r="AM148" s="62">
        <f t="shared" si="113"/>
        <v>856.81446412270998</v>
      </c>
      <c r="AN148" s="62">
        <f ca="1">AVERAGE(OFFSET($AM$3,0,0,'Données projet'!$E$10+1,1))-AVERAGE(OFFSET($H$3,0,0,'Données projet'!$E$10+1,1))</f>
        <v>363.99473967460347</v>
      </c>
      <c r="AO148" s="62">
        <f t="shared" si="144"/>
        <v>218.5520645293999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1.738044375088066E-13</v>
      </c>
      <c r="BF148" s="14">
        <f t="shared" si="145"/>
        <v>2.4483293633950478E-12</v>
      </c>
      <c r="BG148" s="22">
        <f t="shared" si="115"/>
        <v>4.566883036574213E-12</v>
      </c>
      <c r="BH148" s="62">
        <f t="shared" si="116"/>
        <v>293.33333333333786</v>
      </c>
      <c r="BI148" s="62">
        <f ca="1">AVERAGE(OFFSET($BH$3,0,0,'Données projet'!$E$11+1,1))-AVERAGE(OFFSET($H$3,0,0,'Données projet'!$E$11+1,1))</f>
        <v>321.23599968992932</v>
      </c>
      <c r="BJ148" s="62">
        <f t="shared" si="146"/>
        <v>388.05195847800502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0.18736234383772096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1.9704553718129761E-16</v>
      </c>
      <c r="BS148" s="24">
        <f t="shared" si="117"/>
        <v>0.18736234383772116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4.8666666666666663</v>
      </c>
      <c r="N149" s="14">
        <f>IF('Données projet'!$A$36&gt;35,N148+M149-V148,IF(A149&lt;'Données projet'!$A$36,$K$205^A149,IF(A149='Données projet'!$A$36,'Données projet'!$B$36,N148+M149-V148)))</f>
        <v>261.93333333333322</v>
      </c>
      <c r="O149" s="14">
        <f>N149*VLOOKUP('Données projet'!$B$9,Paramètres!$A$1:$I$89,3,0)*VLOOKUP('Données projet'!$B$9,Paramètres!$A$1:$I$89,5,0)</f>
        <v>236.99727999999988</v>
      </c>
      <c r="P149" s="14">
        <f t="shared" si="141"/>
        <v>57.793008014530116</v>
      </c>
      <c r="Q149" s="22">
        <f t="shared" si="108"/>
        <v>513.42641829197305</v>
      </c>
      <c r="R149" s="62">
        <f t="shared" si="109"/>
        <v>806.75975162530631</v>
      </c>
      <c r="S149" s="62">
        <f ca="1">AVERAGE(OFFSET($R$3,0,0,'Données projet'!$E$9+1,1))-AVERAGE(OFFSET($H$3,0,0,'Données projet'!$E$9+1,1))</f>
        <v>329.14247505779747</v>
      </c>
      <c r="T149" s="62">
        <f t="shared" si="142"/>
        <v>199.43308683696642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4.8666666666666663</v>
      </c>
      <c r="AI149" s="14">
        <f>IF('Données projet'!$A$62&gt;35,AI148+AH149-AQ148,IF(A149&lt;'Données projet'!$A$62,$AF$205^A149,IF(A149='Données projet'!$A$62,'Données projet'!$B$62,AI148+AH149-AQ148)))</f>
        <v>261.93333333333322</v>
      </c>
      <c r="AJ149" s="14">
        <f>AI149*VLOOKUP('Données projet'!$B$10,Paramètres!$A$1:$I$89,3,0)*VLOOKUP('Données projet'!$B$10,Paramètres!$A$1:$I$89,5,0)</f>
        <v>265.60039999999992</v>
      </c>
      <c r="AK149" s="14">
        <f t="shared" si="143"/>
        <v>63.914672225244153</v>
      </c>
      <c r="AL149" s="22">
        <f t="shared" si="112"/>
        <v>573.90541745896667</v>
      </c>
      <c r="AM149" s="62">
        <f t="shared" si="113"/>
        <v>867.23875079229992</v>
      </c>
      <c r="AN149" s="62">
        <f ca="1">AVERAGE(OFFSET($AM$3,0,0,'Données projet'!$E$10+1,1))-AVERAGE(OFFSET($H$3,0,0,'Données projet'!$E$10+1,1))</f>
        <v>363.99473967460347</v>
      </c>
      <c r="AO149" s="62">
        <f t="shared" si="144"/>
        <v>218.5520645293999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1.738044375088066E-13</v>
      </c>
      <c r="BF149" s="14">
        <f t="shared" si="145"/>
        <v>2.4483293633950478E-12</v>
      </c>
      <c r="BG149" s="22">
        <f t="shared" si="115"/>
        <v>4.566883036574213E-12</v>
      </c>
      <c r="BH149" s="62">
        <f t="shared" si="116"/>
        <v>293.33333333333786</v>
      </c>
      <c r="BI149" s="62">
        <f ca="1">AVERAGE(OFFSET($BH$3,0,0,'Données projet'!$E$11+1,1))-AVERAGE(OFFSET($H$3,0,0,'Données projet'!$E$11+1,1))</f>
        <v>321.23599968992932</v>
      </c>
      <c r="BJ149" s="62">
        <f t="shared" si="146"/>
        <v>388.05195847800502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0.18368828255480882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1.3933223554344152E-16</v>
      </c>
      <c r="BS149" s="24">
        <f t="shared" si="117"/>
        <v>0.18368828255480896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4.8666666666666663</v>
      </c>
      <c r="N150" s="14">
        <f>IF('Données projet'!$A$36&gt;35,N149+M150-V149,IF(A150&lt;'Données projet'!$A$36,$K$205^A150,IF(A150='Données projet'!$A$36,'Données projet'!$B$36,N149+M150-V149)))</f>
        <v>266.7999999999999</v>
      </c>
      <c r="O150" s="14">
        <f>N150*VLOOKUP('Données projet'!$B$9,Paramètres!$A$1:$I$89,3,0)*VLOOKUP('Données projet'!$B$9,Paramètres!$A$1:$I$89,5,0)</f>
        <v>241.40063999999992</v>
      </c>
      <c r="P150" s="14">
        <f t="shared" si="141"/>
        <v>58.740782866262698</v>
      </c>
      <c r="Q150" s="22">
        <f t="shared" si="108"/>
        <v>522.74631149207403</v>
      </c>
      <c r="R150" s="62">
        <f t="shared" si="109"/>
        <v>816.07964482540729</v>
      </c>
      <c r="S150" s="62">
        <f ca="1">AVERAGE(OFFSET($R$3,0,0,'Données projet'!$E$9+1,1))-AVERAGE(OFFSET($H$3,0,0,'Données projet'!$E$9+1,1))</f>
        <v>329.14247505779747</v>
      </c>
      <c r="T150" s="62">
        <f t="shared" si="142"/>
        <v>199.43308683696642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4.8666666666666663</v>
      </c>
      <c r="AI150" s="14">
        <f>IF('Données projet'!$A$62&gt;35,AI149+AH150-AQ149,IF(A150&lt;'Données projet'!$A$62,$AF$205^A150,IF(A150='Données projet'!$A$62,'Données projet'!$B$62,AI149+AH150-AQ149)))</f>
        <v>266.7999999999999</v>
      </c>
      <c r="AJ150" s="14">
        <f>AI150*VLOOKUP('Données projet'!$B$10,Paramètres!$A$1:$I$89,3,0)*VLOOKUP('Données projet'!$B$10,Paramètres!$A$1:$I$89,5,0)</f>
        <v>270.53519999999992</v>
      </c>
      <c r="AK150" s="14">
        <f t="shared" si="143"/>
        <v>64.962839141501405</v>
      </c>
      <c r="AL150" s="22">
        <f t="shared" si="112"/>
        <v>584.32575150478135</v>
      </c>
      <c r="AM150" s="62">
        <f t="shared" si="113"/>
        <v>877.65908483811472</v>
      </c>
      <c r="AN150" s="62">
        <f ca="1">AVERAGE(OFFSET($AM$3,0,0,'Données projet'!$E$10+1,1))-AVERAGE(OFFSET($H$3,0,0,'Données projet'!$E$10+1,1))</f>
        <v>363.99473967460347</v>
      </c>
      <c r="AO150" s="62">
        <f t="shared" si="144"/>
        <v>218.5520645293999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1.738044375088066E-13</v>
      </c>
      <c r="BF150" s="14">
        <f t="shared" si="145"/>
        <v>2.4483293633950478E-12</v>
      </c>
      <c r="BG150" s="22">
        <f t="shared" si="115"/>
        <v>4.566883036574213E-12</v>
      </c>
      <c r="BH150" s="62">
        <f t="shared" si="116"/>
        <v>293.33333333333786</v>
      </c>
      <c r="BI150" s="62">
        <f ca="1">AVERAGE(OFFSET($BH$3,0,0,'Données projet'!$E$11+1,1))-AVERAGE(OFFSET($H$3,0,0,'Données projet'!$E$11+1,1))</f>
        <v>321.23599968992932</v>
      </c>
      <c r="BJ150" s="62">
        <f t="shared" si="146"/>
        <v>388.05195847800502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0.18008626737269848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9.8522768590648806E-17</v>
      </c>
      <c r="BS150" s="24">
        <f t="shared" si="117"/>
        <v>0.18008626737269859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4.8666666666666663</v>
      </c>
      <c r="N151" s="14">
        <f>IF('Données projet'!$A$36&gt;35,N150+M151-V150,IF(A151&lt;'Données projet'!$A$36,$K$205^A151,IF(A151='Données projet'!$A$36,'Données projet'!$B$36,N150+M151-V150)))</f>
        <v>271.66666666666657</v>
      </c>
      <c r="O151" s="14">
        <f>N151*VLOOKUP('Données projet'!$B$9,Paramètres!$A$1:$I$89,3,0)*VLOOKUP('Données projet'!$B$9,Paramètres!$A$1:$I$89,5,0)</f>
        <v>245.80399999999992</v>
      </c>
      <c r="P151" s="14">
        <f t="shared" si="141"/>
        <v>59.686547383038381</v>
      </c>
      <c r="Q151" s="22">
        <f t="shared" si="108"/>
        <v>532.06270335879162</v>
      </c>
      <c r="R151" s="62">
        <f t="shared" si="109"/>
        <v>825.39603669212488</v>
      </c>
      <c r="S151" s="62">
        <f ca="1">AVERAGE(OFFSET($R$3,0,0,'Données projet'!$E$9+1,1))-AVERAGE(OFFSET($H$3,0,0,'Données projet'!$E$9+1,1))</f>
        <v>329.14247505779747</v>
      </c>
      <c r="T151" s="62">
        <f t="shared" si="142"/>
        <v>199.43308683696642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4.8666666666666663</v>
      </c>
      <c r="AI151" s="14">
        <f>IF('Données projet'!$A$62&gt;35,AI150+AH151-AQ150,IF(A151&lt;'Données projet'!$A$62,$AF$205^A151,IF(A151='Données projet'!$A$62,'Données projet'!$B$62,AI150+AH151-AQ150)))</f>
        <v>271.66666666666657</v>
      </c>
      <c r="AJ151" s="14">
        <f>AI151*VLOOKUP('Données projet'!$B$10,Paramètres!$A$1:$I$89,3,0)*VLOOKUP('Données projet'!$B$10,Paramètres!$A$1:$I$89,5,0)</f>
        <v>275.46999999999991</v>
      </c>
      <c r="AK151" s="14">
        <f t="shared" si="143"/>
        <v>66.008782780164168</v>
      </c>
      <c r="AL151" s="22">
        <f t="shared" si="112"/>
        <v>594.74221334211904</v>
      </c>
      <c r="AM151" s="62">
        <f t="shared" si="113"/>
        <v>888.07554667545242</v>
      </c>
      <c r="AN151" s="62">
        <f ca="1">AVERAGE(OFFSET($AM$3,0,0,'Données projet'!$E$10+1,1))-AVERAGE(OFFSET($H$3,0,0,'Données projet'!$E$10+1,1))</f>
        <v>363.99473967460347</v>
      </c>
      <c r="AO151" s="62">
        <f t="shared" si="144"/>
        <v>218.5520645293999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1.738044375088066E-13</v>
      </c>
      <c r="BF151" s="14">
        <f t="shared" si="145"/>
        <v>2.4483293633950478E-12</v>
      </c>
      <c r="BG151" s="22">
        <f t="shared" si="115"/>
        <v>4.566883036574213E-12</v>
      </c>
      <c r="BH151" s="62">
        <f t="shared" si="116"/>
        <v>293.33333333333786</v>
      </c>
      <c r="BI151" s="62">
        <f ca="1">AVERAGE(OFFSET($BH$3,0,0,'Données projet'!$E$11+1,1))-AVERAGE(OFFSET($H$3,0,0,'Données projet'!$E$11+1,1))</f>
        <v>321.23599968992932</v>
      </c>
      <c r="BJ151" s="62">
        <f t="shared" si="146"/>
        <v>388.05195847800502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0.17655488551129697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6.9666117771720762E-17</v>
      </c>
      <c r="BS151" s="24">
        <f t="shared" si="117"/>
        <v>0.17655488551129705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4.8666666666666663</v>
      </c>
      <c r="N152" s="14">
        <f>IF('Données projet'!$A$36&gt;35,N151+M152-V151,IF(A152&lt;'Données projet'!$A$36,$K$205^A152,IF(A152='Données projet'!$A$36,'Données projet'!$B$36,N151+M152-V151)))</f>
        <v>276.53333333333325</v>
      </c>
      <c r="O152" s="14">
        <f>N152*VLOOKUP('Données projet'!$B$9,Paramètres!$A$1:$I$89,3,0)*VLOOKUP('Données projet'!$B$9,Paramètres!$A$1:$I$89,5,0)</f>
        <v>250.20735999999991</v>
      </c>
      <c r="P152" s="14">
        <f t="shared" si="141"/>
        <v>60.630341732617744</v>
      </c>
      <c r="Q152" s="22">
        <f t="shared" si="108"/>
        <v>541.37566385097568</v>
      </c>
      <c r="R152" s="62">
        <f t="shared" si="109"/>
        <v>834.70899718430906</v>
      </c>
      <c r="S152" s="62">
        <f ca="1">AVERAGE(OFFSET($R$3,0,0,'Données projet'!$E$9+1,1))-AVERAGE(OFFSET($H$3,0,0,'Données projet'!$E$9+1,1))</f>
        <v>329.14247505779747</v>
      </c>
      <c r="T152" s="62">
        <f t="shared" si="142"/>
        <v>199.43308683696642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4.8666666666666663</v>
      </c>
      <c r="AI152" s="14">
        <f>IF('Données projet'!$A$62&gt;35,AI151+AH152-AQ151,IF(A152&lt;'Données projet'!$A$62,$AF$205^A152,IF(A152='Données projet'!$A$62,'Données projet'!$B$62,AI151+AH152-AQ151)))</f>
        <v>276.53333333333325</v>
      </c>
      <c r="AJ152" s="14">
        <f>AI152*VLOOKUP('Données projet'!$B$10,Paramètres!$A$1:$I$89,3,0)*VLOOKUP('Données projet'!$B$10,Paramètres!$A$1:$I$89,5,0)</f>
        <v>280.40479999999991</v>
      </c>
      <c r="AK152" s="14">
        <f t="shared" si="143"/>
        <v>67.052547563721262</v>
      </c>
      <c r="AL152" s="22">
        <f t="shared" si="112"/>
        <v>605.15488034014766</v>
      </c>
      <c r="AM152" s="62">
        <f t="shared" si="113"/>
        <v>898.48821367348091</v>
      </c>
      <c r="AN152" s="62">
        <f ca="1">AVERAGE(OFFSET($AM$3,0,0,'Données projet'!$E$10+1,1))-AVERAGE(OFFSET($H$3,0,0,'Données projet'!$E$10+1,1))</f>
        <v>363.99473967460347</v>
      </c>
      <c r="AO152" s="62">
        <f t="shared" si="144"/>
        <v>218.5520645293999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1.738044375088066E-13</v>
      </c>
      <c r="BF152" s="14">
        <f t="shared" si="145"/>
        <v>2.4483293633950478E-12</v>
      </c>
      <c r="BG152" s="22">
        <f t="shared" si="115"/>
        <v>4.566883036574213E-12</v>
      </c>
      <c r="BH152" s="62">
        <f t="shared" si="116"/>
        <v>293.33333333333786</v>
      </c>
      <c r="BI152" s="62">
        <f ca="1">AVERAGE(OFFSET($BH$3,0,0,'Données projet'!$E$11+1,1))-AVERAGE(OFFSET($H$3,0,0,'Données projet'!$E$11+1,1))</f>
        <v>321.23599968992932</v>
      </c>
      <c r="BJ152" s="62">
        <f t="shared" si="146"/>
        <v>388.05195847800502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0.17309275189426732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4.9261384295324403E-17</v>
      </c>
      <c r="BS152" s="24">
        <f t="shared" si="117"/>
        <v>0.17309275189426737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4.8666666666666663</v>
      </c>
      <c r="N153" s="14">
        <f>IF('Données projet'!$A$36&gt;35,N152+M153-V152,IF(A153&lt;'Données projet'!$A$36,$K$205^A153,IF(A153='Données projet'!$A$36,'Données projet'!$B$36,N152+M153-V152)))</f>
        <v>281.39999999999992</v>
      </c>
      <c r="O153" s="14">
        <f>N153*VLOOKUP('Données projet'!$B$9,Paramètres!$A$1:$I$89,3,0)*VLOOKUP('Données projet'!$B$9,Paramètres!$A$1:$I$89,5,0)</f>
        <v>254.6107199999999</v>
      </c>
      <c r="P153" s="14">
        <f t="shared" si="141"/>
        <v>61.572204587965679</v>
      </c>
      <c r="Q153" s="22">
        <f t="shared" si="108"/>
        <v>550.68526032404009</v>
      </c>
      <c r="R153" s="62">
        <f t="shared" si="109"/>
        <v>844.01859365737346</v>
      </c>
      <c r="S153" s="62">
        <f ca="1">AVERAGE(OFFSET($R$3,0,0,'Données projet'!$E$9+1,1))-AVERAGE(OFFSET($H$3,0,0,'Données projet'!$E$9+1,1))</f>
        <v>329.14247505779747</v>
      </c>
      <c r="T153" s="62">
        <f t="shared" si="142"/>
        <v>199.43308683696642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4.8666666666666663</v>
      </c>
      <c r="AI153" s="14">
        <f>IF('Données projet'!$A$62&gt;35,AI152+AH153-AQ152,IF(A153&lt;'Données projet'!$A$62,$AF$205^A153,IF(A153='Données projet'!$A$62,'Données projet'!$B$62,AI152+AH153-AQ152)))</f>
        <v>281.39999999999992</v>
      </c>
      <c r="AJ153" s="14">
        <f>AI153*VLOOKUP('Données projet'!$B$10,Paramètres!$A$1:$I$89,3,0)*VLOOKUP('Données projet'!$B$10,Paramètres!$A$1:$I$89,5,0)</f>
        <v>285.33959999999996</v>
      </c>
      <c r="AK153" s="14">
        <f t="shared" si="143"/>
        <v>68.094176261531288</v>
      </c>
      <c r="AL153" s="22">
        <f t="shared" si="112"/>
        <v>615.56382698883351</v>
      </c>
      <c r="AM153" s="62">
        <f t="shared" si="113"/>
        <v>908.89716032216688</v>
      </c>
      <c r="AN153" s="62">
        <f ca="1">AVERAGE(OFFSET($AM$3,0,0,'Données projet'!$E$10+1,1))-AVERAGE(OFFSET($H$3,0,0,'Données projet'!$E$10+1,1))</f>
        <v>363.99473967460347</v>
      </c>
      <c r="AO153" s="62">
        <f t="shared" si="144"/>
        <v>218.5520645293999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1.738044375088066E-13</v>
      </c>
      <c r="BF153" s="14">
        <f t="shared" si="145"/>
        <v>2.4483293633950478E-12</v>
      </c>
      <c r="BG153" s="22">
        <f t="shared" si="115"/>
        <v>4.566883036574213E-12</v>
      </c>
      <c r="BH153" s="62">
        <f t="shared" si="116"/>
        <v>293.33333333333786</v>
      </c>
      <c r="BI153" s="62">
        <f ca="1">AVERAGE(OFFSET($BH$3,0,0,'Données projet'!$E$11+1,1))-AVERAGE(OFFSET($H$3,0,0,'Données projet'!$E$11+1,1))</f>
        <v>321.23599968992932</v>
      </c>
      <c r="BJ153" s="62">
        <f t="shared" si="146"/>
        <v>388.05195847800502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0.16969850860577462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3.4833058885860381E-17</v>
      </c>
      <c r="BS153" s="24">
        <f t="shared" si="117"/>
        <v>0.16969850860577465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4.8666666666666663</v>
      </c>
      <c r="N154" s="14">
        <f>IF('Données projet'!$A$36&gt;35,N153+M154-V153,IF(A154&lt;'Données projet'!$A$36,$K$205^A154,IF(A154='Données projet'!$A$36,'Données projet'!$B$36,N153+M154-V153)))</f>
        <v>286.26666666666659</v>
      </c>
      <c r="O154" s="14">
        <f>N154*VLOOKUP('Données projet'!$B$9,Paramètres!$A$1:$I$89,3,0)*VLOOKUP('Données projet'!$B$9,Paramètres!$A$1:$I$89,5,0)</f>
        <v>259.01407999999992</v>
      </c>
      <c r="P154" s="14">
        <f t="shared" si="141"/>
        <v>62.512173207750834</v>
      </c>
      <c r="Q154" s="22">
        <f t="shared" ref="Q154:Q203" si="162">(O154+P154)*0.475*44/12</f>
        <v>559.99155767016589</v>
      </c>
      <c r="R154" s="62">
        <f t="shared" si="109"/>
        <v>853.32489100349926</v>
      </c>
      <c r="S154" s="62">
        <f ca="1">AVERAGE(OFFSET($R$3,0,0,'Données projet'!$E$9+1,1))-AVERAGE(OFFSET($H$3,0,0,'Données projet'!$E$9+1,1))</f>
        <v>329.14247505779747</v>
      </c>
      <c r="T154" s="62">
        <f t="shared" si="142"/>
        <v>199.43308683696642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4.8666666666666663</v>
      </c>
      <c r="AI154" s="14">
        <f>IF('Données projet'!$A$62&gt;35,AI153+AH154-AQ153,IF(A154&lt;'Données projet'!$A$62,$AF$205^A154,IF(A154='Données projet'!$A$62,'Données projet'!$B$62,AI153+AH154-AQ153)))</f>
        <v>286.26666666666659</v>
      </c>
      <c r="AJ154" s="14">
        <f>AI154*VLOOKUP('Données projet'!$B$10,Paramètres!$A$1:$I$89,3,0)*VLOOKUP('Données projet'!$B$10,Paramètres!$A$1:$I$89,5,0)</f>
        <v>290.27439999999996</v>
      </c>
      <c r="AK154" s="14">
        <f t="shared" ref="AK154:AK203" si="164">EXP(-1.0587+0.8836*LN(AJ154)+0.284)</f>
        <v>69.133710078848338</v>
      </c>
      <c r="AL154" s="22">
        <f t="shared" ref="AL154:AL203" si="165">(AJ154+AK154)*0.475*44/12</f>
        <v>625.96912505399405</v>
      </c>
      <c r="AM154" s="62">
        <f t="shared" si="113"/>
        <v>919.30245838732731</v>
      </c>
      <c r="AN154" s="62">
        <f ca="1">AVERAGE(OFFSET($AM$3,0,0,'Données projet'!$E$10+1,1))-AVERAGE(OFFSET($H$3,0,0,'Données projet'!$E$10+1,1))</f>
        <v>363.99473967460347</v>
      </c>
      <c r="AO154" s="62">
        <f t="shared" si="144"/>
        <v>218.5520645293999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1.738044375088066E-13</v>
      </c>
      <c r="BF154" s="14">
        <f t="shared" ref="BF154:BF203" si="167">EXP(-1.0587+0.8836*LN(BE154)+0.284)</f>
        <v>2.4483293633950478E-12</v>
      </c>
      <c r="BG154" s="22">
        <f t="shared" ref="BG154:BG203" si="168">(BE154+BF154)*0.475*44/12</f>
        <v>4.566883036574213E-12</v>
      </c>
      <c r="BH154" s="62">
        <f t="shared" si="116"/>
        <v>293.33333333333786</v>
      </c>
      <c r="BI154" s="62">
        <f ca="1">AVERAGE(OFFSET($BH$3,0,0,'Données projet'!$E$11+1,1))-AVERAGE(OFFSET($H$3,0,0,'Données projet'!$E$11+1,1))</f>
        <v>321.23599968992932</v>
      </c>
      <c r="BJ154" s="62">
        <f t="shared" si="146"/>
        <v>388.05195847800502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0.16637082435788528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2.4630692147662202E-17</v>
      </c>
      <c r="BS154" s="24">
        <f t="shared" ref="BS154:BS203" si="169">SUM(BP154:BR154)</f>
        <v>0.16637082435788531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4.8666666666666663</v>
      </c>
      <c r="N155" s="14">
        <f>IF('Données projet'!$A$36&gt;35,N154+M155-V154,IF(A155&lt;'Données projet'!$A$36,$K$205^A155,IF(A155='Données projet'!$A$36,'Données projet'!$B$36,N154+M155-V154)))</f>
        <v>291.13333333333327</v>
      </c>
      <c r="O155" s="14">
        <f>N155*VLOOKUP('Données projet'!$B$9,Paramètres!$A$1:$I$89,3,0)*VLOOKUP('Données projet'!$B$9,Paramètres!$A$1:$I$89,5,0)</f>
        <v>263.41743999999994</v>
      </c>
      <c r="P155" s="14">
        <f t="shared" si="141"/>
        <v>63.450283511215474</v>
      </c>
      <c r="Q155" s="22">
        <f t="shared" si="162"/>
        <v>569.29461844870013</v>
      </c>
      <c r="R155" s="62">
        <f t="shared" si="109"/>
        <v>862.62795178203351</v>
      </c>
      <c r="S155" s="62">
        <f ca="1">AVERAGE(OFFSET($R$3,0,0,'Données projet'!$E$9+1,1))-AVERAGE(OFFSET($H$3,0,0,'Données projet'!$E$9+1,1))</f>
        <v>329.14247505779747</v>
      </c>
      <c r="T155" s="62">
        <f t="shared" si="142"/>
        <v>199.43308683696642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4.8666666666666663</v>
      </c>
      <c r="AI155" s="14">
        <f>IF('Données projet'!$A$62&gt;35,AI154+AH155-AQ154,IF(A155&lt;'Données projet'!$A$62,$AF$205^A155,IF(A155='Données projet'!$A$62,'Données projet'!$B$62,AI154+AH155-AQ154)))</f>
        <v>291.13333333333327</v>
      </c>
      <c r="AJ155" s="14">
        <f>AI155*VLOOKUP('Données projet'!$B$10,Paramètres!$A$1:$I$89,3,0)*VLOOKUP('Données projet'!$B$10,Paramètres!$A$1:$I$89,5,0)</f>
        <v>295.20919999999995</v>
      </c>
      <c r="AK155" s="14">
        <f t="shared" si="164"/>
        <v>70.171188739623233</v>
      </c>
      <c r="AL155" s="22">
        <f t="shared" si="165"/>
        <v>636.37084372151037</v>
      </c>
      <c r="AM155" s="62">
        <f t="shared" si="113"/>
        <v>929.70417705484374</v>
      </c>
      <c r="AN155" s="62">
        <f ca="1">AVERAGE(OFFSET($AM$3,0,0,'Données projet'!$E$10+1,1))-AVERAGE(OFFSET($H$3,0,0,'Données projet'!$E$10+1,1))</f>
        <v>363.99473967460347</v>
      </c>
      <c r="AO155" s="62">
        <f t="shared" si="144"/>
        <v>218.5520645293999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1.738044375088066E-13</v>
      </c>
      <c r="BF155" s="14">
        <f t="shared" si="167"/>
        <v>2.4483293633950478E-12</v>
      </c>
      <c r="BG155" s="22">
        <f t="shared" si="168"/>
        <v>4.566883036574213E-12</v>
      </c>
      <c r="BH155" s="62">
        <f t="shared" si="116"/>
        <v>293.33333333333786</v>
      </c>
      <c r="BI155" s="62">
        <f ca="1">AVERAGE(OFFSET($BH$3,0,0,'Données projet'!$E$11+1,1))-AVERAGE(OFFSET($H$3,0,0,'Données projet'!$E$11+1,1))</f>
        <v>321.23599968992932</v>
      </c>
      <c r="BJ155" s="62">
        <f t="shared" si="146"/>
        <v>388.05195847800502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0.16310839396841006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1.7416529442930191E-17</v>
      </c>
      <c r="BS155" s="24">
        <f t="shared" si="169"/>
        <v>0.16310839396841009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>
        <f>VLOOKUP(A156,'Données projet'!$A$35:$I$55,2,0)</f>
        <v>296</v>
      </c>
      <c r="L156" s="13">
        <f>VLOOKUP(A156,'Données projet'!$A$35:$I$55,9,0)</f>
        <v>4.8666666666666663</v>
      </c>
      <c r="M156" s="13">
        <f t="array" ref="M156">INDEX(L:L,MIN(IF(ISNUMBER(L156:L352),ROW(L156:L352),"")))</f>
        <v>4.8666666666666663</v>
      </c>
      <c r="N156" s="14">
        <f>IF('Données projet'!$A$36&gt;35,N155+M156-V155,IF(A156&lt;'Données projet'!$A$36,$K$205^A156,IF(A156='Données projet'!$A$36,'Données projet'!$B$36,N155+M156-V155)))</f>
        <v>295.99999999999994</v>
      </c>
      <c r="O156" s="14">
        <f>N156*VLOOKUP('Données projet'!$B$9,Paramètres!$A$1:$I$89,3,0)*VLOOKUP('Données projet'!$B$9,Paramètres!$A$1:$I$89,5,0)</f>
        <v>267.82079999999991</v>
      </c>
      <c r="P156" s="14">
        <f t="shared" si="141"/>
        <v>64.386570147897302</v>
      </c>
      <c r="Q156" s="22">
        <f t="shared" si="162"/>
        <v>578.5945030075876</v>
      </c>
      <c r="R156" s="62">
        <f t="shared" si="109"/>
        <v>871.92783634092098</v>
      </c>
      <c r="S156" s="62">
        <f ca="1">AVERAGE(OFFSET($R$3,0,0,'Données projet'!$E$9+1,1))-AVERAGE(OFFSET($H$3,0,0,'Données projet'!$E$9+1,1))</f>
        <v>329.14247505779747</v>
      </c>
      <c r="T156" s="62">
        <f t="shared" si="142"/>
        <v>199.43308683696642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296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>
        <f>VLOOKUP(A156,'Données projet'!$A$61:$I$81,2,0)</f>
        <v>296</v>
      </c>
      <c r="AG156" s="13">
        <f>VLOOKUP(A156,'Données projet'!$A$61:$I$81,9,0)</f>
        <v>4.8666666666666663</v>
      </c>
      <c r="AH156" s="13">
        <f t="array" ref="AH156">INDEX(AG:AG,MIN(IF(ISNUMBER(AG156:AG352),ROW(AG156:AG352),"")))</f>
        <v>4.8666666666666663</v>
      </c>
      <c r="AI156" s="14">
        <f>IF('Données projet'!$A$62&gt;35,AI155+AH156-AQ155,IF(A156&lt;'Données projet'!$A$62,$AF$205^A156,IF(A156='Données projet'!$A$62,'Données projet'!$B$62,AI155+AH156-AQ155)))</f>
        <v>295.99999999999994</v>
      </c>
      <c r="AJ156" s="14">
        <f>AI156*VLOOKUP('Données projet'!$B$10,Paramètres!$A$1:$I$89,3,0)*VLOOKUP('Données projet'!$B$10,Paramètres!$A$1:$I$89,5,0)</f>
        <v>300.14399999999995</v>
      </c>
      <c r="AK156" s="14">
        <f t="shared" si="164"/>
        <v>71.206650563609855</v>
      </c>
      <c r="AL156" s="22">
        <f t="shared" si="165"/>
        <v>646.76904973162038</v>
      </c>
      <c r="AM156" s="62">
        <f t="shared" si="113"/>
        <v>940.10238306495376</v>
      </c>
      <c r="AN156" s="62">
        <f ca="1">AVERAGE(OFFSET($AM$3,0,0,'Données projet'!$E$10+1,1))-AVERAGE(OFFSET($H$3,0,0,'Données projet'!$E$10+1,1))</f>
        <v>363.99473967460347</v>
      </c>
      <c r="AO156" s="62">
        <f t="shared" si="144"/>
        <v>218.5520645293999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296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1.738044375088066E-13</v>
      </c>
      <c r="BF156" s="14">
        <f t="shared" si="167"/>
        <v>2.4483293633950478E-12</v>
      </c>
      <c r="BG156" s="22">
        <f t="shared" si="168"/>
        <v>4.566883036574213E-12</v>
      </c>
      <c r="BH156" s="62">
        <f t="shared" si="116"/>
        <v>293.33333333333786</v>
      </c>
      <c r="BI156" s="62">
        <f ca="1">AVERAGE(OFFSET($BH$3,0,0,'Données projet'!$E$11+1,1))-AVERAGE(OFFSET($H$3,0,0,'Données projet'!$E$11+1,1))</f>
        <v>321.23599968992932</v>
      </c>
      <c r="BJ156" s="62">
        <f t="shared" si="146"/>
        <v>388.05195847800502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0.15990993784898641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1.2315346073831101E-17</v>
      </c>
      <c r="BS156" s="24">
        <f t="shared" si="169"/>
        <v>0.15990993784898641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329.14247505779747</v>
      </c>
      <c r="T157" s="62">
        <f t="shared" si="142"/>
        <v>199.43308683696642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363.99473967460347</v>
      </c>
      <c r="AO157" s="62">
        <f t="shared" si="144"/>
        <v>218.5520645293999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1.738044375088066E-13</v>
      </c>
      <c r="BF157" s="14">
        <f t="shared" si="167"/>
        <v>2.4483293633950478E-12</v>
      </c>
      <c r="BG157" s="22">
        <f t="shared" si="168"/>
        <v>4.566883036574213E-12</v>
      </c>
      <c r="BH157" s="62">
        <f t="shared" si="116"/>
        <v>293.33333333333786</v>
      </c>
      <c r="BI157" s="62">
        <f ca="1">AVERAGE(OFFSET($BH$3,0,0,'Données projet'!$E$11+1,1))-AVERAGE(OFFSET($H$3,0,0,'Données projet'!$E$11+1,1))</f>
        <v>321.23599968992932</v>
      </c>
      <c r="BJ157" s="62">
        <f t="shared" si="146"/>
        <v>388.05195847800502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0.15677420150319904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8.7082647214650953E-18</v>
      </c>
      <c r="BS157" s="24">
        <f t="shared" si="169"/>
        <v>0.15677420150319904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329.14247505779747</v>
      </c>
      <c r="T158" s="62">
        <f t="shared" si="142"/>
        <v>199.43308683696642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363.99473967460347</v>
      </c>
      <c r="AO158" s="62">
        <f t="shared" si="144"/>
        <v>218.5520645293999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1.738044375088066E-13</v>
      </c>
      <c r="BF158" s="14">
        <f t="shared" si="167"/>
        <v>2.4483293633950478E-12</v>
      </c>
      <c r="BG158" s="22">
        <f t="shared" si="168"/>
        <v>4.566883036574213E-12</v>
      </c>
      <c r="BH158" s="62">
        <f t="shared" si="116"/>
        <v>293.33333333333786</v>
      </c>
      <c r="BI158" s="62">
        <f ca="1">AVERAGE(OFFSET($BH$3,0,0,'Données projet'!$E$11+1,1))-AVERAGE(OFFSET($H$3,0,0,'Données projet'!$E$11+1,1))</f>
        <v>321.23599968992932</v>
      </c>
      <c r="BJ158" s="62">
        <f t="shared" si="146"/>
        <v>388.05195847800502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0.15369995503454226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6.1576730369155504E-18</v>
      </c>
      <c r="BS158" s="24">
        <f t="shared" si="169"/>
        <v>0.15369995503454226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329.14247505779747</v>
      </c>
      <c r="T159" s="62">
        <f t="shared" si="142"/>
        <v>199.43308683696642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363.99473967460347</v>
      </c>
      <c r="AO159" s="62">
        <f t="shared" si="144"/>
        <v>218.5520645293999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1.738044375088066E-13</v>
      </c>
      <c r="BF159" s="14">
        <f t="shared" si="167"/>
        <v>2.4483293633950478E-12</v>
      </c>
      <c r="BG159" s="22">
        <f t="shared" si="168"/>
        <v>4.566883036574213E-12</v>
      </c>
      <c r="BH159" s="62">
        <f t="shared" si="116"/>
        <v>293.33333333333786</v>
      </c>
      <c r="BI159" s="62">
        <f ca="1">AVERAGE(OFFSET($BH$3,0,0,'Données projet'!$E$11+1,1))-AVERAGE(OFFSET($H$3,0,0,'Données projet'!$E$11+1,1))</f>
        <v>321.23599968992932</v>
      </c>
      <c r="BJ159" s="62">
        <f t="shared" si="146"/>
        <v>388.05195847800502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0.15068599266403063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4.3541323607325476E-18</v>
      </c>
      <c r="BS159" s="24">
        <f t="shared" si="169"/>
        <v>0.15068599266403063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329.14247505779747</v>
      </c>
      <c r="T160" s="62">
        <f t="shared" si="142"/>
        <v>199.43308683696642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363.99473967460347</v>
      </c>
      <c r="AO160" s="62">
        <f t="shared" si="144"/>
        <v>218.5520645293999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1.738044375088066E-13</v>
      </c>
      <c r="BF160" s="14">
        <f t="shared" si="167"/>
        <v>2.4483293633950478E-12</v>
      </c>
      <c r="BG160" s="22">
        <f t="shared" si="168"/>
        <v>4.566883036574213E-12</v>
      </c>
      <c r="BH160" s="62">
        <f t="shared" si="116"/>
        <v>293.33333333333786</v>
      </c>
      <c r="BI160" s="62">
        <f ca="1">AVERAGE(OFFSET($BH$3,0,0,'Données projet'!$E$11+1,1))-AVERAGE(OFFSET($H$3,0,0,'Données projet'!$E$11+1,1))</f>
        <v>321.23599968992932</v>
      </c>
      <c r="BJ160" s="62">
        <f t="shared" si="146"/>
        <v>388.05195847800502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0.14773113225726922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3.0788365184577752E-18</v>
      </c>
      <c r="BS160" s="24">
        <f t="shared" si="169"/>
        <v>0.14773113225726922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329.14247505779747</v>
      </c>
      <c r="T161" s="62">
        <f t="shared" si="142"/>
        <v>199.43308683696642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363.99473967460347</v>
      </c>
      <c r="AO161" s="62">
        <f t="shared" si="144"/>
        <v>218.5520645293999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1.738044375088066E-13</v>
      </c>
      <c r="BF161" s="14">
        <f t="shared" si="167"/>
        <v>2.4483293633950478E-12</v>
      </c>
      <c r="BG161" s="22">
        <f t="shared" si="168"/>
        <v>4.566883036574213E-12</v>
      </c>
      <c r="BH161" s="62">
        <f t="shared" si="116"/>
        <v>293.33333333333786</v>
      </c>
      <c r="BI161" s="62">
        <f ca="1">AVERAGE(OFFSET($BH$3,0,0,'Données projet'!$E$11+1,1))-AVERAGE(OFFSET($H$3,0,0,'Données projet'!$E$11+1,1))</f>
        <v>321.23599968992932</v>
      </c>
      <c r="BJ161" s="62">
        <f t="shared" si="146"/>
        <v>388.05195847800502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0.14483421486079751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2.1770661803662738E-18</v>
      </c>
      <c r="BS161" s="24">
        <f t="shared" si="169"/>
        <v>0.14483421486079751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329.14247505779747</v>
      </c>
      <c r="T162" s="62">
        <f t="shared" si="142"/>
        <v>199.43308683696642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363.99473967460347</v>
      </c>
      <c r="AO162" s="62">
        <f t="shared" si="144"/>
        <v>218.5520645293999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1.738044375088066E-13</v>
      </c>
      <c r="BF162" s="14">
        <f t="shared" si="167"/>
        <v>2.4483293633950478E-12</v>
      </c>
      <c r="BG162" s="22">
        <f t="shared" si="168"/>
        <v>4.566883036574213E-12</v>
      </c>
      <c r="BH162" s="62">
        <f t="shared" si="116"/>
        <v>293.33333333333786</v>
      </c>
      <c r="BI162" s="62">
        <f ca="1">AVERAGE(OFFSET($BH$3,0,0,'Données projet'!$E$11+1,1))-AVERAGE(OFFSET($H$3,0,0,'Données projet'!$E$11+1,1))</f>
        <v>321.23599968992932</v>
      </c>
      <c r="BJ162" s="62">
        <f t="shared" si="146"/>
        <v>388.05195847800502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0.14199410424752545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1.5394182592288876E-18</v>
      </c>
      <c r="BS162" s="24">
        <f t="shared" si="169"/>
        <v>0.14199410424752545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329.14247505779747</v>
      </c>
      <c r="T163" s="62">
        <f t="shared" si="142"/>
        <v>199.43308683696642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363.99473967460347</v>
      </c>
      <c r="AO163" s="62">
        <f t="shared" si="144"/>
        <v>218.5520645293999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1.738044375088066E-13</v>
      </c>
      <c r="BF163" s="14">
        <f t="shared" si="167"/>
        <v>2.4483293633950478E-12</v>
      </c>
      <c r="BG163" s="22">
        <f t="shared" si="168"/>
        <v>4.566883036574213E-12</v>
      </c>
      <c r="BH163" s="62">
        <f t="shared" si="116"/>
        <v>293.33333333333786</v>
      </c>
      <c r="BI163" s="62">
        <f ca="1">AVERAGE(OFFSET($BH$3,0,0,'Données projet'!$E$11+1,1))-AVERAGE(OFFSET($H$3,0,0,'Données projet'!$E$11+1,1))</f>
        <v>321.23599968992932</v>
      </c>
      <c r="BJ163" s="62">
        <f t="shared" si="146"/>
        <v>388.05195847800502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0.13920968647108325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1.0885330901831369E-18</v>
      </c>
      <c r="BS163" s="24">
        <f t="shared" si="169"/>
        <v>0.13920968647108325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329.14247505779747</v>
      </c>
      <c r="T164" s="62">
        <f t="shared" si="142"/>
        <v>199.43308683696642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363.99473967460347</v>
      </c>
      <c r="AO164" s="62">
        <f t="shared" si="144"/>
        <v>218.5520645293999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1.738044375088066E-13</v>
      </c>
      <c r="BF164" s="14">
        <f t="shared" si="167"/>
        <v>2.4483293633950478E-12</v>
      </c>
      <c r="BG164" s="22">
        <f t="shared" si="168"/>
        <v>4.566883036574213E-12</v>
      </c>
      <c r="BH164" s="62">
        <f t="shared" si="116"/>
        <v>293.33333333333786</v>
      </c>
      <c r="BI164" s="62">
        <f ca="1">AVERAGE(OFFSET($BH$3,0,0,'Données projet'!$E$11+1,1))-AVERAGE(OFFSET($H$3,0,0,'Données projet'!$E$11+1,1))</f>
        <v>321.23599968992932</v>
      </c>
      <c r="BJ164" s="62">
        <f t="shared" si="146"/>
        <v>388.05195847800502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0.13647986942890994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7.697091296144438E-19</v>
      </c>
      <c r="BS164" s="24">
        <f t="shared" si="169"/>
        <v>0.13647986942890994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329.14247505779747</v>
      </c>
      <c r="T165" s="62">
        <f t="shared" si="142"/>
        <v>199.43308683696642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363.99473967460347</v>
      </c>
      <c r="AO165" s="62">
        <f t="shared" si="144"/>
        <v>218.5520645293999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1.738044375088066E-13</v>
      </c>
      <c r="BF165" s="14">
        <f t="shared" si="167"/>
        <v>2.4483293633950478E-12</v>
      </c>
      <c r="BG165" s="22">
        <f t="shared" si="168"/>
        <v>4.566883036574213E-12</v>
      </c>
      <c r="BH165" s="62">
        <f t="shared" si="116"/>
        <v>293.33333333333786</v>
      </c>
      <c r="BI165" s="62">
        <f ca="1">AVERAGE(OFFSET($BH$3,0,0,'Données projet'!$E$11+1,1))-AVERAGE(OFFSET($H$3,0,0,'Données projet'!$E$11+1,1))</f>
        <v>321.23599968992932</v>
      </c>
      <c r="BJ165" s="62">
        <f t="shared" si="146"/>
        <v>388.05195847800502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0.13380358243390966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5.4426654509156846E-19</v>
      </c>
      <c r="BS165" s="24">
        <f t="shared" si="169"/>
        <v>0.13380358243390966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329.14247505779747</v>
      </c>
      <c r="T166" s="62">
        <f t="shared" si="142"/>
        <v>199.43308683696642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363.99473967460347</v>
      </c>
      <c r="AO166" s="62">
        <f t="shared" si="144"/>
        <v>218.5520645293999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1.738044375088066E-13</v>
      </c>
      <c r="BF166" s="14">
        <f t="shared" si="167"/>
        <v>2.4483293633950478E-12</v>
      </c>
      <c r="BG166" s="22">
        <f t="shared" si="168"/>
        <v>4.566883036574213E-12</v>
      </c>
      <c r="BH166" s="62">
        <f t="shared" si="116"/>
        <v>293.33333333333786</v>
      </c>
      <c r="BI166" s="62">
        <f ca="1">AVERAGE(OFFSET($BH$3,0,0,'Données projet'!$E$11+1,1))-AVERAGE(OFFSET($H$3,0,0,'Données projet'!$E$11+1,1))</f>
        <v>321.23599968992932</v>
      </c>
      <c r="BJ166" s="62">
        <f t="shared" si="146"/>
        <v>388.05195847800502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0.13117977579450746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3.848545648072219E-19</v>
      </c>
      <c r="BS166" s="24">
        <f t="shared" si="169"/>
        <v>0.13117977579450746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329.14247505779747</v>
      </c>
      <c r="T167" s="62">
        <f t="shared" si="142"/>
        <v>199.43308683696642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363.99473967460347</v>
      </c>
      <c r="AO167" s="62">
        <f t="shared" si="144"/>
        <v>218.5520645293999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1.738044375088066E-13</v>
      </c>
      <c r="BF167" s="14">
        <f t="shared" si="167"/>
        <v>2.4483293633950478E-12</v>
      </c>
      <c r="BG167" s="22">
        <f t="shared" si="168"/>
        <v>4.566883036574213E-12</v>
      </c>
      <c r="BH167" s="62">
        <f t="shared" si="116"/>
        <v>293.33333333333786</v>
      </c>
      <c r="BI167" s="62">
        <f ca="1">AVERAGE(OFFSET($BH$3,0,0,'Données projet'!$E$11+1,1))-AVERAGE(OFFSET($H$3,0,0,'Données projet'!$E$11+1,1))</f>
        <v>321.23599968992932</v>
      </c>
      <c r="BJ167" s="62">
        <f t="shared" si="146"/>
        <v>388.05195847800502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0.1286074204029399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2.7213327254578423E-19</v>
      </c>
      <c r="BS167" s="24">
        <f t="shared" si="169"/>
        <v>0.1286074204029399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329.14247505779747</v>
      </c>
      <c r="T168" s="62">
        <f t="shared" si="142"/>
        <v>199.43308683696642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363.99473967460347</v>
      </c>
      <c r="AO168" s="62">
        <f t="shared" si="144"/>
        <v>218.5520645293999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1.738044375088066E-13</v>
      </c>
      <c r="BF168" s="14">
        <f t="shared" si="167"/>
        <v>2.4483293633950478E-12</v>
      </c>
      <c r="BG168" s="22">
        <f t="shared" si="168"/>
        <v>4.566883036574213E-12</v>
      </c>
      <c r="BH168" s="62">
        <f t="shared" si="116"/>
        <v>293.33333333333786</v>
      </c>
      <c r="BI168" s="62">
        <f ca="1">AVERAGE(OFFSET($BH$3,0,0,'Données projet'!$E$11+1,1))-AVERAGE(OFFSET($H$3,0,0,'Données projet'!$E$11+1,1))</f>
        <v>321.23599968992932</v>
      </c>
      <c r="BJ168" s="62">
        <f t="shared" si="146"/>
        <v>388.05195847800502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0.12608550733161911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1.9242728240361095E-19</v>
      </c>
      <c r="BS168" s="24">
        <f t="shared" si="169"/>
        <v>0.12608550733161911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329.14247505779747</v>
      </c>
      <c r="T169" s="62">
        <f t="shared" si="142"/>
        <v>199.43308683696642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363.99473967460347</v>
      </c>
      <c r="AO169" s="62">
        <f t="shared" si="144"/>
        <v>218.5520645293999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1.738044375088066E-13</v>
      </c>
      <c r="BF169" s="14">
        <f t="shared" si="167"/>
        <v>2.4483293633950478E-12</v>
      </c>
      <c r="BG169" s="22">
        <f t="shared" si="168"/>
        <v>4.566883036574213E-12</v>
      </c>
      <c r="BH169" s="62">
        <f t="shared" si="116"/>
        <v>293.33333333333786</v>
      </c>
      <c r="BI169" s="62">
        <f ca="1">AVERAGE(OFFSET($BH$3,0,0,'Données projet'!$E$11+1,1))-AVERAGE(OFFSET($H$3,0,0,'Données projet'!$E$11+1,1))</f>
        <v>321.23599968992932</v>
      </c>
      <c r="BJ169" s="62">
        <f t="shared" si="146"/>
        <v>388.05195847800502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0.12361304743741183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1.3606663627289211E-19</v>
      </c>
      <c r="BS169" s="24">
        <f t="shared" si="169"/>
        <v>0.12361304743741183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329.14247505779747</v>
      </c>
      <c r="T170" s="62">
        <f t="shared" si="142"/>
        <v>199.43308683696642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363.99473967460347</v>
      </c>
      <c r="AO170" s="62">
        <f t="shared" si="144"/>
        <v>218.5520645293999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1.738044375088066E-13</v>
      </c>
      <c r="BF170" s="14">
        <f t="shared" si="167"/>
        <v>2.4483293633950478E-12</v>
      </c>
      <c r="BG170" s="22">
        <f t="shared" si="168"/>
        <v>4.566883036574213E-12</v>
      </c>
      <c r="BH170" s="62">
        <f t="shared" si="116"/>
        <v>293.33333333333786</v>
      </c>
      <c r="BI170" s="62">
        <f ca="1">AVERAGE(OFFSET($BH$3,0,0,'Données projet'!$E$11+1,1))-AVERAGE(OFFSET($H$3,0,0,'Données projet'!$E$11+1,1))</f>
        <v>321.23599968992932</v>
      </c>
      <c r="BJ170" s="62">
        <f t="shared" si="146"/>
        <v>388.05195847800502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0.12118907097367834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9.6213641201805475E-20</v>
      </c>
      <c r="BS170" s="24">
        <f t="shared" si="169"/>
        <v>0.12118907097367834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329.14247505779747</v>
      </c>
      <c r="T171" s="62">
        <f t="shared" si="142"/>
        <v>199.43308683696642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363.99473967460347</v>
      </c>
      <c r="AO171" s="62">
        <f t="shared" si="144"/>
        <v>218.5520645293999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1.738044375088066E-13</v>
      </c>
      <c r="BF171" s="14">
        <f t="shared" si="167"/>
        <v>2.4483293633950478E-12</v>
      </c>
      <c r="BG171" s="22">
        <f t="shared" si="168"/>
        <v>4.566883036574213E-12</v>
      </c>
      <c r="BH171" s="62">
        <f t="shared" si="116"/>
        <v>293.33333333333786</v>
      </c>
      <c r="BI171" s="62">
        <f ca="1">AVERAGE(OFFSET($BH$3,0,0,'Données projet'!$E$11+1,1))-AVERAGE(OFFSET($H$3,0,0,'Données projet'!$E$11+1,1))</f>
        <v>321.23599968992932</v>
      </c>
      <c r="BJ171" s="62">
        <f t="shared" si="146"/>
        <v>388.05195847800502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0.118812627209919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6.8033318136446057E-20</v>
      </c>
      <c r="BS171" s="24">
        <f t="shared" si="169"/>
        <v>0.118812627209919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329.14247505779747</v>
      </c>
      <c r="T172" s="62">
        <f t="shared" si="142"/>
        <v>199.43308683696642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363.99473967460347</v>
      </c>
      <c r="AO172" s="62">
        <f t="shared" si="144"/>
        <v>218.5520645293999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1.738044375088066E-13</v>
      </c>
      <c r="BF172" s="14">
        <f t="shared" si="167"/>
        <v>2.4483293633950478E-12</v>
      </c>
      <c r="BG172" s="22">
        <f t="shared" si="168"/>
        <v>4.566883036574213E-12</v>
      </c>
      <c r="BH172" s="62">
        <f t="shared" si="116"/>
        <v>293.33333333333786</v>
      </c>
      <c r="BI172" s="62">
        <f ca="1">AVERAGE(OFFSET($BH$3,0,0,'Données projet'!$E$11+1,1))-AVERAGE(OFFSET($H$3,0,0,'Données projet'!$E$11+1,1))</f>
        <v>321.23599968992932</v>
      </c>
      <c r="BJ172" s="62">
        <f t="shared" si="146"/>
        <v>388.05195847800502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0.11648278405887942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4.8106820600902737E-20</v>
      </c>
      <c r="BS172" s="24">
        <f t="shared" si="169"/>
        <v>0.11648278405887942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329.14247505779747</v>
      </c>
      <c r="T173" s="62">
        <f t="shared" si="142"/>
        <v>199.43308683696642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363.99473967460347</v>
      </c>
      <c r="AO173" s="62">
        <f t="shared" si="144"/>
        <v>218.5520645293999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1.738044375088066E-13</v>
      </c>
      <c r="BF173" s="14">
        <f t="shared" si="167"/>
        <v>2.4483293633950478E-12</v>
      </c>
      <c r="BG173" s="22">
        <f t="shared" si="168"/>
        <v>4.566883036574213E-12</v>
      </c>
      <c r="BH173" s="62">
        <f t="shared" si="116"/>
        <v>293.33333333333786</v>
      </c>
      <c r="BI173" s="62">
        <f ca="1">AVERAGE(OFFSET($BH$3,0,0,'Données projet'!$E$11+1,1))-AVERAGE(OFFSET($H$3,0,0,'Données projet'!$E$11+1,1))</f>
        <v>321.23599968992932</v>
      </c>
      <c r="BJ173" s="62">
        <f t="shared" si="146"/>
        <v>388.05195847800502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0.11419862771096771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3.4016659068223028E-20</v>
      </c>
      <c r="BS173" s="24">
        <f t="shared" si="169"/>
        <v>0.11419862771096771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329.14247505779747</v>
      </c>
      <c r="T174" s="62">
        <f t="shared" si="142"/>
        <v>199.43308683696642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363.99473967460347</v>
      </c>
      <c r="AO174" s="62">
        <f t="shared" si="144"/>
        <v>218.5520645293999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1.738044375088066E-13</v>
      </c>
      <c r="BF174" s="14">
        <f t="shared" si="167"/>
        <v>2.4483293633950478E-12</v>
      </c>
      <c r="BG174" s="22">
        <f t="shared" si="168"/>
        <v>4.566883036574213E-12</v>
      </c>
      <c r="BH174" s="62">
        <f t="shared" si="116"/>
        <v>293.33333333333786</v>
      </c>
      <c r="BI174" s="62">
        <f ca="1">AVERAGE(OFFSET($BH$3,0,0,'Données projet'!$E$11+1,1))-AVERAGE(OFFSET($H$3,0,0,'Données projet'!$E$11+1,1))</f>
        <v>321.23599968992932</v>
      </c>
      <c r="BJ174" s="62">
        <f t="shared" si="146"/>
        <v>388.05195847800502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0.11195926227584074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2.4053410300451369E-20</v>
      </c>
      <c r="BS174" s="24">
        <f t="shared" si="169"/>
        <v>0.11195926227584074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329.14247505779747</v>
      </c>
      <c r="T175" s="62">
        <f t="shared" si="142"/>
        <v>199.43308683696642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363.99473967460347</v>
      </c>
      <c r="AO175" s="62">
        <f t="shared" si="144"/>
        <v>218.5520645293999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1.738044375088066E-13</v>
      </c>
      <c r="BF175" s="14">
        <f t="shared" si="167"/>
        <v>2.4483293633950478E-12</v>
      </c>
      <c r="BG175" s="22">
        <f t="shared" si="168"/>
        <v>4.566883036574213E-12</v>
      </c>
      <c r="BH175" s="62">
        <f t="shared" si="116"/>
        <v>293.33333333333786</v>
      </c>
      <c r="BI175" s="62">
        <f ca="1">AVERAGE(OFFSET($BH$3,0,0,'Données projet'!$E$11+1,1))-AVERAGE(OFFSET($H$3,0,0,'Données projet'!$E$11+1,1))</f>
        <v>321.23599968992932</v>
      </c>
      <c r="BJ175" s="62">
        <f t="shared" si="146"/>
        <v>388.05195847800502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0.10976380943101857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1.7008329534111514E-20</v>
      </c>
      <c r="BS175" s="24">
        <f t="shared" si="169"/>
        <v>0.10976380943101857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329.14247505779747</v>
      </c>
      <c r="T176" s="62">
        <f t="shared" si="142"/>
        <v>199.43308683696642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363.99473967460347</v>
      </c>
      <c r="AO176" s="62">
        <f t="shared" si="144"/>
        <v>218.5520645293999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1.738044375088066E-13</v>
      </c>
      <c r="BF176" s="14">
        <f t="shared" si="167"/>
        <v>2.4483293633950478E-12</v>
      </c>
      <c r="BG176" s="22">
        <f t="shared" si="168"/>
        <v>4.566883036574213E-12</v>
      </c>
      <c r="BH176" s="62">
        <f t="shared" si="116"/>
        <v>293.33333333333786</v>
      </c>
      <c r="BI176" s="62">
        <f ca="1">AVERAGE(OFFSET($BH$3,0,0,'Données projet'!$E$11+1,1))-AVERAGE(OFFSET($H$3,0,0,'Données projet'!$E$11+1,1))</f>
        <v>321.23599968992932</v>
      </c>
      <c r="BJ176" s="62">
        <f t="shared" si="146"/>
        <v>388.05195847800502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0.10761140807738935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1.2026705150225684E-20</v>
      </c>
      <c r="BS176" s="24">
        <f t="shared" si="169"/>
        <v>0.10761140807738935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329.14247505779747</v>
      </c>
      <c r="T177" s="62">
        <f t="shared" si="142"/>
        <v>199.43308683696642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363.99473967460347</v>
      </c>
      <c r="AO177" s="62">
        <f t="shared" si="144"/>
        <v>218.5520645293999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1.738044375088066E-13</v>
      </c>
      <c r="BF177" s="14">
        <f t="shared" si="167"/>
        <v>2.4483293633950478E-12</v>
      </c>
      <c r="BG177" s="22">
        <f t="shared" si="168"/>
        <v>4.566883036574213E-12</v>
      </c>
      <c r="BH177" s="62">
        <f t="shared" si="116"/>
        <v>293.33333333333786</v>
      </c>
      <c r="BI177" s="62">
        <f ca="1">AVERAGE(OFFSET($BH$3,0,0,'Données projet'!$E$11+1,1))-AVERAGE(OFFSET($H$3,0,0,'Données projet'!$E$11+1,1))</f>
        <v>321.23599968992932</v>
      </c>
      <c r="BJ177" s="62">
        <f t="shared" si="146"/>
        <v>388.05195847800502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0.10550121400146961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8.5041647670557571E-21</v>
      </c>
      <c r="BS177" s="24">
        <f t="shared" si="169"/>
        <v>0.10550121400146961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329.14247505779747</v>
      </c>
      <c r="T178" s="62">
        <f t="shared" si="142"/>
        <v>199.43308683696642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363.99473967460347</v>
      </c>
      <c r="AO178" s="62">
        <f t="shared" si="144"/>
        <v>218.5520645293999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1.738044375088066E-13</v>
      </c>
      <c r="BF178" s="14">
        <f t="shared" si="167"/>
        <v>2.4483293633950478E-12</v>
      </c>
      <c r="BG178" s="22">
        <f t="shared" si="168"/>
        <v>4.566883036574213E-12</v>
      </c>
      <c r="BH178" s="62">
        <f t="shared" si="116"/>
        <v>293.33333333333786</v>
      </c>
      <c r="BI178" s="62">
        <f ca="1">AVERAGE(OFFSET($BH$3,0,0,'Données projet'!$E$11+1,1))-AVERAGE(OFFSET($H$3,0,0,'Données projet'!$E$11+1,1))</f>
        <v>321.23599968992932</v>
      </c>
      <c r="BJ178" s="62">
        <f t="shared" si="146"/>
        <v>388.05195847800502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0.10343239954428736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6.0133525751128422E-21</v>
      </c>
      <c r="BS178" s="24">
        <f t="shared" si="169"/>
        <v>0.10343239954428736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329.14247505779747</v>
      </c>
      <c r="T179" s="62">
        <f t="shared" si="142"/>
        <v>199.43308683696642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363.99473967460347</v>
      </c>
      <c r="AO179" s="62">
        <f t="shared" si="144"/>
        <v>218.5520645293999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1.738044375088066E-13</v>
      </c>
      <c r="BF179" s="14">
        <f t="shared" si="167"/>
        <v>2.4483293633950478E-12</v>
      </c>
      <c r="BG179" s="22">
        <f t="shared" si="168"/>
        <v>4.566883036574213E-12</v>
      </c>
      <c r="BH179" s="62">
        <f t="shared" si="116"/>
        <v>293.33333333333786</v>
      </c>
      <c r="BI179" s="62">
        <f ca="1">AVERAGE(OFFSET($BH$3,0,0,'Données projet'!$E$11+1,1))-AVERAGE(OFFSET($H$3,0,0,'Données projet'!$E$11+1,1))</f>
        <v>321.23599968992932</v>
      </c>
      <c r="BJ179" s="62">
        <f t="shared" si="146"/>
        <v>388.05195847800502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0.10140415327675822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4.2520823835278786E-21</v>
      </c>
      <c r="BS179" s="24">
        <f t="shared" si="169"/>
        <v>0.10140415327675822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329.14247505779747</v>
      </c>
      <c r="T180" s="62">
        <f t="shared" si="142"/>
        <v>199.43308683696642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363.99473967460347</v>
      </c>
      <c r="AO180" s="62">
        <f t="shared" si="144"/>
        <v>218.5520645293999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1.738044375088066E-13</v>
      </c>
      <c r="BF180" s="14">
        <f t="shared" si="167"/>
        <v>2.4483293633950478E-12</v>
      </c>
      <c r="BG180" s="22">
        <f t="shared" si="168"/>
        <v>4.566883036574213E-12</v>
      </c>
      <c r="BH180" s="62">
        <f t="shared" si="116"/>
        <v>293.33333333333786</v>
      </c>
      <c r="BI180" s="62">
        <f ca="1">AVERAGE(OFFSET($BH$3,0,0,'Données projet'!$E$11+1,1))-AVERAGE(OFFSET($H$3,0,0,'Données projet'!$E$11+1,1))</f>
        <v>321.23599968992932</v>
      </c>
      <c r="BJ180" s="62">
        <f t="shared" si="146"/>
        <v>388.05195847800502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9.9415679681427269E-2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3.0066762875564211E-21</v>
      </c>
      <c r="BS180" s="24">
        <f t="shared" si="169"/>
        <v>9.9415679681427269E-2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329.14247505779747</v>
      </c>
      <c r="T181" s="62">
        <f t="shared" si="142"/>
        <v>199.43308683696642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363.99473967460347</v>
      </c>
      <c r="AO181" s="62">
        <f t="shared" si="144"/>
        <v>218.5520645293999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1.738044375088066E-13</v>
      </c>
      <c r="BF181" s="14">
        <f t="shared" si="167"/>
        <v>2.4483293633950478E-12</v>
      </c>
      <c r="BG181" s="22">
        <f t="shared" si="168"/>
        <v>4.566883036574213E-12</v>
      </c>
      <c r="BH181" s="62">
        <f t="shared" si="116"/>
        <v>293.33333333333786</v>
      </c>
      <c r="BI181" s="62">
        <f ca="1">AVERAGE(OFFSET($BH$3,0,0,'Données projet'!$E$11+1,1))-AVERAGE(OFFSET($H$3,0,0,'Données projet'!$E$11+1,1))</f>
        <v>321.23599968992932</v>
      </c>
      <c r="BJ181" s="62">
        <f t="shared" si="146"/>
        <v>388.05195847800502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9.7466198840451629E-2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2.1260411917639393E-21</v>
      </c>
      <c r="BS181" s="24">
        <f t="shared" si="169"/>
        <v>9.7466198840451629E-2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329.14247505779747</v>
      </c>
      <c r="T182" s="62">
        <f t="shared" si="142"/>
        <v>199.43308683696642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363.99473967460347</v>
      </c>
      <c r="AO182" s="62">
        <f t="shared" si="144"/>
        <v>218.5520645293999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1.738044375088066E-13</v>
      </c>
      <c r="BF182" s="14">
        <f t="shared" si="167"/>
        <v>2.4483293633950478E-12</v>
      </c>
      <c r="BG182" s="22">
        <f t="shared" si="168"/>
        <v>4.566883036574213E-12</v>
      </c>
      <c r="BH182" s="62">
        <f t="shared" si="116"/>
        <v>293.33333333333786</v>
      </c>
      <c r="BI182" s="62">
        <f ca="1">AVERAGE(OFFSET($BH$3,0,0,'Données projet'!$E$11+1,1))-AVERAGE(OFFSET($H$3,0,0,'Données projet'!$E$11+1,1))</f>
        <v>321.23599968992932</v>
      </c>
      <c r="BJ182" s="62">
        <f t="shared" si="146"/>
        <v>388.05195847800502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9.5554946129701612E-2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1.5033381437782105E-21</v>
      </c>
      <c r="BS182" s="24">
        <f t="shared" si="169"/>
        <v>9.5554946129701612E-2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329.14247505779747</v>
      </c>
      <c r="T183" s="62">
        <f t="shared" si="142"/>
        <v>199.43308683696642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363.99473967460347</v>
      </c>
      <c r="AO183" s="62">
        <f t="shared" si="144"/>
        <v>218.5520645293999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1.738044375088066E-13</v>
      </c>
      <c r="BF183" s="14">
        <f t="shared" si="167"/>
        <v>2.4483293633950478E-12</v>
      </c>
      <c r="BG183" s="22">
        <f t="shared" si="168"/>
        <v>4.566883036574213E-12</v>
      </c>
      <c r="BH183" s="62">
        <f t="shared" si="116"/>
        <v>293.33333333333786</v>
      </c>
      <c r="BI183" s="62">
        <f ca="1">AVERAGE(OFFSET($BH$3,0,0,'Données projet'!$E$11+1,1))-AVERAGE(OFFSET($H$3,0,0,'Données projet'!$E$11+1,1))</f>
        <v>321.23599968992932</v>
      </c>
      <c r="BJ183" s="62">
        <f t="shared" si="146"/>
        <v>388.05195847800502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9.3681171918860356E-2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1.0630205958819696E-21</v>
      </c>
      <c r="BS183" s="24">
        <f t="shared" si="169"/>
        <v>9.3681171918860356E-2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329.14247505779747</v>
      </c>
      <c r="T184" s="62">
        <f t="shared" si="142"/>
        <v>199.43308683696642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363.99473967460347</v>
      </c>
      <c r="AO184" s="62">
        <f t="shared" si="144"/>
        <v>218.5520645293999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1.738044375088066E-13</v>
      </c>
      <c r="BF184" s="14">
        <f t="shared" si="167"/>
        <v>2.4483293633950478E-12</v>
      </c>
      <c r="BG184" s="22">
        <f t="shared" si="168"/>
        <v>4.566883036574213E-12</v>
      </c>
      <c r="BH184" s="62">
        <f t="shared" si="116"/>
        <v>293.33333333333786</v>
      </c>
      <c r="BI184" s="62">
        <f ca="1">AVERAGE(OFFSET($BH$3,0,0,'Données projet'!$E$11+1,1))-AVERAGE(OFFSET($H$3,0,0,'Données projet'!$E$11+1,1))</f>
        <v>321.23599968992932</v>
      </c>
      <c r="BJ184" s="62">
        <f t="shared" si="146"/>
        <v>388.05195847800502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9.1844141277404284E-2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7.5166907188910527E-22</v>
      </c>
      <c r="BS184" s="24">
        <f t="shared" si="169"/>
        <v>9.1844141277404284E-2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329.14247505779747</v>
      </c>
      <c r="T185" s="62">
        <f t="shared" si="142"/>
        <v>199.43308683696642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363.99473967460347</v>
      </c>
      <c r="AO185" s="62">
        <f t="shared" si="144"/>
        <v>218.5520645293999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1.738044375088066E-13</v>
      </c>
      <c r="BF185" s="14">
        <f t="shared" si="167"/>
        <v>2.4483293633950478E-12</v>
      </c>
      <c r="BG185" s="22">
        <f t="shared" si="168"/>
        <v>4.566883036574213E-12</v>
      </c>
      <c r="BH185" s="62">
        <f t="shared" si="116"/>
        <v>293.33333333333786</v>
      </c>
      <c r="BI185" s="62">
        <f ca="1">AVERAGE(OFFSET($BH$3,0,0,'Données projet'!$E$11+1,1))-AVERAGE(OFFSET($H$3,0,0,'Données projet'!$E$11+1,1))</f>
        <v>321.23599968992932</v>
      </c>
      <c r="BJ185" s="62">
        <f t="shared" si="146"/>
        <v>388.05195847800502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9.0043133686349114E-2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5.3151029794098482E-22</v>
      </c>
      <c r="BS185" s="24">
        <f t="shared" si="169"/>
        <v>9.0043133686349114E-2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329.14247505779747</v>
      </c>
      <c r="T186" s="62">
        <f t="shared" si="142"/>
        <v>199.43308683696642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363.99473967460347</v>
      </c>
      <c r="AO186" s="62">
        <f t="shared" si="144"/>
        <v>218.5520645293999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1.738044375088066E-13</v>
      </c>
      <c r="BF186" s="14">
        <f t="shared" si="167"/>
        <v>2.4483293633950478E-12</v>
      </c>
      <c r="BG186" s="22">
        <f t="shared" si="168"/>
        <v>4.566883036574213E-12</v>
      </c>
      <c r="BH186" s="62">
        <f t="shared" si="116"/>
        <v>293.33333333333786</v>
      </c>
      <c r="BI186" s="62">
        <f ca="1">AVERAGE(OFFSET($BH$3,0,0,'Données projet'!$E$11+1,1))-AVERAGE(OFFSET($H$3,0,0,'Données projet'!$E$11+1,1))</f>
        <v>321.23599968992932</v>
      </c>
      <c r="BJ186" s="62">
        <f t="shared" si="146"/>
        <v>388.05195847800502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8.8277442755648375E-2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3.7583453594455264E-22</v>
      </c>
      <c r="BS186" s="24">
        <f t="shared" si="169"/>
        <v>8.8277442755648375E-2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329.14247505779747</v>
      </c>
      <c r="T187" s="62">
        <f t="shared" si="142"/>
        <v>199.43308683696642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363.99473967460347</v>
      </c>
      <c r="AO187" s="62">
        <f t="shared" si="144"/>
        <v>218.5520645293999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1.738044375088066E-13</v>
      </c>
      <c r="BF187" s="14">
        <f t="shared" si="167"/>
        <v>2.4483293633950478E-12</v>
      </c>
      <c r="BG187" s="22">
        <f t="shared" si="168"/>
        <v>4.566883036574213E-12</v>
      </c>
      <c r="BH187" s="62">
        <f t="shared" si="116"/>
        <v>293.33333333333786</v>
      </c>
      <c r="BI187" s="62">
        <f ca="1">AVERAGE(OFFSET($BH$3,0,0,'Données projet'!$E$11+1,1))-AVERAGE(OFFSET($H$3,0,0,'Données projet'!$E$11+1,1))</f>
        <v>321.23599968992932</v>
      </c>
      <c r="BJ187" s="62">
        <f t="shared" si="146"/>
        <v>388.05195847800502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8.6546375947133547E-2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2.6575514897049241E-22</v>
      </c>
      <c r="BS187" s="24">
        <f t="shared" si="169"/>
        <v>8.6546375947133547E-2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329.14247505779747</v>
      </c>
      <c r="T188" s="62">
        <f t="shared" si="142"/>
        <v>199.43308683696642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363.99473967460347</v>
      </c>
      <c r="AO188" s="62">
        <f t="shared" si="144"/>
        <v>218.5520645293999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1.738044375088066E-13</v>
      </c>
      <c r="BF188" s="14">
        <f t="shared" si="167"/>
        <v>2.4483293633950478E-12</v>
      </c>
      <c r="BG188" s="22">
        <f t="shared" si="168"/>
        <v>4.566883036574213E-12</v>
      </c>
      <c r="BH188" s="62">
        <f t="shared" si="116"/>
        <v>293.33333333333786</v>
      </c>
      <c r="BI188" s="62">
        <f ca="1">AVERAGE(OFFSET($BH$3,0,0,'Données projet'!$E$11+1,1))-AVERAGE(OFFSET($H$3,0,0,'Données projet'!$E$11+1,1))</f>
        <v>321.23599968992932</v>
      </c>
      <c r="BJ188" s="62">
        <f t="shared" si="146"/>
        <v>388.05195847800502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8.48492543028872E-2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1.8791726797227632E-22</v>
      </c>
      <c r="BS188" s="24">
        <f t="shared" si="169"/>
        <v>8.48492543028872E-2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329.14247505779747</v>
      </c>
      <c r="T189" s="62">
        <f t="shared" si="142"/>
        <v>199.43308683696642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363.99473967460347</v>
      </c>
      <c r="AO189" s="62">
        <f t="shared" si="144"/>
        <v>218.5520645293999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1.738044375088066E-13</v>
      </c>
      <c r="BF189" s="14">
        <f t="shared" si="167"/>
        <v>2.4483293633950478E-12</v>
      </c>
      <c r="BG189" s="22">
        <f t="shared" si="168"/>
        <v>4.566883036574213E-12</v>
      </c>
      <c r="BH189" s="62">
        <f t="shared" si="116"/>
        <v>293.33333333333786</v>
      </c>
      <c r="BI189" s="62">
        <f ca="1">AVERAGE(OFFSET($BH$3,0,0,'Données projet'!$E$11+1,1))-AVERAGE(OFFSET($H$3,0,0,'Données projet'!$E$11+1,1))</f>
        <v>321.23599968992932</v>
      </c>
      <c r="BJ189" s="62">
        <f t="shared" si="146"/>
        <v>388.05195847800502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8.3185412178942528E-2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1.328775744852462E-22</v>
      </c>
      <c r="BS189" s="24">
        <f t="shared" si="169"/>
        <v>8.3185412178942528E-2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329.14247505779747</v>
      </c>
      <c r="T190" s="62">
        <f t="shared" si="142"/>
        <v>199.43308683696642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363.99473967460347</v>
      </c>
      <c r="AO190" s="62">
        <f t="shared" si="144"/>
        <v>218.5520645293999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1.738044375088066E-13</v>
      </c>
      <c r="BF190" s="14">
        <f t="shared" si="167"/>
        <v>2.4483293633950478E-12</v>
      </c>
      <c r="BG190" s="22">
        <f t="shared" si="168"/>
        <v>4.566883036574213E-12</v>
      </c>
      <c r="BH190" s="62">
        <f t="shared" si="116"/>
        <v>293.33333333333786</v>
      </c>
      <c r="BI190" s="62">
        <f ca="1">AVERAGE(OFFSET($BH$3,0,0,'Données projet'!$E$11+1,1))-AVERAGE(OFFSET($H$3,0,0,'Données projet'!$E$11+1,1))</f>
        <v>321.23599968992932</v>
      </c>
      <c r="BJ190" s="62">
        <f t="shared" si="146"/>
        <v>388.05195847800502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8.1554196984204921E-2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9.3958633986138159E-23</v>
      </c>
      <c r="BS190" s="24">
        <f t="shared" si="169"/>
        <v>8.1554196984204921E-2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329.14247505779747</v>
      </c>
      <c r="T191" s="62">
        <f t="shared" si="142"/>
        <v>199.43308683696642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363.99473967460347</v>
      </c>
      <c r="AO191" s="62">
        <f t="shared" si="144"/>
        <v>218.5520645293999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1.738044375088066E-13</v>
      </c>
      <c r="BF191" s="14">
        <f t="shared" si="167"/>
        <v>2.4483293633950478E-12</v>
      </c>
      <c r="BG191" s="22">
        <f t="shared" si="168"/>
        <v>4.566883036574213E-12</v>
      </c>
      <c r="BH191" s="62">
        <f t="shared" si="116"/>
        <v>293.33333333333786</v>
      </c>
      <c r="BI191" s="62">
        <f ca="1">AVERAGE(OFFSET($BH$3,0,0,'Données projet'!$E$11+1,1))-AVERAGE(OFFSET($H$3,0,0,'Données projet'!$E$11+1,1))</f>
        <v>321.23599968992932</v>
      </c>
      <c r="BJ191" s="62">
        <f t="shared" si="146"/>
        <v>388.05195847800502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7.9954968924493094E-2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6.6438787242623102E-23</v>
      </c>
      <c r="BS191" s="24">
        <f t="shared" si="169"/>
        <v>7.9954968924493094E-2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329.14247505779747</v>
      </c>
      <c r="T192" s="62">
        <f t="shared" si="142"/>
        <v>199.43308683696642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363.99473967460347</v>
      </c>
      <c r="AO192" s="62">
        <f t="shared" si="144"/>
        <v>218.5520645293999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1.738044375088066E-13</v>
      </c>
      <c r="BF192" s="14">
        <f t="shared" si="167"/>
        <v>2.4483293633950478E-12</v>
      </c>
      <c r="BG192" s="22">
        <f t="shared" si="168"/>
        <v>4.566883036574213E-12</v>
      </c>
      <c r="BH192" s="62">
        <f t="shared" si="116"/>
        <v>293.33333333333786</v>
      </c>
      <c r="BI192" s="62">
        <f ca="1">AVERAGE(OFFSET($BH$3,0,0,'Données projet'!$E$11+1,1))-AVERAGE(OFFSET($H$3,0,0,'Données projet'!$E$11+1,1))</f>
        <v>321.23599968992932</v>
      </c>
      <c r="BJ192" s="62">
        <f t="shared" si="146"/>
        <v>388.05195847800502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7.8387100751599423E-2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4.697931699306908E-23</v>
      </c>
      <c r="BS192" s="24">
        <f t="shared" si="169"/>
        <v>7.8387100751599423E-2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329.14247505779747</v>
      </c>
      <c r="T193" s="62">
        <f t="shared" si="142"/>
        <v>199.43308683696642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363.99473967460347</v>
      </c>
      <c r="AO193" s="62">
        <f t="shared" si="144"/>
        <v>218.5520645293999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1.738044375088066E-13</v>
      </c>
      <c r="BF193" s="14">
        <f t="shared" si="167"/>
        <v>2.4483293633950478E-12</v>
      </c>
      <c r="BG193" s="22">
        <f t="shared" si="168"/>
        <v>4.566883036574213E-12</v>
      </c>
      <c r="BH193" s="62">
        <f t="shared" si="116"/>
        <v>293.33333333333786</v>
      </c>
      <c r="BI193" s="62">
        <f ca="1">AVERAGE(OFFSET($BH$3,0,0,'Données projet'!$E$11+1,1))-AVERAGE(OFFSET($H$3,0,0,'Données projet'!$E$11+1,1))</f>
        <v>321.23599968992932</v>
      </c>
      <c r="BJ193" s="62">
        <f t="shared" si="146"/>
        <v>388.05195847800502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7.6849977517271031E-2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3.3219393621311551E-23</v>
      </c>
      <c r="BS193" s="24">
        <f t="shared" si="169"/>
        <v>7.6849977517271031E-2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329.14247505779747</v>
      </c>
      <c r="T194" s="62">
        <f t="shared" si="142"/>
        <v>199.43308683696642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363.99473967460347</v>
      </c>
      <c r="AO194" s="62">
        <f t="shared" si="144"/>
        <v>218.5520645293999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1.738044375088066E-13</v>
      </c>
      <c r="BF194" s="14">
        <f t="shared" si="167"/>
        <v>2.4483293633950478E-12</v>
      </c>
      <c r="BG194" s="22">
        <f t="shared" si="168"/>
        <v>4.566883036574213E-12</v>
      </c>
      <c r="BH194" s="62">
        <f t="shared" si="116"/>
        <v>293.33333333333786</v>
      </c>
      <c r="BI194" s="62">
        <f ca="1">AVERAGE(OFFSET($BH$3,0,0,'Données projet'!$E$11+1,1))-AVERAGE(OFFSET($H$3,0,0,'Données projet'!$E$11+1,1))</f>
        <v>321.23599968992932</v>
      </c>
      <c r="BJ194" s="62">
        <f t="shared" si="146"/>
        <v>388.05195847800502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7.5342996332015216E-2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2.348965849653454E-23</v>
      </c>
      <c r="BS194" s="24">
        <f t="shared" si="169"/>
        <v>7.5342996332015216E-2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329.14247505779747</v>
      </c>
      <c r="T195" s="62">
        <f t="shared" si="142"/>
        <v>199.43308683696642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363.99473967460347</v>
      </c>
      <c r="AO195" s="62">
        <f t="shared" si="144"/>
        <v>218.5520645293999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1.738044375088066E-13</v>
      </c>
      <c r="BF195" s="14">
        <f t="shared" si="167"/>
        <v>2.4483293633950478E-12</v>
      </c>
      <c r="BG195" s="22">
        <f t="shared" si="168"/>
        <v>4.566883036574213E-12</v>
      </c>
      <c r="BH195" s="62">
        <f t="shared" si="116"/>
        <v>293.33333333333786</v>
      </c>
      <c r="BI195" s="62">
        <f ca="1">AVERAGE(OFFSET($BH$3,0,0,'Données projet'!$E$11+1,1))-AVERAGE(OFFSET($H$3,0,0,'Données projet'!$E$11+1,1))</f>
        <v>321.23599968992932</v>
      </c>
      <c r="BJ195" s="62">
        <f t="shared" si="146"/>
        <v>388.05195847800502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7.3865566128634513E-2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1.6609696810655776E-23</v>
      </c>
      <c r="BS195" s="24">
        <f t="shared" si="169"/>
        <v>7.3865566128634513E-2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329.14247505779747</v>
      </c>
      <c r="T196" s="62">
        <f t="shared" si="142"/>
        <v>199.43308683696642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363.99473967460347</v>
      </c>
      <c r="AO196" s="62">
        <f t="shared" si="144"/>
        <v>218.5520645293999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1.738044375088066E-13</v>
      </c>
      <c r="BF196" s="14">
        <f t="shared" si="167"/>
        <v>2.4483293633950478E-12</v>
      </c>
      <c r="BG196" s="22">
        <f t="shared" si="168"/>
        <v>4.566883036574213E-12</v>
      </c>
      <c r="BH196" s="62">
        <f t="shared" ref="BH196:BH203" si="194">BG196+(AY196+AZ196)*44/12</f>
        <v>293.33333333333786</v>
      </c>
      <c r="BI196" s="62">
        <f ca="1">AVERAGE(OFFSET($BH$3,0,0,'Données projet'!$E$11+1,1))-AVERAGE(OFFSET($H$3,0,0,'Données projet'!$E$11+1,1))</f>
        <v>321.23599968992932</v>
      </c>
      <c r="BJ196" s="62">
        <f t="shared" si="146"/>
        <v>388.05195847800502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7.2417107430398656E-2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1.174482924826727E-23</v>
      </c>
      <c r="BS196" s="24">
        <f t="shared" si="169"/>
        <v>7.2417107430398656E-2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329.14247505779747</v>
      </c>
      <c r="T197" s="62">
        <f t="shared" ref="T197:T203" si="204">$T$3</f>
        <v>199.43308683696642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363.99473967460347</v>
      </c>
      <c r="AO197" s="62">
        <f t="shared" ref="AO197:AO203" si="205">$AO$3</f>
        <v>218.5520645293999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1.738044375088066E-13</v>
      </c>
      <c r="BF197" s="14">
        <f t="shared" si="167"/>
        <v>2.4483293633950478E-12</v>
      </c>
      <c r="BG197" s="22">
        <f t="shared" si="168"/>
        <v>4.566883036574213E-12</v>
      </c>
      <c r="BH197" s="62">
        <f t="shared" si="194"/>
        <v>293.33333333333786</v>
      </c>
      <c r="BI197" s="62">
        <f ca="1">AVERAGE(OFFSET($BH$3,0,0,'Données projet'!$E$11+1,1))-AVERAGE(OFFSET($H$3,0,0,'Données projet'!$E$11+1,1))</f>
        <v>321.23599968992932</v>
      </c>
      <c r="BJ197" s="62">
        <f t="shared" ref="BJ197:BJ203" si="206">$BJ$3</f>
        <v>388.05195847800502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7.0997052123762644E-2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8.3048484053278878E-24</v>
      </c>
      <c r="BS197" s="24">
        <f t="shared" si="169"/>
        <v>7.0997052123762644E-2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329.14247505779747</v>
      </c>
      <c r="T198" s="62">
        <f t="shared" si="204"/>
        <v>199.43308683696642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363.99473967460347</v>
      </c>
      <c r="AO198" s="62">
        <f t="shared" si="205"/>
        <v>218.5520645293999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1.738044375088066E-13</v>
      </c>
      <c r="BF198" s="14">
        <f t="shared" si="167"/>
        <v>2.4483293633950478E-12</v>
      </c>
      <c r="BG198" s="22">
        <f t="shared" si="168"/>
        <v>4.566883036574213E-12</v>
      </c>
      <c r="BH198" s="62">
        <f t="shared" si="194"/>
        <v>293.33333333333786</v>
      </c>
      <c r="BI198" s="62">
        <f ca="1">AVERAGE(OFFSET($BH$3,0,0,'Données projet'!$E$11+1,1))-AVERAGE(OFFSET($H$3,0,0,'Données projet'!$E$11+1,1))</f>
        <v>321.23599968992932</v>
      </c>
      <c r="BJ198" s="62">
        <f t="shared" si="206"/>
        <v>388.05195847800502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6.9604843235541544E-2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5.8724146241336349E-24</v>
      </c>
      <c r="BS198" s="24">
        <f t="shared" si="169"/>
        <v>6.9604843235541544E-2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329.14247505779747</v>
      </c>
      <c r="T199" s="62">
        <f t="shared" si="204"/>
        <v>199.43308683696642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363.99473967460347</v>
      </c>
      <c r="AO199" s="62">
        <f t="shared" si="205"/>
        <v>218.5520645293999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1.738044375088066E-13</v>
      </c>
      <c r="BF199" s="14">
        <f t="shared" si="167"/>
        <v>2.4483293633950478E-12</v>
      </c>
      <c r="BG199" s="22">
        <f t="shared" si="168"/>
        <v>4.566883036574213E-12</v>
      </c>
      <c r="BH199" s="62">
        <f t="shared" si="194"/>
        <v>293.33333333333786</v>
      </c>
      <c r="BI199" s="62">
        <f ca="1">AVERAGE(OFFSET($BH$3,0,0,'Données projet'!$E$11+1,1))-AVERAGE(OFFSET($H$3,0,0,'Données projet'!$E$11+1,1))</f>
        <v>321.23599968992932</v>
      </c>
      <c r="BJ199" s="62">
        <f t="shared" si="206"/>
        <v>388.05195847800502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6.8239934714454886E-2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4.1524242026639439E-24</v>
      </c>
      <c r="BS199" s="24">
        <f t="shared" si="169"/>
        <v>6.8239934714454886E-2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329.14247505779747</v>
      </c>
      <c r="T200" s="62">
        <f t="shared" si="204"/>
        <v>199.43308683696642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363.99473967460347</v>
      </c>
      <c r="AO200" s="62">
        <f t="shared" si="205"/>
        <v>218.5520645293999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1.738044375088066E-13</v>
      </c>
      <c r="BF200" s="14">
        <f t="shared" si="167"/>
        <v>2.4483293633950478E-12</v>
      </c>
      <c r="BG200" s="22">
        <f t="shared" si="168"/>
        <v>4.566883036574213E-12</v>
      </c>
      <c r="BH200" s="62">
        <f t="shared" si="194"/>
        <v>293.33333333333786</v>
      </c>
      <c r="BI200" s="62">
        <f ca="1">AVERAGE(OFFSET($BH$3,0,0,'Données projet'!$E$11+1,1))-AVERAGE(OFFSET($H$3,0,0,'Données projet'!$E$11+1,1))</f>
        <v>321.23599968992932</v>
      </c>
      <c r="BJ200" s="62">
        <f t="shared" si="206"/>
        <v>388.05195847800502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6.6901791216954748E-2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2.9362073120668175E-24</v>
      </c>
      <c r="BS200" s="24">
        <f t="shared" si="169"/>
        <v>6.6901791216954748E-2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329.14247505779747</v>
      </c>
      <c r="T201" s="62">
        <f t="shared" si="204"/>
        <v>199.43308683696642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363.99473967460347</v>
      </c>
      <c r="AO201" s="62">
        <f t="shared" si="205"/>
        <v>218.5520645293999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1.738044375088066E-13</v>
      </c>
      <c r="BF201" s="14">
        <f t="shared" si="167"/>
        <v>2.4483293633950478E-12</v>
      </c>
      <c r="BG201" s="22">
        <f t="shared" si="168"/>
        <v>4.566883036574213E-12</v>
      </c>
      <c r="BH201" s="62">
        <f t="shared" si="194"/>
        <v>293.33333333333786</v>
      </c>
      <c r="BI201" s="62">
        <f ca="1">AVERAGE(OFFSET($BH$3,0,0,'Données projet'!$E$11+1,1))-AVERAGE(OFFSET($H$3,0,0,'Données projet'!$E$11+1,1))</f>
        <v>321.23599968992932</v>
      </c>
      <c r="BJ201" s="62">
        <f t="shared" si="206"/>
        <v>388.05195847800502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6.5589887897253646E-2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2.076212101331972E-24</v>
      </c>
      <c r="BS201" s="24">
        <f t="shared" si="169"/>
        <v>6.5589887897253646E-2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329.14247505779747</v>
      </c>
      <c r="T202" s="62">
        <f t="shared" si="204"/>
        <v>199.43308683696642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363.99473967460347</v>
      </c>
      <c r="AO202" s="62">
        <f t="shared" si="205"/>
        <v>218.5520645293999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1.738044375088066E-13</v>
      </c>
      <c r="BF202" s="14">
        <f t="shared" si="167"/>
        <v>2.4483293633950478E-12</v>
      </c>
      <c r="BG202" s="22">
        <f t="shared" si="168"/>
        <v>4.566883036574213E-12</v>
      </c>
      <c r="BH202" s="62">
        <f t="shared" si="194"/>
        <v>293.33333333333786</v>
      </c>
      <c r="BI202" s="62">
        <f ca="1">AVERAGE(OFFSET($BH$3,0,0,'Données projet'!$E$11+1,1))-AVERAGE(OFFSET($H$3,0,0,'Données projet'!$E$11+1,1))</f>
        <v>321.23599968992932</v>
      </c>
      <c r="BJ202" s="62">
        <f t="shared" si="206"/>
        <v>388.05195847800502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6.4303710201469869E-2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1.4681036560334087E-24</v>
      </c>
      <c r="BS202" s="24">
        <f t="shared" si="169"/>
        <v>6.4303710201469869E-2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329.14247505779747</v>
      </c>
      <c r="T203" s="62">
        <f t="shared" si="204"/>
        <v>199.43308683696642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363.99473967460347</v>
      </c>
      <c r="AO203" s="62">
        <f t="shared" si="205"/>
        <v>218.5520645293999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1.738044375088066E-13</v>
      </c>
      <c r="BF203" s="14">
        <f t="shared" si="167"/>
        <v>2.4483293633950478E-12</v>
      </c>
      <c r="BG203" s="22">
        <f t="shared" si="168"/>
        <v>4.566883036574213E-12</v>
      </c>
      <c r="BH203" s="62">
        <f t="shared" si="194"/>
        <v>293.33333333333786</v>
      </c>
      <c r="BI203" s="62">
        <f ca="1">AVERAGE(OFFSET($BH$3,0,0,'Données projet'!$E$11+1,1))-AVERAGE(OFFSET($H$3,0,0,'Données projet'!$E$11+1,1))</f>
        <v>321.23599968992932</v>
      </c>
      <c r="BJ203" s="62">
        <f t="shared" si="206"/>
        <v>388.05195847800502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6.304275366580947E-2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1.038106050665986E-24</v>
      </c>
      <c r="BS203" s="24">
        <f t="shared" si="169"/>
        <v>6.304275366580947E-2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1.1191358811422176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1.1191358811422176</v>
      </c>
      <c r="BA205" s="88">
        <f>EXP(LN('Données projet'!B88)/'Données projet'!A88)</f>
        <v>1.3467943429205997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Chêne sessile</v>
      </c>
      <c r="B6" s="155">
        <f>'Données projet'!D9</f>
        <v>10.3222</v>
      </c>
      <c r="C6" s="156">
        <f ca="1">IF(OR('Données projet'!B9="",'Données projet'!C9="",'Données projet'!C9=0%),0,Calculateur!S3)</f>
        <v>329.14247505779747</v>
      </c>
      <c r="D6" s="156">
        <f>IF(OR('Données projet'!B9="",'Données projet'!C9="",'Données projet'!C9=0%),0,Calculateur!T3)</f>
        <v>199.43308683696642</v>
      </c>
      <c r="E6" s="156">
        <f ca="1">MIN(C6,D6)</f>
        <v>199.43308683696642</v>
      </c>
      <c r="F6" s="156">
        <f ca="1">E6*B6</f>
        <v>2058.5882089485349</v>
      </c>
      <c r="G6" s="156">
        <f ca="1">F6*(100%-'Données projet'!$C$24)*(100%-'Données projet'!$C$25)*(100%-'Données projet'!$C$26)*(100%-'Données projet'!$C$27)</f>
        <v>1760.0929186509973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1760.0929186509973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Chêne pubescent</v>
      </c>
      <c r="B7" s="163">
        <f>'Données projet'!D10</f>
        <v>0.70700000000000007</v>
      </c>
      <c r="C7" s="156">
        <f ca="1">IF(OR('Données projet'!B10="",'Données projet'!C10="",'Données projet'!C10=0%),0,Calculateur!AN3)</f>
        <v>363.99473967460347</v>
      </c>
      <c r="D7" s="156">
        <f>IF(OR('Données projet'!B10="",'Données projet'!C10="",'Données projet'!C10=0%),0,Calculateur!AO3)</f>
        <v>218.5520645293999</v>
      </c>
      <c r="E7" s="156">
        <f t="shared" ref="E7:E15" ca="1" si="0">MIN(C7,D7)</f>
        <v>218.5520645293999</v>
      </c>
      <c r="F7" s="156">
        <f t="shared" ref="F7:F15" ca="1" si="1">E7*B7</f>
        <v>154.51630962228575</v>
      </c>
      <c r="G7" s="156">
        <f ca="1">F7*(100%-'Données projet'!$C$24)*(100%-'Données projet'!$C$25)*(100%-'Données projet'!$C$26)*(100%-'Données projet'!$C$27)</f>
        <v>132.11144472705431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132.11144472705431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Chêne rouge d'Amérique</v>
      </c>
      <c r="B8" s="163">
        <f>'Données projet'!D11</f>
        <v>3.1108000000000002</v>
      </c>
      <c r="C8" s="156">
        <f ca="1">IF(OR('Données projet'!B11="",'Données projet'!C11="",'Données projet'!C11=0%),0,Calculateur!BI3)</f>
        <v>321.23599968992932</v>
      </c>
      <c r="D8" s="156">
        <f>IF(OR('Données projet'!B11="",'Données projet'!C11="",'Données projet'!C11=0%),0,Calculateur!BJ3)</f>
        <v>388.05195847800502</v>
      </c>
      <c r="E8" s="156">
        <f t="shared" ca="1" si="0"/>
        <v>321.23599968992932</v>
      </c>
      <c r="F8" s="156">
        <f t="shared" ca="1" si="1"/>
        <v>999.30094783543223</v>
      </c>
      <c r="G8" s="156">
        <f ca="1">F8*(100%-'Données projet'!$C$24)*(100%-'Données projet'!$C$25)*(100%-'Données projet'!$C$26)*(100%-'Données projet'!$C$27)</f>
        <v>854.40231039929461</v>
      </c>
      <c r="H8" s="164">
        <f>IF(OR('Données projet'!B11="",'Données projet'!C11="",'Données projet'!C11=0%),0,AVERAGE(Calculateur!$BS$3:$BS$33)*B8)</f>
        <v>26.206259685604412</v>
      </c>
      <c r="I8" s="158">
        <f>H8*(100%-'Données projet'!$C$24)*(100%-'Données projet'!$C$25)*(100%-'Données projet'!$C$26)*(100%-'Données projet'!$C$27)</f>
        <v>22.406352031191773</v>
      </c>
      <c r="J8" s="159">
        <f>IF(OR('Données projet'!B11="",'Données projet'!C11="",'Données projet'!C11=0%),0,SUM(Calculateur!$BL$3:$BL$33)*VLOOKUP('Données projet'!$B$11,Paramètres!$A$1:$I$89,9,0)*B8)</f>
        <v>118.21040000000001</v>
      </c>
      <c r="K8" s="160">
        <f>J8*(100%-'Données projet'!$C$24)*(100%-'Données projet'!$C$25)*(100%-'Données projet'!$C$26)*(100%-'Données projet'!$C$27)</f>
        <v>101.06989200000001</v>
      </c>
      <c r="L8" s="161">
        <f t="shared" ca="1" si="2"/>
        <v>977.87855443048636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3212.4054664062533</v>
      </c>
      <c r="G16" s="175">
        <f t="shared" ca="1" si="3"/>
        <v>2746.6066737773463</v>
      </c>
      <c r="H16" s="176">
        <f t="shared" si="3"/>
        <v>26.206259685604412</v>
      </c>
      <c r="I16" s="176">
        <f t="shared" si="3"/>
        <v>22.406352031191773</v>
      </c>
      <c r="J16" s="177">
        <f t="shared" si="3"/>
        <v>118.21040000000001</v>
      </c>
      <c r="K16" s="177">
        <f t="shared" si="3"/>
        <v>101.06989200000001</v>
      </c>
      <c r="L16" s="178">
        <f t="shared" ca="1" si="3"/>
        <v>2870.0829178085378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7" zoomScale="90" zoomScaleNormal="90" workbookViewId="0">
      <selection activeCell="I25" sqref="I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-2547.430900120869</v>
      </c>
      <c r="U10" s="190">
        <f>'Données projet'!D9</f>
        <v>10.3222</v>
      </c>
      <c r="V10" s="189">
        <f>U10*T10</f>
        <v>-26295.091237227636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-2581.282257661916</v>
      </c>
      <c r="U11" s="190">
        <f>'Données projet'!D10</f>
        <v>0.70700000000000007</v>
      </c>
      <c r="V11" s="189">
        <f t="shared" ref="V11" si="0">U11*T11</f>
        <v>-1824.9665561669749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-1280.1854523695806</v>
      </c>
      <c r="U12" s="190">
        <f>'Données projet'!D11</f>
        <v>3.1108000000000002</v>
      </c>
      <c r="V12" s="189">
        <f t="shared" ref="V12:V19" si="1">U12*T12</f>
        <v>-3982.4009052312917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((11900+2720+2890)+(0.8*17510))/(7+1.6+1.7)</f>
        <v>3060.0000000000005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1300+150+250</f>
        <v>1700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200+400</f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200</f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42</v>
      </c>
      <c r="B23" s="193">
        <f>'Données projet'!D36</f>
        <v>30</v>
      </c>
      <c r="C23" s="206">
        <v>10</v>
      </c>
      <c r="D23" s="194">
        <f>B23*C23</f>
        <v>300</v>
      </c>
      <c r="E23" s="206"/>
      <c r="F23" s="261"/>
      <c r="H23" s="203">
        <v>4</v>
      </c>
      <c r="I23" s="204">
        <v>400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-73399.912920058283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48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5</v>
      </c>
      <c r="I24" s="204">
        <v>200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56</v>
      </c>
      <c r="B25" s="193">
        <f>'Données projet'!D38</f>
        <v>36</v>
      </c>
      <c r="C25" s="206">
        <v>32</v>
      </c>
      <c r="D25" s="194">
        <f t="shared" si="2"/>
        <v>1152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 t="s">
        <v>324</v>
      </c>
      <c r="R25" s="25"/>
      <c r="S25" s="198" t="s">
        <v>266</v>
      </c>
      <c r="T25" s="336">
        <f ca="1">T23-T24</f>
        <v>-73399.912920058283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64</v>
      </c>
      <c r="B26" s="193">
        <f>'Données projet'!D39</f>
        <v>41</v>
      </c>
      <c r="C26" s="206">
        <v>32</v>
      </c>
      <c r="D26" s="194">
        <f t="shared" si="2"/>
        <v>1312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72</v>
      </c>
      <c r="B27" s="193">
        <f>'Données projet'!D40</f>
        <v>32</v>
      </c>
      <c r="C27" s="206">
        <v>61</v>
      </c>
      <c r="D27" s="194">
        <f t="shared" si="2"/>
        <v>1952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81</v>
      </c>
      <c r="B28" s="193">
        <f>'Données projet'!D41</f>
        <v>31</v>
      </c>
      <c r="C28" s="206">
        <v>61</v>
      </c>
      <c r="D28" s="194">
        <f t="shared" si="2"/>
        <v>1891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90</v>
      </c>
      <c r="B29" s="193">
        <f>'Données projet'!D42</f>
        <v>30</v>
      </c>
      <c r="C29" s="206">
        <v>61</v>
      </c>
      <c r="D29" s="194">
        <f t="shared" si="2"/>
        <v>1830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102</v>
      </c>
      <c r="B30" s="193">
        <f>'Données projet'!D43</f>
        <v>41</v>
      </c>
      <c r="C30" s="206">
        <v>61</v>
      </c>
      <c r="D30" s="194">
        <f t="shared" si="2"/>
        <v>2501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114</v>
      </c>
      <c r="B31" s="193">
        <f>'Données projet'!D44</f>
        <v>37</v>
      </c>
      <c r="C31" s="206">
        <v>61</v>
      </c>
      <c r="D31" s="194">
        <f t="shared" si="2"/>
        <v>2257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126</v>
      </c>
      <c r="B32" s="193">
        <f>'Données projet'!D45</f>
        <v>38</v>
      </c>
      <c r="C32" s="206">
        <v>61</v>
      </c>
      <c r="D32" s="194">
        <f t="shared" si="2"/>
        <v>2318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138</v>
      </c>
      <c r="B33" s="193">
        <f>'Données projet'!D46</f>
        <v>39</v>
      </c>
      <c r="C33" s="206">
        <v>74</v>
      </c>
      <c r="D33" s="194">
        <f t="shared" si="2"/>
        <v>2886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153</v>
      </c>
      <c r="B34" s="193">
        <f>'Données projet'!D47</f>
        <v>296</v>
      </c>
      <c r="C34" s="206">
        <v>74</v>
      </c>
      <c r="D34" s="194">
        <f t="shared" si="2"/>
        <v>21904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(1190+(0.8*1190))/0.7</f>
        <v>3060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42</v>
      </c>
      <c r="B54" s="193">
        <f>'Données projet'!D62</f>
        <v>30</v>
      </c>
      <c r="C54" s="206">
        <v>10</v>
      </c>
      <c r="D54" s="191">
        <f>B54*C54</f>
        <v>300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48</v>
      </c>
      <c r="B55" s="193">
        <f>'Données projet'!D63</f>
        <v>28</v>
      </c>
      <c r="C55" s="206">
        <v>10</v>
      </c>
      <c r="D55" s="191">
        <f t="shared" ref="D55:D73" si="4">B55*C55</f>
        <v>280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56</v>
      </c>
      <c r="B56" s="193">
        <f>'Données projet'!D64</f>
        <v>36</v>
      </c>
      <c r="C56" s="206">
        <v>32</v>
      </c>
      <c r="D56" s="191">
        <f t="shared" si="4"/>
        <v>1152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64</v>
      </c>
      <c r="B57" s="193">
        <f>'Données projet'!D65</f>
        <v>41</v>
      </c>
      <c r="C57" s="206">
        <v>32</v>
      </c>
      <c r="D57" s="191">
        <f t="shared" si="4"/>
        <v>1312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72</v>
      </c>
      <c r="B58" s="193">
        <f>'Données projet'!D66</f>
        <v>32</v>
      </c>
      <c r="C58" s="206">
        <v>61</v>
      </c>
      <c r="D58" s="191">
        <f t="shared" si="4"/>
        <v>1952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81</v>
      </c>
      <c r="B59" s="193">
        <f>'Données projet'!D67</f>
        <v>31</v>
      </c>
      <c r="C59" s="206">
        <v>61</v>
      </c>
      <c r="D59" s="191">
        <f t="shared" si="4"/>
        <v>1891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90</v>
      </c>
      <c r="B60" s="193">
        <f>'Données projet'!D68</f>
        <v>30</v>
      </c>
      <c r="C60" s="206">
        <v>61</v>
      </c>
      <c r="D60" s="191">
        <f t="shared" si="4"/>
        <v>1830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102</v>
      </c>
      <c r="B61" s="193">
        <f>'Données projet'!D69</f>
        <v>41</v>
      </c>
      <c r="C61" s="206">
        <v>61</v>
      </c>
      <c r="D61" s="191">
        <f t="shared" si="4"/>
        <v>2501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114</v>
      </c>
      <c r="B62" s="193">
        <f>'Données projet'!D70</f>
        <v>37</v>
      </c>
      <c r="C62" s="206">
        <v>61</v>
      </c>
      <c r="D62" s="191">
        <f t="shared" si="4"/>
        <v>2257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126</v>
      </c>
      <c r="B63" s="193">
        <f>'Données projet'!D71</f>
        <v>38</v>
      </c>
      <c r="C63" s="206">
        <v>61</v>
      </c>
      <c r="D63" s="191">
        <f t="shared" si="4"/>
        <v>2318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138</v>
      </c>
      <c r="B64" s="193">
        <f>'Données projet'!D72</f>
        <v>39</v>
      </c>
      <c r="C64" s="206">
        <v>74</v>
      </c>
      <c r="D64" s="191">
        <f t="shared" si="4"/>
        <v>2886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153</v>
      </c>
      <c r="B65" s="193">
        <f>'Données projet'!D73</f>
        <v>296</v>
      </c>
      <c r="C65" s="206">
        <v>74</v>
      </c>
      <c r="D65" s="191">
        <f t="shared" si="4"/>
        <v>21904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(5270+(0.8*5270))/3.1</f>
        <v>3060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15</v>
      </c>
      <c r="B85" s="193">
        <f>'Données projet'!D88</f>
        <v>21</v>
      </c>
      <c r="C85" s="204">
        <v>8.5</v>
      </c>
      <c r="D85" s="191">
        <f>B85*C85</f>
        <v>178.5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20</v>
      </c>
      <c r="B86" s="193">
        <f>'Données projet'!D89</f>
        <v>43</v>
      </c>
      <c r="C86" s="204">
        <v>9</v>
      </c>
      <c r="D86" s="191">
        <f t="shared" ref="D86:D104" si="6">B86*C86</f>
        <v>387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25</v>
      </c>
      <c r="B87" s="193">
        <f>'Données projet'!D90</f>
        <v>44</v>
      </c>
      <c r="C87" s="204">
        <v>9</v>
      </c>
      <c r="D87" s="191">
        <f t="shared" si="6"/>
        <v>396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30</v>
      </c>
      <c r="B88" s="193">
        <f>'Données projet'!D91</f>
        <v>44</v>
      </c>
      <c r="C88" s="204">
        <v>9</v>
      </c>
      <c r="D88" s="191">
        <f t="shared" si="6"/>
        <v>396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35</v>
      </c>
      <c r="B89" s="193">
        <f>'Données projet'!D92</f>
        <v>42</v>
      </c>
      <c r="C89" s="204">
        <v>9</v>
      </c>
      <c r="D89" s="191">
        <f t="shared" si="6"/>
        <v>378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40</v>
      </c>
      <c r="B90" s="193">
        <f>'Données projet'!D93</f>
        <v>39</v>
      </c>
      <c r="C90" s="204">
        <v>30</v>
      </c>
      <c r="D90" s="191">
        <f t="shared" si="6"/>
        <v>1170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45</v>
      </c>
      <c r="B91" s="193">
        <f>'Données projet'!D94</f>
        <v>36</v>
      </c>
      <c r="C91" s="204">
        <v>30</v>
      </c>
      <c r="D91" s="191">
        <f t="shared" si="6"/>
        <v>1080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50</v>
      </c>
      <c r="B92" s="193">
        <f>'Données projet'!D95</f>
        <v>33</v>
      </c>
      <c r="C92" s="204">
        <v>30</v>
      </c>
      <c r="D92" s="191">
        <f t="shared" si="6"/>
        <v>990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55</v>
      </c>
      <c r="B93" s="193">
        <f>'Données projet'!D96</f>
        <v>29</v>
      </c>
      <c r="C93" s="204">
        <v>30</v>
      </c>
      <c r="D93" s="191">
        <f t="shared" si="6"/>
        <v>870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60</v>
      </c>
      <c r="B94" s="193">
        <f>'Données projet'!D97</f>
        <v>26</v>
      </c>
      <c r="C94" s="204">
        <v>46</v>
      </c>
      <c r="D94" s="191">
        <f t="shared" si="6"/>
        <v>1196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65</v>
      </c>
      <c r="B95" s="193">
        <f>'Données projet'!D98</f>
        <v>23</v>
      </c>
      <c r="C95" s="204">
        <v>46</v>
      </c>
      <c r="D95" s="191">
        <f t="shared" si="6"/>
        <v>1058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70</v>
      </c>
      <c r="B96" s="193">
        <f>'Données projet'!D99</f>
        <v>249</v>
      </c>
      <c r="C96" s="204">
        <v>46</v>
      </c>
      <c r="D96" s="191">
        <f t="shared" si="6"/>
        <v>11454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2021-12-15T21:33:17Z</dcterms:modified>
</cp:coreProperties>
</file>