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Palais des festivals\CNPF C+for n°51 Saint-Cézaire-sur-Siagne (Festival de Cannes n°1)\"/>
    </mc:Choice>
  </mc:AlternateContent>
  <bookViews>
    <workbookView xWindow="0" yWindow="0" windowWidth="28800" windowHeight="12624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4" i="1" l="1"/>
  <c r="D74" i="1" s="1"/>
  <c r="B73" i="1"/>
  <c r="B72" i="1"/>
  <c r="B71" i="1"/>
  <c r="B70" i="1"/>
  <c r="B69" i="1"/>
  <c r="B68" i="1"/>
  <c r="B48" i="1"/>
  <c r="D48" i="1" s="1"/>
  <c r="B47" i="1"/>
  <c r="B46" i="1"/>
  <c r="B45" i="1"/>
  <c r="B44" i="1"/>
  <c r="B43" i="1"/>
  <c r="B42" i="1"/>
  <c r="HG5" i="2" l="1"/>
  <c r="HG6" i="2" s="1"/>
  <c r="HG7" i="2" s="1"/>
  <c r="HG8" i="2" s="1"/>
  <c r="HG9" i="2" s="1"/>
  <c r="HG10" i="2" s="1"/>
  <c r="HG11" i="2" s="1"/>
  <c r="HG12" i="2" s="1"/>
  <c r="HG13" i="2" s="1"/>
  <c r="HG14" i="2" s="1"/>
  <c r="HG15" i="2" s="1"/>
  <c r="HG16" i="2" s="1"/>
  <c r="HG17" i="2" s="1"/>
  <c r="HG18" i="2" s="1"/>
  <c r="HG19" i="2" s="1"/>
  <c r="HG20" i="2" s="1"/>
  <c r="HG21" i="2" s="1"/>
  <c r="HG22" i="2" s="1"/>
  <c r="HG23" i="2" s="1"/>
  <c r="HG24" i="2" s="1"/>
  <c r="HG25" i="2" s="1"/>
  <c r="HG26" i="2" s="1"/>
  <c r="HG27" i="2" s="1"/>
  <c r="HG28" i="2" s="1"/>
  <c r="HG29" i="2" s="1"/>
  <c r="HG30" i="2" s="1"/>
  <c r="HG31" i="2" s="1"/>
  <c r="HG32" i="2" s="1"/>
  <c r="HG33" i="2" s="1"/>
  <c r="HG34" i="2" s="1"/>
  <c r="HG35" i="2" s="1"/>
  <c r="HG36" i="2" s="1"/>
  <c r="HG37" i="2" s="1"/>
  <c r="HG38" i="2" s="1"/>
  <c r="HG39" i="2" s="1"/>
  <c r="HG40" i="2" s="1"/>
  <c r="HG41" i="2" s="1"/>
  <c r="HG42" i="2" s="1"/>
  <c r="HG43" i="2" s="1"/>
  <c r="HG44" i="2" s="1"/>
  <c r="HG45" i="2" s="1"/>
  <c r="HG46" i="2" s="1"/>
  <c r="HG47" i="2" s="1"/>
  <c r="HG48" i="2" s="1"/>
  <c r="HG49" i="2" s="1"/>
  <c r="HG50" i="2" s="1"/>
  <c r="HG51" i="2" s="1"/>
  <c r="HG52" i="2" s="1"/>
  <c r="HG53" i="2" s="1"/>
  <c r="HG54" i="2" s="1"/>
  <c r="HG55" i="2" s="1"/>
  <c r="HG56" i="2" s="1"/>
  <c r="HG57" i="2" s="1"/>
  <c r="HG58" i="2" s="1"/>
  <c r="HG59" i="2" s="1"/>
  <c r="HG60" i="2" s="1"/>
  <c r="HG61" i="2" s="1"/>
  <c r="HG62" i="2" s="1"/>
  <c r="HG63" i="2" s="1"/>
  <c r="HG64" i="2" s="1"/>
  <c r="HG65" i="2" s="1"/>
  <c r="HG66" i="2" s="1"/>
  <c r="HG67" i="2" s="1"/>
  <c r="HG68" i="2" s="1"/>
  <c r="HG69" i="2" s="1"/>
  <c r="HG70" i="2" s="1"/>
  <c r="HG71" i="2" s="1"/>
  <c r="HG72" i="2" s="1"/>
  <c r="HG73" i="2" s="1"/>
  <c r="HG74" i="2" s="1"/>
  <c r="HG75" i="2" s="1"/>
  <c r="HG76" i="2" s="1"/>
  <c r="HG77" i="2" s="1"/>
  <c r="HG78" i="2" s="1"/>
  <c r="HG79" i="2" s="1"/>
  <c r="HG80" i="2" s="1"/>
  <c r="HG81" i="2" s="1"/>
  <c r="HG82" i="2" s="1"/>
  <c r="HG83" i="2" s="1"/>
  <c r="HG84" i="2" s="1"/>
  <c r="HG85" i="2" s="1"/>
  <c r="HG86" i="2" s="1"/>
  <c r="HG87" i="2" s="1"/>
  <c r="HG88" i="2" s="1"/>
  <c r="HG89" i="2" s="1"/>
  <c r="HG90" i="2" s="1"/>
  <c r="HG91" i="2" s="1"/>
  <c r="HG92" i="2" s="1"/>
  <c r="HG93" i="2" s="1"/>
  <c r="HG94" i="2" s="1"/>
  <c r="HG95" i="2" s="1"/>
  <c r="HG96" i="2" s="1"/>
  <c r="HG97" i="2" s="1"/>
  <c r="HG98" i="2" s="1"/>
  <c r="HG99" i="2" s="1"/>
  <c r="HG100" i="2" s="1"/>
  <c r="HG101" i="2" s="1"/>
  <c r="HG102" i="2" s="1"/>
  <c r="HG103" i="2" s="1"/>
  <c r="HG104" i="2" s="1"/>
  <c r="HG105" i="2" s="1"/>
  <c r="HG106" i="2" s="1"/>
  <c r="HG107" i="2" s="1"/>
  <c r="HG108" i="2" s="1"/>
  <c r="HG109" i="2" s="1"/>
  <c r="HG110" i="2" s="1"/>
  <c r="HG111" i="2" s="1"/>
  <c r="HG112" i="2" s="1"/>
  <c r="HG113" i="2" s="1"/>
  <c r="HG114" i="2" s="1"/>
  <c r="HG115" i="2" s="1"/>
  <c r="HG116" i="2" s="1"/>
  <c r="HG117" i="2" s="1"/>
  <c r="HG118" i="2" s="1"/>
  <c r="HG119" i="2" s="1"/>
  <c r="HG120" i="2" s="1"/>
  <c r="HG121" i="2" s="1"/>
  <c r="HG122" i="2" s="1"/>
  <c r="HG123" i="2" s="1"/>
  <c r="HG124" i="2" s="1"/>
  <c r="HG125" i="2" s="1"/>
  <c r="HG126" i="2" s="1"/>
  <c r="HG127" i="2" s="1"/>
  <c r="HG128" i="2" s="1"/>
  <c r="HG129" i="2" s="1"/>
  <c r="HG130" i="2" s="1"/>
  <c r="HG131" i="2" s="1"/>
  <c r="HG132" i="2" s="1"/>
  <c r="HG133" i="2" s="1"/>
  <c r="HG134" i="2" s="1"/>
  <c r="HG135" i="2" s="1"/>
  <c r="HG136" i="2" s="1"/>
  <c r="HG137" i="2" s="1"/>
  <c r="HG138" i="2" s="1"/>
  <c r="HG139" i="2" s="1"/>
  <c r="HG140" i="2" s="1"/>
  <c r="HG141" i="2" s="1"/>
  <c r="HG142" i="2" s="1"/>
  <c r="HG143" i="2" s="1"/>
  <c r="HG144" i="2" s="1"/>
  <c r="HG145" i="2" s="1"/>
  <c r="HG146" i="2" s="1"/>
  <c r="HG147" i="2" s="1"/>
  <c r="HG148" i="2" s="1"/>
  <c r="HG149" i="2" s="1"/>
  <c r="HG150" i="2" s="1"/>
  <c r="HG151" i="2" s="1"/>
  <c r="HG152" i="2" s="1"/>
  <c r="HG153" i="2" s="1"/>
  <c r="HG154" i="2" s="1"/>
  <c r="HG155" i="2" s="1"/>
  <c r="HG156" i="2" s="1"/>
  <c r="HG157" i="2" s="1"/>
  <c r="HG158" i="2" s="1"/>
  <c r="HG159" i="2" s="1"/>
  <c r="HG160" i="2" s="1"/>
  <c r="HG161" i="2" s="1"/>
  <c r="HG162" i="2" s="1"/>
  <c r="HG163" i="2" s="1"/>
  <c r="HG164" i="2" s="1"/>
  <c r="HG165" i="2" s="1"/>
  <c r="HG166" i="2" s="1"/>
  <c r="HG167" i="2" s="1"/>
  <c r="HG168" i="2" s="1"/>
  <c r="HG169" i="2" s="1"/>
  <c r="HG170" i="2" s="1"/>
  <c r="HG171" i="2" s="1"/>
  <c r="HG172" i="2" s="1"/>
  <c r="HG173" i="2" s="1"/>
  <c r="HG174" i="2" s="1"/>
  <c r="HG175" i="2" s="1"/>
  <c r="HG176" i="2" s="1"/>
  <c r="HG177" i="2" s="1"/>
  <c r="HG178" i="2" s="1"/>
  <c r="HG179" i="2" s="1"/>
  <c r="HG180" i="2" s="1"/>
  <c r="HG181" i="2" s="1"/>
  <c r="HG182" i="2" s="1"/>
  <c r="HG183" i="2" s="1"/>
  <c r="HG184" i="2" s="1"/>
  <c r="HG185" i="2" s="1"/>
  <c r="HG186" i="2" s="1"/>
  <c r="HG187" i="2" s="1"/>
  <c r="HG188" i="2" s="1"/>
  <c r="HG189" i="2" s="1"/>
  <c r="HG190" i="2" s="1"/>
  <c r="HG191" i="2" s="1"/>
  <c r="HG192" i="2" s="1"/>
  <c r="HG193" i="2" s="1"/>
  <c r="HG194" i="2" s="1"/>
  <c r="HG195" i="2" s="1"/>
  <c r="HG196" i="2" s="1"/>
  <c r="HG197" i="2" s="1"/>
  <c r="HG198" i="2" s="1"/>
  <c r="HG199" i="2" s="1"/>
  <c r="HG200" i="2" s="1"/>
  <c r="HG201" i="2" s="1"/>
  <c r="HG202" i="2" s="1"/>
  <c r="HG203" i="2" s="1"/>
  <c r="HH5" i="2"/>
  <c r="HH6" i="2" s="1"/>
  <c r="HH7" i="2" s="1"/>
  <c r="HH8" i="2" s="1"/>
  <c r="HH9" i="2" s="1"/>
  <c r="HH10" i="2" s="1"/>
  <c r="HH11" i="2" s="1"/>
  <c r="HH12" i="2" s="1"/>
  <c r="HH13" i="2" s="1"/>
  <c r="HH14" i="2" s="1"/>
  <c r="HH15" i="2" s="1"/>
  <c r="HH16" i="2" s="1"/>
  <c r="HH17" i="2" s="1"/>
  <c r="HH18" i="2" s="1"/>
  <c r="HH19" i="2" s="1"/>
  <c r="HH20" i="2" s="1"/>
  <c r="HH21" i="2" s="1"/>
  <c r="HH22" i="2" s="1"/>
  <c r="HH23" i="2" s="1"/>
  <c r="HH24" i="2" s="1"/>
  <c r="HH25" i="2" s="1"/>
  <c r="HH26" i="2" s="1"/>
  <c r="HH27" i="2" s="1"/>
  <c r="HH28" i="2" s="1"/>
  <c r="HH29" i="2" s="1"/>
  <c r="HH30" i="2" s="1"/>
  <c r="HH31" i="2" s="1"/>
  <c r="HH32" i="2" s="1"/>
  <c r="HH33" i="2" s="1"/>
  <c r="HH34" i="2" s="1"/>
  <c r="HH35" i="2" s="1"/>
  <c r="HH36" i="2" s="1"/>
  <c r="HH37" i="2" s="1"/>
  <c r="HH38" i="2" s="1"/>
  <c r="HH39" i="2" s="1"/>
  <c r="HH40" i="2" s="1"/>
  <c r="HH41" i="2" s="1"/>
  <c r="HH42" i="2" s="1"/>
  <c r="HH43" i="2" s="1"/>
  <c r="HH44" i="2" s="1"/>
  <c r="HH45" i="2" s="1"/>
  <c r="HH46" i="2" s="1"/>
  <c r="HH47" i="2" s="1"/>
  <c r="HH48" i="2" s="1"/>
  <c r="HH49" i="2" s="1"/>
  <c r="HH50" i="2" s="1"/>
  <c r="HH51" i="2" s="1"/>
  <c r="HH52" i="2" s="1"/>
  <c r="HH53" i="2" s="1"/>
  <c r="HH54" i="2" s="1"/>
  <c r="HH55" i="2" s="1"/>
  <c r="HH56" i="2" s="1"/>
  <c r="HH57" i="2" s="1"/>
  <c r="HH58" i="2" s="1"/>
  <c r="HH59" i="2" s="1"/>
  <c r="HH60" i="2" s="1"/>
  <c r="HH61" i="2" s="1"/>
  <c r="HH62" i="2" s="1"/>
  <c r="HH63" i="2" s="1"/>
  <c r="HH64" i="2" s="1"/>
  <c r="HH65" i="2" s="1"/>
  <c r="HH66" i="2" s="1"/>
  <c r="HH67" i="2" s="1"/>
  <c r="HH68" i="2" s="1"/>
  <c r="HH69" i="2" s="1"/>
  <c r="HH70" i="2" s="1"/>
  <c r="HH71" i="2" s="1"/>
  <c r="HH72" i="2" s="1"/>
  <c r="HH73" i="2" s="1"/>
  <c r="HH74" i="2" s="1"/>
  <c r="HH75" i="2" s="1"/>
  <c r="HH76" i="2" s="1"/>
  <c r="HH77" i="2" s="1"/>
  <c r="HH78" i="2" s="1"/>
  <c r="HH79" i="2" s="1"/>
  <c r="HH80" i="2" s="1"/>
  <c r="HH81" i="2" s="1"/>
  <c r="HH82" i="2" s="1"/>
  <c r="HH83" i="2" s="1"/>
  <c r="HH84" i="2" s="1"/>
  <c r="HH85" i="2" s="1"/>
  <c r="HH86" i="2" s="1"/>
  <c r="HH87" i="2" s="1"/>
  <c r="HH88" i="2" s="1"/>
  <c r="HH89" i="2" s="1"/>
  <c r="HH90" i="2" s="1"/>
  <c r="HH91" i="2" s="1"/>
  <c r="HH92" i="2" s="1"/>
  <c r="HH93" i="2" s="1"/>
  <c r="HH94" i="2" s="1"/>
  <c r="HH95" i="2" s="1"/>
  <c r="HH96" i="2" s="1"/>
  <c r="HH97" i="2" s="1"/>
  <c r="HH98" i="2" s="1"/>
  <c r="HH99" i="2" s="1"/>
  <c r="HH100" i="2" s="1"/>
  <c r="HH101" i="2" s="1"/>
  <c r="HH102" i="2" s="1"/>
  <c r="HH103" i="2" s="1"/>
  <c r="HH104" i="2" s="1"/>
  <c r="HH105" i="2" s="1"/>
  <c r="HH106" i="2" s="1"/>
  <c r="HH107" i="2" s="1"/>
  <c r="HH108" i="2" s="1"/>
  <c r="HH109" i="2" s="1"/>
  <c r="HH110" i="2" s="1"/>
  <c r="HH111" i="2" s="1"/>
  <c r="HH112" i="2" s="1"/>
  <c r="HH113" i="2" s="1"/>
  <c r="HH114" i="2" s="1"/>
  <c r="HH115" i="2" s="1"/>
  <c r="HH116" i="2" s="1"/>
  <c r="HH117" i="2" s="1"/>
  <c r="HH118" i="2" s="1"/>
  <c r="HH119" i="2" s="1"/>
  <c r="HH120" i="2" s="1"/>
  <c r="HH121" i="2" s="1"/>
  <c r="HH122" i="2" s="1"/>
  <c r="HH123" i="2" s="1"/>
  <c r="HH124" i="2" s="1"/>
  <c r="HH125" i="2" s="1"/>
  <c r="HH126" i="2" s="1"/>
  <c r="HH127" i="2" s="1"/>
  <c r="HH128" i="2" s="1"/>
  <c r="HH129" i="2" s="1"/>
  <c r="HH130" i="2" s="1"/>
  <c r="HH131" i="2" s="1"/>
  <c r="HH132" i="2" s="1"/>
  <c r="HH133" i="2" s="1"/>
  <c r="HH134" i="2" s="1"/>
  <c r="HH135" i="2" s="1"/>
  <c r="HH136" i="2" s="1"/>
  <c r="HH137" i="2" s="1"/>
  <c r="HH138" i="2" s="1"/>
  <c r="HH139" i="2" s="1"/>
  <c r="HH140" i="2" s="1"/>
  <c r="HH141" i="2" s="1"/>
  <c r="HH142" i="2" s="1"/>
  <c r="HH143" i="2" s="1"/>
  <c r="HH144" i="2" s="1"/>
  <c r="HH145" i="2" s="1"/>
  <c r="HH146" i="2" s="1"/>
  <c r="HH147" i="2" s="1"/>
  <c r="HH148" i="2" s="1"/>
  <c r="HH149" i="2" s="1"/>
  <c r="HH150" i="2" s="1"/>
  <c r="HH151" i="2" s="1"/>
  <c r="HH152" i="2" s="1"/>
  <c r="HH153" i="2" s="1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HI5" i="2"/>
  <c r="HI6" i="2" s="1"/>
  <c r="HI7" i="2" s="1"/>
  <c r="HI8" i="2" s="1"/>
  <c r="HI9" i="2" s="1"/>
  <c r="HI10" i="2" s="1"/>
  <c r="HI11" i="2" s="1"/>
  <c r="HI12" i="2" s="1"/>
  <c r="HI13" i="2" s="1"/>
  <c r="HI14" i="2" s="1"/>
  <c r="HI15" i="2" s="1"/>
  <c r="HI16" i="2" s="1"/>
  <c r="HI17" i="2" s="1"/>
  <c r="HI18" i="2" s="1"/>
  <c r="HI19" i="2" s="1"/>
  <c r="HI20" i="2" s="1"/>
  <c r="HI21" i="2" s="1"/>
  <c r="HI22" i="2" s="1"/>
  <c r="HI23" i="2" s="1"/>
  <c r="HI24" i="2" s="1"/>
  <c r="HI25" i="2" s="1"/>
  <c r="HI26" i="2" s="1"/>
  <c r="HI27" i="2" s="1"/>
  <c r="HI28" i="2" s="1"/>
  <c r="HI29" i="2" s="1"/>
  <c r="HI30" i="2" s="1"/>
  <c r="HI31" i="2" s="1"/>
  <c r="HI32" i="2" s="1"/>
  <c r="HI33" i="2" s="1"/>
  <c r="HI34" i="2" s="1"/>
  <c r="HI35" i="2" s="1"/>
  <c r="HI36" i="2" s="1"/>
  <c r="HI37" i="2" s="1"/>
  <c r="HI38" i="2" s="1"/>
  <c r="HI39" i="2" s="1"/>
  <c r="HI40" i="2" s="1"/>
  <c r="HI41" i="2" s="1"/>
  <c r="HI42" i="2" s="1"/>
  <c r="HI43" i="2" s="1"/>
  <c r="HI44" i="2" s="1"/>
  <c r="HI45" i="2" s="1"/>
  <c r="HI46" i="2" s="1"/>
  <c r="HI47" i="2" s="1"/>
  <c r="HI48" i="2" s="1"/>
  <c r="HI49" i="2" s="1"/>
  <c r="HI50" i="2" s="1"/>
  <c r="HI51" i="2" s="1"/>
  <c r="HI52" i="2" s="1"/>
  <c r="HI53" i="2" s="1"/>
  <c r="HI54" i="2" s="1"/>
  <c r="HI55" i="2" s="1"/>
  <c r="HI56" i="2" s="1"/>
  <c r="HI57" i="2" s="1"/>
  <c r="HI58" i="2" s="1"/>
  <c r="HI59" i="2" s="1"/>
  <c r="HI60" i="2" s="1"/>
  <c r="HI61" i="2" s="1"/>
  <c r="HI62" i="2" s="1"/>
  <c r="HI63" i="2" s="1"/>
  <c r="HI64" i="2" s="1"/>
  <c r="HI65" i="2" s="1"/>
  <c r="HI66" i="2" s="1"/>
  <c r="HI67" i="2" s="1"/>
  <c r="HI68" i="2" s="1"/>
  <c r="HI69" i="2" s="1"/>
  <c r="HI70" i="2" s="1"/>
  <c r="HI71" i="2" s="1"/>
  <c r="HI72" i="2" s="1"/>
  <c r="HI73" i="2" s="1"/>
  <c r="HI74" i="2" s="1"/>
  <c r="HI75" i="2" s="1"/>
  <c r="HI76" i="2" s="1"/>
  <c r="HI77" i="2" s="1"/>
  <c r="HI78" i="2" s="1"/>
  <c r="HI79" i="2" s="1"/>
  <c r="HI80" i="2" s="1"/>
  <c r="HI81" i="2" s="1"/>
  <c r="HI82" i="2" s="1"/>
  <c r="HI83" i="2" s="1"/>
  <c r="HI84" i="2" s="1"/>
  <c r="HI85" i="2" s="1"/>
  <c r="HI86" i="2" s="1"/>
  <c r="HI87" i="2" s="1"/>
  <c r="HI88" i="2" s="1"/>
  <c r="HI89" i="2" s="1"/>
  <c r="HI90" i="2" s="1"/>
  <c r="HI91" i="2" s="1"/>
  <c r="HI92" i="2" s="1"/>
  <c r="HI93" i="2" s="1"/>
  <c r="HI94" i="2" s="1"/>
  <c r="HI95" i="2" s="1"/>
  <c r="HI96" i="2" s="1"/>
  <c r="HI97" i="2" s="1"/>
  <c r="HI98" i="2" s="1"/>
  <c r="HI99" i="2" s="1"/>
  <c r="HI100" i="2" s="1"/>
  <c r="HI101" i="2" s="1"/>
  <c r="HI102" i="2" s="1"/>
  <c r="HI103" i="2" s="1"/>
  <c r="HI104" i="2" s="1"/>
  <c r="HI105" i="2" s="1"/>
  <c r="HI106" i="2" s="1"/>
  <c r="HI107" i="2" s="1"/>
  <c r="HI108" i="2" s="1"/>
  <c r="HI109" i="2" s="1"/>
  <c r="HI110" i="2" s="1"/>
  <c r="HI111" i="2" s="1"/>
  <c r="HI112" i="2" s="1"/>
  <c r="HI113" i="2" s="1"/>
  <c r="HI114" i="2" s="1"/>
  <c r="HI115" i="2" s="1"/>
  <c r="HI116" i="2" s="1"/>
  <c r="HI117" i="2" s="1"/>
  <c r="HI118" i="2" s="1"/>
  <c r="HI119" i="2" s="1"/>
  <c r="HI120" i="2" s="1"/>
  <c r="HI121" i="2" s="1"/>
  <c r="HI122" i="2" s="1"/>
  <c r="HI123" i="2" s="1"/>
  <c r="HI124" i="2" s="1"/>
  <c r="HI125" i="2" s="1"/>
  <c r="HI126" i="2" s="1"/>
  <c r="HI127" i="2" s="1"/>
  <c r="HI128" i="2" s="1"/>
  <c r="HI129" i="2" s="1"/>
  <c r="HI130" i="2" s="1"/>
  <c r="HI131" i="2" s="1"/>
  <c r="HI132" i="2" s="1"/>
  <c r="HI133" i="2" s="1"/>
  <c r="HI134" i="2" s="1"/>
  <c r="HI135" i="2" s="1"/>
  <c r="HI136" i="2" s="1"/>
  <c r="HI137" i="2" s="1"/>
  <c r="HI138" i="2" s="1"/>
  <c r="HI139" i="2" s="1"/>
  <c r="HI140" i="2" s="1"/>
  <c r="HI141" i="2" s="1"/>
  <c r="HI142" i="2" s="1"/>
  <c r="HI143" i="2" s="1"/>
  <c r="HI144" i="2" s="1"/>
  <c r="HI145" i="2" s="1"/>
  <c r="HI146" i="2" s="1"/>
  <c r="HI147" i="2" s="1"/>
  <c r="HI148" i="2" s="1"/>
  <c r="HI149" i="2" s="1"/>
  <c r="HI150" i="2" s="1"/>
  <c r="HI151" i="2" s="1"/>
  <c r="HI152" i="2" s="1"/>
  <c r="HI153" i="2" s="1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HI4" i="2"/>
  <c r="HH4" i="2"/>
  <c r="HG4" i="2"/>
  <c r="GL5" i="2"/>
  <c r="GL6" i="2" s="1"/>
  <c r="GL7" i="2" s="1"/>
  <c r="GL8" i="2" s="1"/>
  <c r="GL9" i="2" s="1"/>
  <c r="GL10" i="2" s="1"/>
  <c r="GL11" i="2" s="1"/>
  <c r="GL12" i="2" s="1"/>
  <c r="GL13" i="2" s="1"/>
  <c r="GL14" i="2" s="1"/>
  <c r="GL15" i="2" s="1"/>
  <c r="GL16" i="2" s="1"/>
  <c r="GL17" i="2" s="1"/>
  <c r="GL18" i="2" s="1"/>
  <c r="GL19" i="2" s="1"/>
  <c r="GL20" i="2" s="1"/>
  <c r="GL21" i="2" s="1"/>
  <c r="GL22" i="2" s="1"/>
  <c r="GL23" i="2" s="1"/>
  <c r="GL24" i="2" s="1"/>
  <c r="GL25" i="2" s="1"/>
  <c r="GL26" i="2" s="1"/>
  <c r="GL27" i="2" s="1"/>
  <c r="GL28" i="2" s="1"/>
  <c r="GL29" i="2" s="1"/>
  <c r="GL30" i="2" s="1"/>
  <c r="GL31" i="2" s="1"/>
  <c r="GL32" i="2" s="1"/>
  <c r="GL33" i="2" s="1"/>
  <c r="GL34" i="2" s="1"/>
  <c r="GL35" i="2" s="1"/>
  <c r="GL36" i="2" s="1"/>
  <c r="GL37" i="2" s="1"/>
  <c r="GL38" i="2" s="1"/>
  <c r="GL39" i="2" s="1"/>
  <c r="GL40" i="2" s="1"/>
  <c r="GL41" i="2" s="1"/>
  <c r="GL42" i="2" s="1"/>
  <c r="GL43" i="2" s="1"/>
  <c r="GL44" i="2" s="1"/>
  <c r="GL45" i="2" s="1"/>
  <c r="GL46" i="2" s="1"/>
  <c r="GL47" i="2" s="1"/>
  <c r="GL48" i="2" s="1"/>
  <c r="GL49" i="2" s="1"/>
  <c r="GL50" i="2" s="1"/>
  <c r="GL51" i="2" s="1"/>
  <c r="GL52" i="2" s="1"/>
  <c r="GL53" i="2" s="1"/>
  <c r="GL54" i="2" s="1"/>
  <c r="GL55" i="2" s="1"/>
  <c r="GL56" i="2" s="1"/>
  <c r="GL57" i="2" s="1"/>
  <c r="GL58" i="2" s="1"/>
  <c r="GL59" i="2" s="1"/>
  <c r="GL60" i="2" s="1"/>
  <c r="GL61" i="2" s="1"/>
  <c r="GL62" i="2" s="1"/>
  <c r="GL63" i="2" s="1"/>
  <c r="GL64" i="2" s="1"/>
  <c r="GL65" i="2" s="1"/>
  <c r="GL66" i="2" s="1"/>
  <c r="GL67" i="2" s="1"/>
  <c r="GL68" i="2" s="1"/>
  <c r="GL69" i="2" s="1"/>
  <c r="GL70" i="2" s="1"/>
  <c r="GL71" i="2" s="1"/>
  <c r="GL72" i="2" s="1"/>
  <c r="GL73" i="2" s="1"/>
  <c r="GL74" i="2" s="1"/>
  <c r="GL75" i="2" s="1"/>
  <c r="GL76" i="2" s="1"/>
  <c r="GL77" i="2" s="1"/>
  <c r="GL78" i="2" s="1"/>
  <c r="GL79" i="2" s="1"/>
  <c r="GL80" i="2" s="1"/>
  <c r="GL81" i="2" s="1"/>
  <c r="GL82" i="2" s="1"/>
  <c r="GL83" i="2" s="1"/>
  <c r="GL84" i="2" s="1"/>
  <c r="GL85" i="2" s="1"/>
  <c r="GL86" i="2" s="1"/>
  <c r="GL87" i="2" s="1"/>
  <c r="GL88" i="2" s="1"/>
  <c r="GL89" i="2" s="1"/>
  <c r="GL90" i="2" s="1"/>
  <c r="GL91" i="2" s="1"/>
  <c r="GL92" i="2" s="1"/>
  <c r="GL93" i="2" s="1"/>
  <c r="GL94" i="2" s="1"/>
  <c r="GL95" i="2" s="1"/>
  <c r="GL96" i="2" s="1"/>
  <c r="GL97" i="2" s="1"/>
  <c r="GL98" i="2" s="1"/>
  <c r="GL99" i="2" s="1"/>
  <c r="GL100" i="2" s="1"/>
  <c r="GL101" i="2" s="1"/>
  <c r="GL102" i="2" s="1"/>
  <c r="GL103" i="2" s="1"/>
  <c r="GL104" i="2" s="1"/>
  <c r="GL105" i="2" s="1"/>
  <c r="GL106" i="2" s="1"/>
  <c r="GL107" i="2" s="1"/>
  <c r="GL108" i="2" s="1"/>
  <c r="GL109" i="2" s="1"/>
  <c r="GL110" i="2" s="1"/>
  <c r="GL111" i="2" s="1"/>
  <c r="GL112" i="2" s="1"/>
  <c r="GL113" i="2" s="1"/>
  <c r="GL114" i="2" s="1"/>
  <c r="GL115" i="2" s="1"/>
  <c r="GL116" i="2" s="1"/>
  <c r="GL117" i="2" s="1"/>
  <c r="GL118" i="2" s="1"/>
  <c r="GL119" i="2" s="1"/>
  <c r="GL120" i="2" s="1"/>
  <c r="GL121" i="2" s="1"/>
  <c r="GL122" i="2" s="1"/>
  <c r="GL123" i="2" s="1"/>
  <c r="GL124" i="2" s="1"/>
  <c r="GL125" i="2" s="1"/>
  <c r="GL126" i="2" s="1"/>
  <c r="GL127" i="2" s="1"/>
  <c r="GL128" i="2" s="1"/>
  <c r="GL129" i="2" s="1"/>
  <c r="GL130" i="2" s="1"/>
  <c r="GL131" i="2" s="1"/>
  <c r="GL132" i="2" s="1"/>
  <c r="GL133" i="2" s="1"/>
  <c r="GL134" i="2" s="1"/>
  <c r="GL135" i="2" s="1"/>
  <c r="GL136" i="2" s="1"/>
  <c r="GL137" i="2" s="1"/>
  <c r="GL138" i="2" s="1"/>
  <c r="GL139" i="2" s="1"/>
  <c r="GL140" i="2" s="1"/>
  <c r="GL141" i="2" s="1"/>
  <c r="GL142" i="2" s="1"/>
  <c r="GL143" i="2" s="1"/>
  <c r="GL144" i="2" s="1"/>
  <c r="GL145" i="2" s="1"/>
  <c r="GL146" i="2" s="1"/>
  <c r="GL147" i="2" s="1"/>
  <c r="GL148" i="2" s="1"/>
  <c r="GL149" i="2" s="1"/>
  <c r="GL150" i="2" s="1"/>
  <c r="GL151" i="2" s="1"/>
  <c r="GL152" i="2" s="1"/>
  <c r="GL153" i="2" s="1"/>
  <c r="GL154" i="2" s="1"/>
  <c r="GL155" i="2" s="1"/>
  <c r="GL156" i="2" s="1"/>
  <c r="GL157" i="2" s="1"/>
  <c r="GL158" i="2" s="1"/>
  <c r="GL159" i="2" s="1"/>
  <c r="GL160" i="2" s="1"/>
  <c r="GL161" i="2" s="1"/>
  <c r="GL162" i="2" s="1"/>
  <c r="GL163" i="2" s="1"/>
  <c r="GL164" i="2" s="1"/>
  <c r="GL165" i="2" s="1"/>
  <c r="GL166" i="2" s="1"/>
  <c r="GL167" i="2" s="1"/>
  <c r="GL168" i="2" s="1"/>
  <c r="GL169" i="2" s="1"/>
  <c r="GL170" i="2" s="1"/>
  <c r="GL171" i="2" s="1"/>
  <c r="GL172" i="2" s="1"/>
  <c r="GL173" i="2" s="1"/>
  <c r="GL174" i="2" s="1"/>
  <c r="GL175" i="2" s="1"/>
  <c r="GL176" i="2" s="1"/>
  <c r="GL177" i="2" s="1"/>
  <c r="GL178" i="2" s="1"/>
  <c r="GL179" i="2" s="1"/>
  <c r="GL180" i="2" s="1"/>
  <c r="GL181" i="2" s="1"/>
  <c r="GL182" i="2" s="1"/>
  <c r="GL183" i="2" s="1"/>
  <c r="GL184" i="2" s="1"/>
  <c r="GL185" i="2" s="1"/>
  <c r="GL186" i="2" s="1"/>
  <c r="GL187" i="2" s="1"/>
  <c r="GL188" i="2" s="1"/>
  <c r="GL189" i="2" s="1"/>
  <c r="GL190" i="2" s="1"/>
  <c r="GL191" i="2" s="1"/>
  <c r="GL192" i="2" s="1"/>
  <c r="GL193" i="2" s="1"/>
  <c r="GL194" i="2" s="1"/>
  <c r="GL195" i="2" s="1"/>
  <c r="GL196" i="2" s="1"/>
  <c r="GL197" i="2" s="1"/>
  <c r="GL198" i="2" s="1"/>
  <c r="GL199" i="2" s="1"/>
  <c r="GL200" i="2" s="1"/>
  <c r="GL201" i="2" s="1"/>
  <c r="GL202" i="2" s="1"/>
  <c r="GL203" i="2" s="1"/>
  <c r="GM5" i="2"/>
  <c r="GM6" i="2" s="1"/>
  <c r="GM7" i="2" s="1"/>
  <c r="GM8" i="2" s="1"/>
  <c r="GM9" i="2" s="1"/>
  <c r="GM10" i="2" s="1"/>
  <c r="GM11" i="2" s="1"/>
  <c r="GM12" i="2" s="1"/>
  <c r="GM13" i="2" s="1"/>
  <c r="GM14" i="2" s="1"/>
  <c r="GM15" i="2" s="1"/>
  <c r="GM16" i="2" s="1"/>
  <c r="GM17" i="2" s="1"/>
  <c r="GM18" i="2" s="1"/>
  <c r="GM19" i="2" s="1"/>
  <c r="GM20" i="2" s="1"/>
  <c r="GM21" i="2" s="1"/>
  <c r="GM22" i="2" s="1"/>
  <c r="GM23" i="2" s="1"/>
  <c r="GM24" i="2" s="1"/>
  <c r="GM25" i="2" s="1"/>
  <c r="GM26" i="2" s="1"/>
  <c r="GM27" i="2" s="1"/>
  <c r="GM28" i="2" s="1"/>
  <c r="GM29" i="2" s="1"/>
  <c r="GM30" i="2" s="1"/>
  <c r="GM31" i="2" s="1"/>
  <c r="GM32" i="2" s="1"/>
  <c r="GM33" i="2" s="1"/>
  <c r="GM34" i="2" s="1"/>
  <c r="GM35" i="2" s="1"/>
  <c r="GM36" i="2" s="1"/>
  <c r="GM37" i="2" s="1"/>
  <c r="GM38" i="2" s="1"/>
  <c r="GM39" i="2" s="1"/>
  <c r="GM40" i="2" s="1"/>
  <c r="GM41" i="2" s="1"/>
  <c r="GM42" i="2" s="1"/>
  <c r="GM43" i="2" s="1"/>
  <c r="GM44" i="2" s="1"/>
  <c r="GM45" i="2" s="1"/>
  <c r="GM46" i="2" s="1"/>
  <c r="GM47" i="2" s="1"/>
  <c r="GM48" i="2" s="1"/>
  <c r="GM49" i="2" s="1"/>
  <c r="GM50" i="2" s="1"/>
  <c r="GM51" i="2" s="1"/>
  <c r="GM52" i="2" s="1"/>
  <c r="GM53" i="2" s="1"/>
  <c r="GM54" i="2" s="1"/>
  <c r="GM55" i="2" s="1"/>
  <c r="GM56" i="2" s="1"/>
  <c r="GM57" i="2" s="1"/>
  <c r="GM58" i="2" s="1"/>
  <c r="GM59" i="2" s="1"/>
  <c r="GM60" i="2" s="1"/>
  <c r="GM61" i="2" s="1"/>
  <c r="GM62" i="2" s="1"/>
  <c r="GM63" i="2" s="1"/>
  <c r="GM64" i="2" s="1"/>
  <c r="GM65" i="2" s="1"/>
  <c r="GM66" i="2" s="1"/>
  <c r="GM67" i="2" s="1"/>
  <c r="GM68" i="2" s="1"/>
  <c r="GM69" i="2" s="1"/>
  <c r="GM70" i="2" s="1"/>
  <c r="GM71" i="2" s="1"/>
  <c r="GM72" i="2" s="1"/>
  <c r="GM73" i="2" s="1"/>
  <c r="GM74" i="2" s="1"/>
  <c r="GM75" i="2" s="1"/>
  <c r="GM76" i="2" s="1"/>
  <c r="GM77" i="2" s="1"/>
  <c r="GM78" i="2" s="1"/>
  <c r="GM79" i="2" s="1"/>
  <c r="GM80" i="2" s="1"/>
  <c r="GM81" i="2" s="1"/>
  <c r="GM82" i="2" s="1"/>
  <c r="GM83" i="2" s="1"/>
  <c r="GM84" i="2" s="1"/>
  <c r="GM85" i="2" s="1"/>
  <c r="GM86" i="2" s="1"/>
  <c r="GM87" i="2" s="1"/>
  <c r="GM88" i="2" s="1"/>
  <c r="GM89" i="2" s="1"/>
  <c r="GM90" i="2" s="1"/>
  <c r="GM91" i="2" s="1"/>
  <c r="GM92" i="2" s="1"/>
  <c r="GM93" i="2" s="1"/>
  <c r="GM94" i="2" s="1"/>
  <c r="GM95" i="2" s="1"/>
  <c r="GM96" i="2" s="1"/>
  <c r="GM97" i="2" s="1"/>
  <c r="GM98" i="2" s="1"/>
  <c r="GM99" i="2" s="1"/>
  <c r="GM100" i="2" s="1"/>
  <c r="GM101" i="2" s="1"/>
  <c r="GM102" i="2" s="1"/>
  <c r="GM103" i="2" s="1"/>
  <c r="GM104" i="2" s="1"/>
  <c r="GM105" i="2" s="1"/>
  <c r="GM106" i="2" s="1"/>
  <c r="GM107" i="2" s="1"/>
  <c r="GM108" i="2" s="1"/>
  <c r="GM109" i="2" s="1"/>
  <c r="GM110" i="2" s="1"/>
  <c r="GM111" i="2" s="1"/>
  <c r="GM112" i="2" s="1"/>
  <c r="GM113" i="2" s="1"/>
  <c r="GM114" i="2" s="1"/>
  <c r="GM115" i="2" s="1"/>
  <c r="GM116" i="2" s="1"/>
  <c r="GM117" i="2" s="1"/>
  <c r="GM118" i="2" s="1"/>
  <c r="GM119" i="2" s="1"/>
  <c r="GM120" i="2" s="1"/>
  <c r="GM121" i="2" s="1"/>
  <c r="GM122" i="2" s="1"/>
  <c r="GM123" i="2" s="1"/>
  <c r="GM124" i="2" s="1"/>
  <c r="GM125" i="2" s="1"/>
  <c r="GM126" i="2" s="1"/>
  <c r="GM127" i="2" s="1"/>
  <c r="GM128" i="2" s="1"/>
  <c r="GM129" i="2" s="1"/>
  <c r="GM130" i="2" s="1"/>
  <c r="GM131" i="2" s="1"/>
  <c r="GM132" i="2" s="1"/>
  <c r="GM133" i="2" s="1"/>
  <c r="GM134" i="2" s="1"/>
  <c r="GM135" i="2" s="1"/>
  <c r="GM136" i="2" s="1"/>
  <c r="GM137" i="2" s="1"/>
  <c r="GM138" i="2" s="1"/>
  <c r="GM139" i="2" s="1"/>
  <c r="GM140" i="2" s="1"/>
  <c r="GM141" i="2" s="1"/>
  <c r="GM142" i="2" s="1"/>
  <c r="GM143" i="2" s="1"/>
  <c r="GM144" i="2" s="1"/>
  <c r="GM145" i="2" s="1"/>
  <c r="GM146" i="2" s="1"/>
  <c r="GM147" i="2" s="1"/>
  <c r="GM148" i="2" s="1"/>
  <c r="GM149" i="2" s="1"/>
  <c r="GM150" i="2" s="1"/>
  <c r="GM151" i="2" s="1"/>
  <c r="GM152" i="2" s="1"/>
  <c r="GM153" i="2" s="1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GN5" i="2"/>
  <c r="GN6" i="2"/>
  <c r="GN7" i="2" s="1"/>
  <c r="GN8" i="2" s="1"/>
  <c r="GN9" i="2" s="1"/>
  <c r="GN10" i="2" s="1"/>
  <c r="GN11" i="2" s="1"/>
  <c r="GN12" i="2" s="1"/>
  <c r="GN13" i="2" s="1"/>
  <c r="GN14" i="2" s="1"/>
  <c r="GN15" i="2" s="1"/>
  <c r="GN16" i="2" s="1"/>
  <c r="GN17" i="2" s="1"/>
  <c r="GN18" i="2" s="1"/>
  <c r="GN19" i="2" s="1"/>
  <c r="GN20" i="2" s="1"/>
  <c r="GN21" i="2" s="1"/>
  <c r="GN22" i="2" s="1"/>
  <c r="GN23" i="2" s="1"/>
  <c r="GN24" i="2" s="1"/>
  <c r="GN25" i="2" s="1"/>
  <c r="GN26" i="2" s="1"/>
  <c r="GN27" i="2" s="1"/>
  <c r="GN28" i="2" s="1"/>
  <c r="GN29" i="2" s="1"/>
  <c r="GN30" i="2" s="1"/>
  <c r="GN31" i="2" s="1"/>
  <c r="GN32" i="2" s="1"/>
  <c r="GN33" i="2" s="1"/>
  <c r="GN34" i="2" s="1"/>
  <c r="GN35" i="2" s="1"/>
  <c r="GN36" i="2" s="1"/>
  <c r="GN37" i="2" s="1"/>
  <c r="GN38" i="2" s="1"/>
  <c r="GN39" i="2" s="1"/>
  <c r="GN40" i="2" s="1"/>
  <c r="GN41" i="2" s="1"/>
  <c r="GN42" i="2" s="1"/>
  <c r="GN43" i="2" s="1"/>
  <c r="GN44" i="2" s="1"/>
  <c r="GN45" i="2" s="1"/>
  <c r="GN46" i="2" s="1"/>
  <c r="GN47" i="2" s="1"/>
  <c r="GN48" i="2" s="1"/>
  <c r="GN49" i="2" s="1"/>
  <c r="GN50" i="2" s="1"/>
  <c r="GN51" i="2" s="1"/>
  <c r="GN52" i="2" s="1"/>
  <c r="GN53" i="2" s="1"/>
  <c r="GN54" i="2" s="1"/>
  <c r="GN55" i="2" s="1"/>
  <c r="GN56" i="2" s="1"/>
  <c r="GN57" i="2" s="1"/>
  <c r="GN58" i="2" s="1"/>
  <c r="GN59" i="2" s="1"/>
  <c r="GN60" i="2" s="1"/>
  <c r="GN61" i="2" s="1"/>
  <c r="GN62" i="2" s="1"/>
  <c r="GN63" i="2" s="1"/>
  <c r="GN64" i="2" s="1"/>
  <c r="GN65" i="2" s="1"/>
  <c r="GN66" i="2" s="1"/>
  <c r="GN67" i="2" s="1"/>
  <c r="GN68" i="2" s="1"/>
  <c r="GN69" i="2" s="1"/>
  <c r="GN70" i="2" s="1"/>
  <c r="GN71" i="2" s="1"/>
  <c r="GN72" i="2" s="1"/>
  <c r="GN73" i="2" s="1"/>
  <c r="GN74" i="2" s="1"/>
  <c r="GN75" i="2" s="1"/>
  <c r="GN76" i="2" s="1"/>
  <c r="GN77" i="2" s="1"/>
  <c r="GN78" i="2" s="1"/>
  <c r="GN79" i="2" s="1"/>
  <c r="GN80" i="2" s="1"/>
  <c r="GN81" i="2" s="1"/>
  <c r="GN82" i="2" s="1"/>
  <c r="GN83" i="2" s="1"/>
  <c r="GN84" i="2" s="1"/>
  <c r="GN85" i="2" s="1"/>
  <c r="GN86" i="2" s="1"/>
  <c r="GN87" i="2" s="1"/>
  <c r="GN88" i="2" s="1"/>
  <c r="GN89" i="2" s="1"/>
  <c r="GN90" i="2" s="1"/>
  <c r="GN91" i="2" s="1"/>
  <c r="GN92" i="2" s="1"/>
  <c r="GN93" i="2" s="1"/>
  <c r="GN94" i="2" s="1"/>
  <c r="GN95" i="2" s="1"/>
  <c r="GN96" i="2" s="1"/>
  <c r="GN97" i="2" s="1"/>
  <c r="GN98" i="2" s="1"/>
  <c r="GN99" i="2" s="1"/>
  <c r="GN100" i="2" s="1"/>
  <c r="GN101" i="2" s="1"/>
  <c r="GN102" i="2" s="1"/>
  <c r="GN103" i="2" s="1"/>
  <c r="GN104" i="2" s="1"/>
  <c r="GN105" i="2" s="1"/>
  <c r="GN106" i="2" s="1"/>
  <c r="GN107" i="2" s="1"/>
  <c r="GN108" i="2" s="1"/>
  <c r="GN109" i="2" s="1"/>
  <c r="GN110" i="2" s="1"/>
  <c r="GN111" i="2" s="1"/>
  <c r="GN112" i="2" s="1"/>
  <c r="GN113" i="2" s="1"/>
  <c r="GN114" i="2" s="1"/>
  <c r="GN115" i="2" s="1"/>
  <c r="GN116" i="2" s="1"/>
  <c r="GN117" i="2" s="1"/>
  <c r="GN118" i="2" s="1"/>
  <c r="GN119" i="2" s="1"/>
  <c r="GN120" i="2" s="1"/>
  <c r="GN121" i="2" s="1"/>
  <c r="GN122" i="2" s="1"/>
  <c r="GN123" i="2" s="1"/>
  <c r="GN124" i="2" s="1"/>
  <c r="GN125" i="2" s="1"/>
  <c r="GN126" i="2" s="1"/>
  <c r="GN127" i="2" s="1"/>
  <c r="GN128" i="2" s="1"/>
  <c r="GN129" i="2" s="1"/>
  <c r="GN130" i="2" s="1"/>
  <c r="GN131" i="2" s="1"/>
  <c r="GN132" i="2" s="1"/>
  <c r="GN133" i="2" s="1"/>
  <c r="GN134" i="2" s="1"/>
  <c r="GN135" i="2" s="1"/>
  <c r="GN136" i="2" s="1"/>
  <c r="GN137" i="2" s="1"/>
  <c r="GN138" i="2" s="1"/>
  <c r="GN139" i="2" s="1"/>
  <c r="GN140" i="2" s="1"/>
  <c r="GN141" i="2" s="1"/>
  <c r="GN142" i="2" s="1"/>
  <c r="GN143" i="2" s="1"/>
  <c r="GN144" i="2" s="1"/>
  <c r="GN145" i="2" s="1"/>
  <c r="GN146" i="2" s="1"/>
  <c r="GN147" i="2" s="1"/>
  <c r="GN148" i="2" s="1"/>
  <c r="GN149" i="2" s="1"/>
  <c r="GN150" i="2" s="1"/>
  <c r="GN151" i="2" s="1"/>
  <c r="GN152" i="2" s="1"/>
  <c r="GN153" i="2" s="1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N4" i="2"/>
  <c r="GM4" i="2"/>
  <c r="GL4" i="2"/>
  <c r="FQ5" i="2"/>
  <c r="FQ6" i="2" s="1"/>
  <c r="FQ7" i="2" s="1"/>
  <c r="FQ8" i="2" s="1"/>
  <c r="FQ9" i="2" s="1"/>
  <c r="FQ10" i="2" s="1"/>
  <c r="FQ11" i="2" s="1"/>
  <c r="FQ12" i="2" s="1"/>
  <c r="FQ13" i="2" s="1"/>
  <c r="FQ14" i="2" s="1"/>
  <c r="FQ15" i="2" s="1"/>
  <c r="FQ16" i="2" s="1"/>
  <c r="FQ17" i="2" s="1"/>
  <c r="FQ18" i="2" s="1"/>
  <c r="FQ19" i="2" s="1"/>
  <c r="FQ20" i="2" s="1"/>
  <c r="FQ21" i="2" s="1"/>
  <c r="FQ22" i="2" s="1"/>
  <c r="FQ23" i="2" s="1"/>
  <c r="FQ24" i="2" s="1"/>
  <c r="FQ25" i="2" s="1"/>
  <c r="FQ26" i="2" s="1"/>
  <c r="FQ27" i="2" s="1"/>
  <c r="FQ28" i="2" s="1"/>
  <c r="FQ29" i="2" s="1"/>
  <c r="FQ30" i="2" s="1"/>
  <c r="FQ31" i="2" s="1"/>
  <c r="FQ32" i="2" s="1"/>
  <c r="FQ33" i="2" s="1"/>
  <c r="FQ34" i="2" s="1"/>
  <c r="FQ35" i="2" s="1"/>
  <c r="FQ36" i="2" s="1"/>
  <c r="FQ37" i="2" s="1"/>
  <c r="FQ38" i="2" s="1"/>
  <c r="FQ39" i="2" s="1"/>
  <c r="FQ40" i="2" s="1"/>
  <c r="FQ41" i="2" s="1"/>
  <c r="FQ42" i="2" s="1"/>
  <c r="FQ43" i="2" s="1"/>
  <c r="FQ44" i="2" s="1"/>
  <c r="FQ45" i="2" s="1"/>
  <c r="FQ46" i="2" s="1"/>
  <c r="FQ47" i="2" s="1"/>
  <c r="FQ48" i="2" s="1"/>
  <c r="FQ49" i="2" s="1"/>
  <c r="FQ50" i="2" s="1"/>
  <c r="FQ51" i="2" s="1"/>
  <c r="FQ52" i="2" s="1"/>
  <c r="FQ53" i="2" s="1"/>
  <c r="FQ54" i="2" s="1"/>
  <c r="FQ55" i="2" s="1"/>
  <c r="FQ56" i="2" s="1"/>
  <c r="FQ57" i="2" s="1"/>
  <c r="FQ58" i="2" s="1"/>
  <c r="FQ59" i="2" s="1"/>
  <c r="FQ60" i="2" s="1"/>
  <c r="FQ61" i="2" s="1"/>
  <c r="FQ62" i="2" s="1"/>
  <c r="FQ63" i="2" s="1"/>
  <c r="FQ64" i="2" s="1"/>
  <c r="FQ65" i="2" s="1"/>
  <c r="FQ66" i="2" s="1"/>
  <c r="FQ67" i="2" s="1"/>
  <c r="FQ68" i="2" s="1"/>
  <c r="FQ69" i="2" s="1"/>
  <c r="FQ70" i="2" s="1"/>
  <c r="FQ71" i="2" s="1"/>
  <c r="FQ72" i="2" s="1"/>
  <c r="FQ73" i="2" s="1"/>
  <c r="FQ74" i="2" s="1"/>
  <c r="FQ75" i="2" s="1"/>
  <c r="FQ76" i="2" s="1"/>
  <c r="FQ77" i="2" s="1"/>
  <c r="FQ78" i="2" s="1"/>
  <c r="FQ79" i="2" s="1"/>
  <c r="FQ80" i="2" s="1"/>
  <c r="FQ81" i="2" s="1"/>
  <c r="FQ82" i="2" s="1"/>
  <c r="FQ83" i="2" s="1"/>
  <c r="FQ84" i="2" s="1"/>
  <c r="FQ85" i="2" s="1"/>
  <c r="FQ86" i="2" s="1"/>
  <c r="FQ87" i="2" s="1"/>
  <c r="FQ88" i="2" s="1"/>
  <c r="FQ89" i="2" s="1"/>
  <c r="FQ90" i="2" s="1"/>
  <c r="FQ91" i="2" s="1"/>
  <c r="FQ92" i="2" s="1"/>
  <c r="FQ93" i="2" s="1"/>
  <c r="FQ94" i="2" s="1"/>
  <c r="FQ95" i="2" s="1"/>
  <c r="FQ96" i="2" s="1"/>
  <c r="FQ97" i="2" s="1"/>
  <c r="FQ98" i="2" s="1"/>
  <c r="FQ99" i="2" s="1"/>
  <c r="FQ100" i="2" s="1"/>
  <c r="FQ101" i="2" s="1"/>
  <c r="FQ102" i="2" s="1"/>
  <c r="FQ103" i="2" s="1"/>
  <c r="FQ104" i="2" s="1"/>
  <c r="FQ105" i="2" s="1"/>
  <c r="FQ106" i="2" s="1"/>
  <c r="FQ107" i="2" s="1"/>
  <c r="FQ108" i="2" s="1"/>
  <c r="FQ109" i="2" s="1"/>
  <c r="FQ110" i="2" s="1"/>
  <c r="FQ111" i="2" s="1"/>
  <c r="FQ112" i="2" s="1"/>
  <c r="FQ113" i="2" s="1"/>
  <c r="FQ114" i="2" s="1"/>
  <c r="FQ115" i="2" s="1"/>
  <c r="FQ116" i="2" s="1"/>
  <c r="FQ117" i="2" s="1"/>
  <c r="FQ118" i="2" s="1"/>
  <c r="FQ119" i="2" s="1"/>
  <c r="FQ120" i="2" s="1"/>
  <c r="FQ121" i="2" s="1"/>
  <c r="FQ122" i="2" s="1"/>
  <c r="FQ123" i="2" s="1"/>
  <c r="FQ124" i="2" s="1"/>
  <c r="FQ125" i="2" s="1"/>
  <c r="FQ126" i="2" s="1"/>
  <c r="FQ127" i="2" s="1"/>
  <c r="FQ128" i="2" s="1"/>
  <c r="FQ129" i="2" s="1"/>
  <c r="FQ130" i="2" s="1"/>
  <c r="FQ131" i="2" s="1"/>
  <c r="FQ132" i="2" s="1"/>
  <c r="FQ133" i="2" s="1"/>
  <c r="FQ134" i="2" s="1"/>
  <c r="FQ135" i="2" s="1"/>
  <c r="FQ136" i="2" s="1"/>
  <c r="FQ137" i="2" s="1"/>
  <c r="FQ138" i="2" s="1"/>
  <c r="FQ139" i="2" s="1"/>
  <c r="FQ140" i="2" s="1"/>
  <c r="FQ141" i="2" s="1"/>
  <c r="FQ142" i="2" s="1"/>
  <c r="FQ143" i="2" s="1"/>
  <c r="FQ144" i="2" s="1"/>
  <c r="FQ145" i="2" s="1"/>
  <c r="FQ146" i="2" s="1"/>
  <c r="FQ147" i="2" s="1"/>
  <c r="FQ148" i="2" s="1"/>
  <c r="FQ149" i="2" s="1"/>
  <c r="FQ150" i="2" s="1"/>
  <c r="FQ151" i="2" s="1"/>
  <c r="FQ152" i="2" s="1"/>
  <c r="FQ153" i="2" s="1"/>
  <c r="FQ154" i="2" s="1"/>
  <c r="FQ155" i="2" s="1"/>
  <c r="FQ156" i="2" s="1"/>
  <c r="FQ157" i="2" s="1"/>
  <c r="FQ158" i="2" s="1"/>
  <c r="FQ159" i="2" s="1"/>
  <c r="FQ160" i="2" s="1"/>
  <c r="FQ161" i="2" s="1"/>
  <c r="FQ162" i="2" s="1"/>
  <c r="FQ163" i="2" s="1"/>
  <c r="FQ164" i="2" s="1"/>
  <c r="FQ165" i="2" s="1"/>
  <c r="FQ166" i="2" s="1"/>
  <c r="FQ167" i="2" s="1"/>
  <c r="FQ168" i="2" s="1"/>
  <c r="FQ169" i="2" s="1"/>
  <c r="FQ170" i="2" s="1"/>
  <c r="FQ171" i="2" s="1"/>
  <c r="FQ172" i="2" s="1"/>
  <c r="FQ173" i="2" s="1"/>
  <c r="FQ174" i="2" s="1"/>
  <c r="FQ175" i="2" s="1"/>
  <c r="FQ176" i="2" s="1"/>
  <c r="FQ177" i="2" s="1"/>
  <c r="FQ178" i="2" s="1"/>
  <c r="FQ179" i="2" s="1"/>
  <c r="FQ180" i="2" s="1"/>
  <c r="FQ181" i="2" s="1"/>
  <c r="FQ182" i="2" s="1"/>
  <c r="FQ183" i="2" s="1"/>
  <c r="FQ184" i="2" s="1"/>
  <c r="FQ185" i="2" s="1"/>
  <c r="FQ186" i="2" s="1"/>
  <c r="FQ187" i="2" s="1"/>
  <c r="FQ188" i="2" s="1"/>
  <c r="FQ189" i="2" s="1"/>
  <c r="FQ190" i="2" s="1"/>
  <c r="FQ191" i="2" s="1"/>
  <c r="FQ192" i="2" s="1"/>
  <c r="FQ193" i="2" s="1"/>
  <c r="FQ194" i="2" s="1"/>
  <c r="FQ195" i="2" s="1"/>
  <c r="FQ196" i="2" s="1"/>
  <c r="FQ197" i="2" s="1"/>
  <c r="FQ198" i="2" s="1"/>
  <c r="FQ199" i="2" s="1"/>
  <c r="FQ200" i="2" s="1"/>
  <c r="FQ201" i="2" s="1"/>
  <c r="FQ202" i="2" s="1"/>
  <c r="FQ203" i="2" s="1"/>
  <c r="FR5" i="2"/>
  <c r="FR6" i="2" s="1"/>
  <c r="FR7" i="2" s="1"/>
  <c r="FR8" i="2" s="1"/>
  <c r="FR9" i="2" s="1"/>
  <c r="FR10" i="2" s="1"/>
  <c r="FR11" i="2" s="1"/>
  <c r="FR12" i="2" s="1"/>
  <c r="FR13" i="2" s="1"/>
  <c r="FR14" i="2" s="1"/>
  <c r="FR15" i="2" s="1"/>
  <c r="FR16" i="2" s="1"/>
  <c r="FR17" i="2" s="1"/>
  <c r="FR18" i="2" s="1"/>
  <c r="FR19" i="2" s="1"/>
  <c r="FR20" i="2" s="1"/>
  <c r="FR21" i="2" s="1"/>
  <c r="FR22" i="2" s="1"/>
  <c r="FR23" i="2" s="1"/>
  <c r="FR24" i="2" s="1"/>
  <c r="FR25" i="2" s="1"/>
  <c r="FR26" i="2" s="1"/>
  <c r="FR27" i="2" s="1"/>
  <c r="FR28" i="2" s="1"/>
  <c r="FR29" i="2" s="1"/>
  <c r="FR30" i="2" s="1"/>
  <c r="FR31" i="2" s="1"/>
  <c r="FR32" i="2" s="1"/>
  <c r="FR33" i="2" s="1"/>
  <c r="FR34" i="2" s="1"/>
  <c r="FR35" i="2" s="1"/>
  <c r="FR36" i="2" s="1"/>
  <c r="FR37" i="2" s="1"/>
  <c r="FR38" i="2" s="1"/>
  <c r="FR39" i="2" s="1"/>
  <c r="FR40" i="2" s="1"/>
  <c r="FR41" i="2" s="1"/>
  <c r="FR42" i="2" s="1"/>
  <c r="FR43" i="2" s="1"/>
  <c r="FR44" i="2" s="1"/>
  <c r="FR45" i="2" s="1"/>
  <c r="FR46" i="2" s="1"/>
  <c r="FR47" i="2" s="1"/>
  <c r="FR48" i="2" s="1"/>
  <c r="FR49" i="2" s="1"/>
  <c r="FR50" i="2" s="1"/>
  <c r="FR51" i="2" s="1"/>
  <c r="FR52" i="2" s="1"/>
  <c r="FR53" i="2" s="1"/>
  <c r="FR54" i="2" s="1"/>
  <c r="FR55" i="2" s="1"/>
  <c r="FR56" i="2" s="1"/>
  <c r="FR57" i="2" s="1"/>
  <c r="FR58" i="2" s="1"/>
  <c r="FR59" i="2" s="1"/>
  <c r="FR60" i="2" s="1"/>
  <c r="FR61" i="2" s="1"/>
  <c r="FR62" i="2" s="1"/>
  <c r="FR63" i="2" s="1"/>
  <c r="FR64" i="2" s="1"/>
  <c r="FR65" i="2" s="1"/>
  <c r="FR66" i="2" s="1"/>
  <c r="FR67" i="2" s="1"/>
  <c r="FR68" i="2" s="1"/>
  <c r="FR69" i="2" s="1"/>
  <c r="FR70" i="2" s="1"/>
  <c r="FR71" i="2" s="1"/>
  <c r="FR72" i="2" s="1"/>
  <c r="FR73" i="2" s="1"/>
  <c r="FR74" i="2" s="1"/>
  <c r="FR75" i="2" s="1"/>
  <c r="FR76" i="2" s="1"/>
  <c r="FR77" i="2" s="1"/>
  <c r="FR78" i="2" s="1"/>
  <c r="FR79" i="2" s="1"/>
  <c r="FR80" i="2" s="1"/>
  <c r="FR81" i="2" s="1"/>
  <c r="FR82" i="2" s="1"/>
  <c r="FR83" i="2" s="1"/>
  <c r="FR84" i="2" s="1"/>
  <c r="FR85" i="2" s="1"/>
  <c r="FR86" i="2" s="1"/>
  <c r="FR87" i="2" s="1"/>
  <c r="FR88" i="2" s="1"/>
  <c r="FR89" i="2" s="1"/>
  <c r="FR90" i="2" s="1"/>
  <c r="FR91" i="2" s="1"/>
  <c r="FR92" i="2" s="1"/>
  <c r="FR93" i="2" s="1"/>
  <c r="FR94" i="2" s="1"/>
  <c r="FR95" i="2" s="1"/>
  <c r="FR96" i="2" s="1"/>
  <c r="FR97" i="2" s="1"/>
  <c r="FR98" i="2" s="1"/>
  <c r="FR99" i="2" s="1"/>
  <c r="FR100" i="2" s="1"/>
  <c r="FR101" i="2" s="1"/>
  <c r="FR102" i="2" s="1"/>
  <c r="FR103" i="2" s="1"/>
  <c r="FR104" i="2" s="1"/>
  <c r="FR105" i="2" s="1"/>
  <c r="FR106" i="2" s="1"/>
  <c r="FR107" i="2" s="1"/>
  <c r="FR108" i="2" s="1"/>
  <c r="FR109" i="2" s="1"/>
  <c r="FR110" i="2" s="1"/>
  <c r="FR111" i="2" s="1"/>
  <c r="FR112" i="2" s="1"/>
  <c r="FR113" i="2" s="1"/>
  <c r="FR114" i="2" s="1"/>
  <c r="FR115" i="2" s="1"/>
  <c r="FR116" i="2" s="1"/>
  <c r="FR117" i="2" s="1"/>
  <c r="FR118" i="2" s="1"/>
  <c r="FR119" i="2" s="1"/>
  <c r="FR120" i="2" s="1"/>
  <c r="FR121" i="2" s="1"/>
  <c r="FR122" i="2" s="1"/>
  <c r="FR123" i="2" s="1"/>
  <c r="FR124" i="2" s="1"/>
  <c r="FR125" i="2" s="1"/>
  <c r="FR126" i="2" s="1"/>
  <c r="FR127" i="2" s="1"/>
  <c r="FR128" i="2" s="1"/>
  <c r="FR129" i="2" s="1"/>
  <c r="FR130" i="2" s="1"/>
  <c r="FR131" i="2" s="1"/>
  <c r="FR132" i="2" s="1"/>
  <c r="FR133" i="2" s="1"/>
  <c r="FR134" i="2" s="1"/>
  <c r="FR135" i="2" s="1"/>
  <c r="FR136" i="2" s="1"/>
  <c r="FR137" i="2" s="1"/>
  <c r="FR138" i="2" s="1"/>
  <c r="FR139" i="2" s="1"/>
  <c r="FR140" i="2" s="1"/>
  <c r="FR141" i="2" s="1"/>
  <c r="FR142" i="2" s="1"/>
  <c r="FR143" i="2" s="1"/>
  <c r="FR144" i="2" s="1"/>
  <c r="FR145" i="2" s="1"/>
  <c r="FR146" i="2" s="1"/>
  <c r="FR147" i="2" s="1"/>
  <c r="FR148" i="2" s="1"/>
  <c r="FR149" i="2" s="1"/>
  <c r="FR150" i="2" s="1"/>
  <c r="FR151" i="2" s="1"/>
  <c r="FR152" i="2" s="1"/>
  <c r="FR153" i="2" s="1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FS5" i="2"/>
  <c r="FS6" i="2"/>
  <c r="FS7" i="2" s="1"/>
  <c r="FS8" i="2" s="1"/>
  <c r="FS9" i="2" s="1"/>
  <c r="FS10" i="2" s="1"/>
  <c r="FS11" i="2" s="1"/>
  <c r="FS12" i="2" s="1"/>
  <c r="FS13" i="2" s="1"/>
  <c r="FS14" i="2" s="1"/>
  <c r="FS15" i="2" s="1"/>
  <c r="FS16" i="2" s="1"/>
  <c r="FS17" i="2" s="1"/>
  <c r="FS18" i="2" s="1"/>
  <c r="FS19" i="2" s="1"/>
  <c r="FS20" i="2" s="1"/>
  <c r="FS21" i="2" s="1"/>
  <c r="FS22" i="2" s="1"/>
  <c r="FS23" i="2" s="1"/>
  <c r="FS24" i="2" s="1"/>
  <c r="FS25" i="2" s="1"/>
  <c r="FS26" i="2" s="1"/>
  <c r="FS27" i="2" s="1"/>
  <c r="FS28" i="2" s="1"/>
  <c r="FS29" i="2" s="1"/>
  <c r="FS30" i="2" s="1"/>
  <c r="FS31" i="2" s="1"/>
  <c r="FS32" i="2" s="1"/>
  <c r="FS33" i="2" s="1"/>
  <c r="FS34" i="2" s="1"/>
  <c r="FS35" i="2" s="1"/>
  <c r="FS36" i="2" s="1"/>
  <c r="FS37" i="2" s="1"/>
  <c r="FS38" i="2" s="1"/>
  <c r="FS39" i="2" s="1"/>
  <c r="FS40" i="2" s="1"/>
  <c r="FS41" i="2" s="1"/>
  <c r="FS42" i="2" s="1"/>
  <c r="FS43" i="2" s="1"/>
  <c r="FS44" i="2" s="1"/>
  <c r="FS45" i="2" s="1"/>
  <c r="FS46" i="2" s="1"/>
  <c r="FS47" i="2" s="1"/>
  <c r="FS48" i="2" s="1"/>
  <c r="FS49" i="2" s="1"/>
  <c r="FS50" i="2" s="1"/>
  <c r="FS51" i="2" s="1"/>
  <c r="FS52" i="2" s="1"/>
  <c r="FS53" i="2" s="1"/>
  <c r="FS54" i="2" s="1"/>
  <c r="FS55" i="2" s="1"/>
  <c r="FS56" i="2" s="1"/>
  <c r="FS57" i="2" s="1"/>
  <c r="FS58" i="2" s="1"/>
  <c r="FS59" i="2" s="1"/>
  <c r="FS60" i="2" s="1"/>
  <c r="FS61" i="2" s="1"/>
  <c r="FS62" i="2" s="1"/>
  <c r="FS63" i="2" s="1"/>
  <c r="FS64" i="2" s="1"/>
  <c r="FS65" i="2" s="1"/>
  <c r="FS66" i="2" s="1"/>
  <c r="FS67" i="2" s="1"/>
  <c r="FS68" i="2" s="1"/>
  <c r="FS69" i="2" s="1"/>
  <c r="FS70" i="2" s="1"/>
  <c r="FS71" i="2" s="1"/>
  <c r="FS72" i="2" s="1"/>
  <c r="FS73" i="2" s="1"/>
  <c r="FS74" i="2" s="1"/>
  <c r="FS75" i="2" s="1"/>
  <c r="FS76" i="2" s="1"/>
  <c r="FS77" i="2" s="1"/>
  <c r="FS78" i="2" s="1"/>
  <c r="FS79" i="2" s="1"/>
  <c r="FS80" i="2" s="1"/>
  <c r="FS81" i="2" s="1"/>
  <c r="FS82" i="2" s="1"/>
  <c r="FS83" i="2" s="1"/>
  <c r="FS84" i="2" s="1"/>
  <c r="FS85" i="2" s="1"/>
  <c r="FS86" i="2" s="1"/>
  <c r="FS87" i="2" s="1"/>
  <c r="FS88" i="2" s="1"/>
  <c r="FS89" i="2" s="1"/>
  <c r="FS90" i="2" s="1"/>
  <c r="FS91" i="2" s="1"/>
  <c r="FS92" i="2" s="1"/>
  <c r="FS93" i="2" s="1"/>
  <c r="FS94" i="2" s="1"/>
  <c r="FS95" i="2" s="1"/>
  <c r="FS96" i="2" s="1"/>
  <c r="FS97" i="2" s="1"/>
  <c r="FS98" i="2" s="1"/>
  <c r="FS99" i="2" s="1"/>
  <c r="FS100" i="2" s="1"/>
  <c r="FS101" i="2" s="1"/>
  <c r="FS102" i="2" s="1"/>
  <c r="FS103" i="2" s="1"/>
  <c r="FS104" i="2" s="1"/>
  <c r="FS105" i="2" s="1"/>
  <c r="FS106" i="2" s="1"/>
  <c r="FS107" i="2" s="1"/>
  <c r="FS108" i="2" s="1"/>
  <c r="FS109" i="2" s="1"/>
  <c r="FS110" i="2" s="1"/>
  <c r="FS111" i="2" s="1"/>
  <c r="FS112" i="2" s="1"/>
  <c r="FS113" i="2" s="1"/>
  <c r="FS114" i="2" s="1"/>
  <c r="FS115" i="2" s="1"/>
  <c r="FS116" i="2" s="1"/>
  <c r="FS117" i="2" s="1"/>
  <c r="FS118" i="2" s="1"/>
  <c r="FS119" i="2" s="1"/>
  <c r="FS120" i="2" s="1"/>
  <c r="FS121" i="2" s="1"/>
  <c r="FS122" i="2" s="1"/>
  <c r="FS123" i="2" s="1"/>
  <c r="FS124" i="2" s="1"/>
  <c r="FS125" i="2" s="1"/>
  <c r="FS126" i="2" s="1"/>
  <c r="FS127" i="2" s="1"/>
  <c r="FS128" i="2" s="1"/>
  <c r="FS129" i="2" s="1"/>
  <c r="FS130" i="2" s="1"/>
  <c r="FS131" i="2" s="1"/>
  <c r="FS132" i="2" s="1"/>
  <c r="FS133" i="2" s="1"/>
  <c r="FS134" i="2" s="1"/>
  <c r="FS135" i="2" s="1"/>
  <c r="FS136" i="2" s="1"/>
  <c r="FS137" i="2" s="1"/>
  <c r="FS138" i="2" s="1"/>
  <c r="FS139" i="2" s="1"/>
  <c r="FS140" i="2" s="1"/>
  <c r="FS141" i="2" s="1"/>
  <c r="FS142" i="2" s="1"/>
  <c r="FS143" i="2" s="1"/>
  <c r="FS144" i="2" s="1"/>
  <c r="FS145" i="2" s="1"/>
  <c r="FS146" i="2" s="1"/>
  <c r="FS147" i="2" s="1"/>
  <c r="FS148" i="2" s="1"/>
  <c r="FS149" i="2" s="1"/>
  <c r="FS150" i="2" s="1"/>
  <c r="FS151" i="2" s="1"/>
  <c r="FS152" i="2" s="1"/>
  <c r="FS153" i="2" s="1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FS4" i="2"/>
  <c r="FR4" i="2"/>
  <c r="FQ4" i="2"/>
  <c r="EV5" i="2"/>
  <c r="EV6" i="2" s="1"/>
  <c r="EV7" i="2" s="1"/>
  <c r="EV8" i="2" s="1"/>
  <c r="EV9" i="2" s="1"/>
  <c r="EV10" i="2" s="1"/>
  <c r="EV11" i="2" s="1"/>
  <c r="EV12" i="2" s="1"/>
  <c r="EV13" i="2" s="1"/>
  <c r="EV14" i="2" s="1"/>
  <c r="EV15" i="2" s="1"/>
  <c r="EV16" i="2" s="1"/>
  <c r="EV17" i="2" s="1"/>
  <c r="EV18" i="2" s="1"/>
  <c r="EV19" i="2" s="1"/>
  <c r="EV20" i="2" s="1"/>
  <c r="EV21" i="2" s="1"/>
  <c r="EV22" i="2" s="1"/>
  <c r="EV23" i="2" s="1"/>
  <c r="EV24" i="2" s="1"/>
  <c r="EV25" i="2" s="1"/>
  <c r="EV26" i="2" s="1"/>
  <c r="EV27" i="2" s="1"/>
  <c r="EV28" i="2" s="1"/>
  <c r="EV29" i="2" s="1"/>
  <c r="EV30" i="2" s="1"/>
  <c r="EV31" i="2" s="1"/>
  <c r="EV32" i="2" s="1"/>
  <c r="EV33" i="2" s="1"/>
  <c r="EV34" i="2" s="1"/>
  <c r="EV35" i="2" s="1"/>
  <c r="EV36" i="2" s="1"/>
  <c r="EV37" i="2" s="1"/>
  <c r="EV38" i="2" s="1"/>
  <c r="EV39" i="2" s="1"/>
  <c r="EV40" i="2" s="1"/>
  <c r="EV41" i="2" s="1"/>
  <c r="EV42" i="2" s="1"/>
  <c r="EV43" i="2" s="1"/>
  <c r="EV44" i="2" s="1"/>
  <c r="EV45" i="2" s="1"/>
  <c r="EV46" i="2" s="1"/>
  <c r="EV47" i="2" s="1"/>
  <c r="EV48" i="2" s="1"/>
  <c r="EV49" i="2" s="1"/>
  <c r="EV50" i="2" s="1"/>
  <c r="EV51" i="2" s="1"/>
  <c r="EV52" i="2" s="1"/>
  <c r="EV53" i="2" s="1"/>
  <c r="EV54" i="2" s="1"/>
  <c r="EV55" i="2" s="1"/>
  <c r="EV56" i="2" s="1"/>
  <c r="EV57" i="2" s="1"/>
  <c r="EV58" i="2" s="1"/>
  <c r="EV59" i="2" s="1"/>
  <c r="EV60" i="2" s="1"/>
  <c r="EV61" i="2" s="1"/>
  <c r="EV62" i="2" s="1"/>
  <c r="EV63" i="2" s="1"/>
  <c r="EV64" i="2" s="1"/>
  <c r="EV65" i="2" s="1"/>
  <c r="EV66" i="2" s="1"/>
  <c r="EV67" i="2" s="1"/>
  <c r="EV68" i="2" s="1"/>
  <c r="EV69" i="2" s="1"/>
  <c r="EV70" i="2" s="1"/>
  <c r="EV71" i="2" s="1"/>
  <c r="EV72" i="2" s="1"/>
  <c r="EV73" i="2" s="1"/>
  <c r="EV74" i="2" s="1"/>
  <c r="EV75" i="2" s="1"/>
  <c r="EV76" i="2" s="1"/>
  <c r="EV77" i="2" s="1"/>
  <c r="EV78" i="2" s="1"/>
  <c r="EV79" i="2" s="1"/>
  <c r="EV80" i="2" s="1"/>
  <c r="EV81" i="2" s="1"/>
  <c r="EV82" i="2" s="1"/>
  <c r="EV83" i="2" s="1"/>
  <c r="EV84" i="2" s="1"/>
  <c r="EV85" i="2" s="1"/>
  <c r="EV86" i="2" s="1"/>
  <c r="EV87" i="2" s="1"/>
  <c r="EV88" i="2" s="1"/>
  <c r="EV89" i="2" s="1"/>
  <c r="EV90" i="2" s="1"/>
  <c r="EV91" i="2" s="1"/>
  <c r="EV92" i="2" s="1"/>
  <c r="EV93" i="2" s="1"/>
  <c r="EV94" i="2" s="1"/>
  <c r="EV95" i="2" s="1"/>
  <c r="EV96" i="2" s="1"/>
  <c r="EV97" i="2" s="1"/>
  <c r="EV98" i="2" s="1"/>
  <c r="EV99" i="2" s="1"/>
  <c r="EV100" i="2" s="1"/>
  <c r="EV101" i="2" s="1"/>
  <c r="EV102" i="2" s="1"/>
  <c r="EV103" i="2" s="1"/>
  <c r="EV104" i="2" s="1"/>
  <c r="EV105" i="2" s="1"/>
  <c r="EV106" i="2" s="1"/>
  <c r="EV107" i="2" s="1"/>
  <c r="EV108" i="2" s="1"/>
  <c r="EV109" i="2" s="1"/>
  <c r="EV110" i="2" s="1"/>
  <c r="EV111" i="2" s="1"/>
  <c r="EV112" i="2" s="1"/>
  <c r="EV113" i="2" s="1"/>
  <c r="EV114" i="2" s="1"/>
  <c r="EV115" i="2" s="1"/>
  <c r="EV116" i="2" s="1"/>
  <c r="EV117" i="2" s="1"/>
  <c r="EV118" i="2" s="1"/>
  <c r="EV119" i="2" s="1"/>
  <c r="EV120" i="2" s="1"/>
  <c r="EV121" i="2" s="1"/>
  <c r="EV122" i="2" s="1"/>
  <c r="EV123" i="2" s="1"/>
  <c r="EV124" i="2" s="1"/>
  <c r="EV125" i="2" s="1"/>
  <c r="EV126" i="2" s="1"/>
  <c r="EV127" i="2" s="1"/>
  <c r="EV128" i="2" s="1"/>
  <c r="EV129" i="2" s="1"/>
  <c r="EV130" i="2" s="1"/>
  <c r="EV131" i="2" s="1"/>
  <c r="EV132" i="2" s="1"/>
  <c r="EV133" i="2" s="1"/>
  <c r="EV134" i="2" s="1"/>
  <c r="EV135" i="2" s="1"/>
  <c r="EV136" i="2" s="1"/>
  <c r="EV137" i="2" s="1"/>
  <c r="EV138" i="2" s="1"/>
  <c r="EV139" i="2" s="1"/>
  <c r="EV140" i="2" s="1"/>
  <c r="EV141" i="2" s="1"/>
  <c r="EV142" i="2" s="1"/>
  <c r="EV143" i="2" s="1"/>
  <c r="EV144" i="2" s="1"/>
  <c r="EV145" i="2" s="1"/>
  <c r="EV146" i="2" s="1"/>
  <c r="EV147" i="2" s="1"/>
  <c r="EV148" i="2" s="1"/>
  <c r="EV149" i="2" s="1"/>
  <c r="EV150" i="2" s="1"/>
  <c r="EV151" i="2" s="1"/>
  <c r="EV152" i="2" s="1"/>
  <c r="EV153" i="2" s="1"/>
  <c r="EV154" i="2" s="1"/>
  <c r="EV155" i="2" s="1"/>
  <c r="EV156" i="2" s="1"/>
  <c r="EV157" i="2" s="1"/>
  <c r="EV158" i="2" s="1"/>
  <c r="EV159" i="2" s="1"/>
  <c r="EV160" i="2" s="1"/>
  <c r="EV161" i="2" s="1"/>
  <c r="EV162" i="2" s="1"/>
  <c r="EV163" i="2" s="1"/>
  <c r="EV164" i="2" s="1"/>
  <c r="EV165" i="2" s="1"/>
  <c r="EV166" i="2" s="1"/>
  <c r="EV167" i="2" s="1"/>
  <c r="EV168" i="2" s="1"/>
  <c r="EV169" i="2" s="1"/>
  <c r="EV170" i="2" s="1"/>
  <c r="EV171" i="2" s="1"/>
  <c r="EV172" i="2" s="1"/>
  <c r="EV173" i="2" s="1"/>
  <c r="EV174" i="2" s="1"/>
  <c r="EV175" i="2" s="1"/>
  <c r="EV176" i="2" s="1"/>
  <c r="EV177" i="2" s="1"/>
  <c r="EV178" i="2" s="1"/>
  <c r="EV179" i="2" s="1"/>
  <c r="EV180" i="2" s="1"/>
  <c r="EV181" i="2" s="1"/>
  <c r="EV182" i="2" s="1"/>
  <c r="EV183" i="2" s="1"/>
  <c r="EV184" i="2" s="1"/>
  <c r="EV185" i="2" s="1"/>
  <c r="EV186" i="2" s="1"/>
  <c r="EV187" i="2" s="1"/>
  <c r="EV188" i="2" s="1"/>
  <c r="EV189" i="2" s="1"/>
  <c r="EV190" i="2" s="1"/>
  <c r="EV191" i="2" s="1"/>
  <c r="EV192" i="2" s="1"/>
  <c r="EV193" i="2" s="1"/>
  <c r="EV194" i="2" s="1"/>
  <c r="EV195" i="2" s="1"/>
  <c r="EV196" i="2" s="1"/>
  <c r="EV197" i="2" s="1"/>
  <c r="EV198" i="2" s="1"/>
  <c r="EV199" i="2" s="1"/>
  <c r="EV200" i="2" s="1"/>
  <c r="EV201" i="2" s="1"/>
  <c r="EV202" i="2" s="1"/>
  <c r="EV203" i="2" s="1"/>
  <c r="EW5" i="2"/>
  <c r="EW6" i="2" s="1"/>
  <c r="EW7" i="2" s="1"/>
  <c r="EW8" i="2" s="1"/>
  <c r="EW9" i="2" s="1"/>
  <c r="EW10" i="2" s="1"/>
  <c r="EW11" i="2" s="1"/>
  <c r="EX5" i="2"/>
  <c r="EX6" i="2"/>
  <c r="EX7" i="2" s="1"/>
  <c r="EX8" i="2" s="1"/>
  <c r="EX9" i="2" s="1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 s="1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EX66" i="2" s="1"/>
  <c r="EX67" i="2" s="1"/>
  <c r="EX68" i="2" s="1"/>
  <c r="EX69" i="2" s="1"/>
  <c r="EX70" i="2" s="1"/>
  <c r="EX71" i="2" s="1"/>
  <c r="EX72" i="2" s="1"/>
  <c r="EX73" i="2" s="1"/>
  <c r="EX74" i="2" s="1"/>
  <c r="EX75" i="2" s="1"/>
  <c r="EX76" i="2" s="1"/>
  <c r="EX77" i="2" s="1"/>
  <c r="EX78" i="2" s="1"/>
  <c r="EX79" i="2" s="1"/>
  <c r="EX80" i="2" s="1"/>
  <c r="EX81" i="2" s="1"/>
  <c r="EX82" i="2" s="1"/>
  <c r="EX83" i="2" s="1"/>
  <c r="EX84" i="2" s="1"/>
  <c r="EX85" i="2" s="1"/>
  <c r="EX86" i="2" s="1"/>
  <c r="EX87" i="2" s="1"/>
  <c r="EX88" i="2" s="1"/>
  <c r="EX89" i="2" s="1"/>
  <c r="EX90" i="2" s="1"/>
  <c r="EX91" i="2" s="1"/>
  <c r="EX92" i="2" s="1"/>
  <c r="EX93" i="2" s="1"/>
  <c r="EX94" i="2" s="1"/>
  <c r="EX95" i="2" s="1"/>
  <c r="EX96" i="2" s="1"/>
  <c r="EX97" i="2" s="1"/>
  <c r="EX98" i="2" s="1"/>
  <c r="EX99" i="2" s="1"/>
  <c r="EX100" i="2" s="1"/>
  <c r="EX101" i="2" s="1"/>
  <c r="EX102" i="2" s="1"/>
  <c r="EX103" i="2" s="1"/>
  <c r="EX104" i="2" s="1"/>
  <c r="EX105" i="2" s="1"/>
  <c r="EX106" i="2" s="1"/>
  <c r="EX107" i="2" s="1"/>
  <c r="EX108" i="2" s="1"/>
  <c r="EX109" i="2" s="1"/>
  <c r="EX110" i="2" s="1"/>
  <c r="EX111" i="2" s="1"/>
  <c r="EX112" i="2" s="1"/>
  <c r="EX113" i="2" s="1"/>
  <c r="EX114" i="2" s="1"/>
  <c r="EX115" i="2" s="1"/>
  <c r="EX116" i="2" s="1"/>
  <c r="EX117" i="2" s="1"/>
  <c r="EX118" i="2" s="1"/>
  <c r="EX119" i="2" s="1"/>
  <c r="EX120" i="2" s="1"/>
  <c r="EX121" i="2" s="1"/>
  <c r="EX122" i="2" s="1"/>
  <c r="EX123" i="2" s="1"/>
  <c r="EX124" i="2" s="1"/>
  <c r="EX125" i="2" s="1"/>
  <c r="EX126" i="2" s="1"/>
  <c r="EX127" i="2" s="1"/>
  <c r="EX128" i="2" s="1"/>
  <c r="EX129" i="2" s="1"/>
  <c r="EX130" i="2" s="1"/>
  <c r="EX131" i="2" s="1"/>
  <c r="EX132" i="2" s="1"/>
  <c r="EX133" i="2" s="1"/>
  <c r="EX134" i="2" s="1"/>
  <c r="EX135" i="2" s="1"/>
  <c r="EX136" i="2" s="1"/>
  <c r="EX137" i="2" s="1"/>
  <c r="EX138" i="2" s="1"/>
  <c r="EX139" i="2" s="1"/>
  <c r="EX140" i="2" s="1"/>
  <c r="EX141" i="2" s="1"/>
  <c r="EX142" i="2" s="1"/>
  <c r="EX143" i="2" s="1"/>
  <c r="EX144" i="2" s="1"/>
  <c r="EX145" i="2" s="1"/>
  <c r="EX146" i="2" s="1"/>
  <c r="EX147" i="2" s="1"/>
  <c r="EX148" i="2" s="1"/>
  <c r="EX149" i="2" s="1"/>
  <c r="EX150" i="2" s="1"/>
  <c r="EX151" i="2" s="1"/>
  <c r="EX152" i="2" s="1"/>
  <c r="EX153" i="2" s="1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EW12" i="2"/>
  <c r="EW13" i="2" s="1"/>
  <c r="EW14" i="2" s="1"/>
  <c r="EW15" i="2" s="1"/>
  <c r="EW16" i="2" s="1"/>
  <c r="EW17" i="2" s="1"/>
  <c r="EW18" i="2" s="1"/>
  <c r="EW19" i="2" s="1"/>
  <c r="EW20" i="2" s="1"/>
  <c r="EW21" i="2" s="1"/>
  <c r="EW22" i="2" s="1"/>
  <c r="EW23" i="2" s="1"/>
  <c r="EW24" i="2" s="1"/>
  <c r="EW25" i="2" s="1"/>
  <c r="EW26" i="2" s="1"/>
  <c r="EW27" i="2" s="1"/>
  <c r="EW28" i="2" s="1"/>
  <c r="EW29" i="2" s="1"/>
  <c r="EW30" i="2" s="1"/>
  <c r="EW31" i="2" s="1"/>
  <c r="EW32" i="2" s="1"/>
  <c r="EW33" i="2" s="1"/>
  <c r="EW34" i="2" s="1"/>
  <c r="EW35" i="2" s="1"/>
  <c r="EW36" i="2" s="1"/>
  <c r="EW37" i="2" s="1"/>
  <c r="EW38" i="2" s="1"/>
  <c r="EW39" i="2" s="1"/>
  <c r="EW40" i="2" s="1"/>
  <c r="EW41" i="2" s="1"/>
  <c r="EW42" i="2" s="1"/>
  <c r="EW43" i="2" s="1"/>
  <c r="EW44" i="2" s="1"/>
  <c r="EW45" i="2" s="1"/>
  <c r="EW46" i="2" s="1"/>
  <c r="EW47" i="2" s="1"/>
  <c r="EW48" i="2" s="1"/>
  <c r="EW49" i="2" s="1"/>
  <c r="EW50" i="2" s="1"/>
  <c r="EW51" i="2" s="1"/>
  <c r="EW52" i="2" s="1"/>
  <c r="EW53" i="2" s="1"/>
  <c r="EW54" i="2" s="1"/>
  <c r="EW55" i="2" s="1"/>
  <c r="EW56" i="2" s="1"/>
  <c r="EW57" i="2" s="1"/>
  <c r="EW58" i="2" s="1"/>
  <c r="EW59" i="2" s="1"/>
  <c r="EW60" i="2" s="1"/>
  <c r="EW61" i="2" s="1"/>
  <c r="EW62" i="2" s="1"/>
  <c r="EW63" i="2" s="1"/>
  <c r="EW64" i="2" s="1"/>
  <c r="EW65" i="2" s="1"/>
  <c r="EW66" i="2" s="1"/>
  <c r="EW67" i="2" s="1"/>
  <c r="EW68" i="2" s="1"/>
  <c r="EW69" i="2" s="1"/>
  <c r="EW70" i="2" s="1"/>
  <c r="EW71" i="2" s="1"/>
  <c r="EW72" i="2" s="1"/>
  <c r="EW73" i="2" s="1"/>
  <c r="EW74" i="2" s="1"/>
  <c r="EW75" i="2" s="1"/>
  <c r="EW76" i="2" s="1"/>
  <c r="EW77" i="2" s="1"/>
  <c r="EW78" i="2" s="1"/>
  <c r="EW79" i="2" s="1"/>
  <c r="EW80" i="2" s="1"/>
  <c r="EW81" i="2" s="1"/>
  <c r="EW82" i="2" s="1"/>
  <c r="EW83" i="2" s="1"/>
  <c r="EW84" i="2" s="1"/>
  <c r="EW85" i="2" s="1"/>
  <c r="EW86" i="2" s="1"/>
  <c r="EW87" i="2" s="1"/>
  <c r="EW88" i="2" s="1"/>
  <c r="EW89" i="2" s="1"/>
  <c r="EW90" i="2" s="1"/>
  <c r="EW91" i="2" s="1"/>
  <c r="EW92" i="2" s="1"/>
  <c r="EW93" i="2" s="1"/>
  <c r="EW94" i="2" s="1"/>
  <c r="EW95" i="2" s="1"/>
  <c r="EW96" i="2" s="1"/>
  <c r="EW97" i="2" s="1"/>
  <c r="EW98" i="2" s="1"/>
  <c r="EW99" i="2" s="1"/>
  <c r="EW100" i="2" s="1"/>
  <c r="EW101" i="2" s="1"/>
  <c r="EW102" i="2" s="1"/>
  <c r="EW103" i="2" s="1"/>
  <c r="EW104" i="2" s="1"/>
  <c r="EW105" i="2" s="1"/>
  <c r="EW106" i="2" s="1"/>
  <c r="EW107" i="2" s="1"/>
  <c r="EW108" i="2" s="1"/>
  <c r="EW109" i="2" s="1"/>
  <c r="EW110" i="2" s="1"/>
  <c r="EW111" i="2" s="1"/>
  <c r="EW112" i="2" s="1"/>
  <c r="EW113" i="2" s="1"/>
  <c r="EW114" i="2" s="1"/>
  <c r="EW115" i="2" s="1"/>
  <c r="EW116" i="2" s="1"/>
  <c r="EW117" i="2" s="1"/>
  <c r="EW118" i="2" s="1"/>
  <c r="EW119" i="2" s="1"/>
  <c r="EW120" i="2" s="1"/>
  <c r="EW121" i="2" s="1"/>
  <c r="EW122" i="2" s="1"/>
  <c r="EW123" i="2" s="1"/>
  <c r="EW124" i="2" s="1"/>
  <c r="EW125" i="2" s="1"/>
  <c r="EW126" i="2" s="1"/>
  <c r="EW127" i="2" s="1"/>
  <c r="EW128" i="2" s="1"/>
  <c r="EW129" i="2" s="1"/>
  <c r="EW130" i="2" s="1"/>
  <c r="EW131" i="2" s="1"/>
  <c r="EW132" i="2" s="1"/>
  <c r="EW133" i="2" s="1"/>
  <c r="EW134" i="2" s="1"/>
  <c r="EW135" i="2" s="1"/>
  <c r="EW136" i="2" s="1"/>
  <c r="EW137" i="2" s="1"/>
  <c r="EW138" i="2" s="1"/>
  <c r="EW139" i="2" s="1"/>
  <c r="EW140" i="2" s="1"/>
  <c r="EW141" i="2" s="1"/>
  <c r="EW142" i="2" s="1"/>
  <c r="EW143" i="2" s="1"/>
  <c r="EW144" i="2" s="1"/>
  <c r="EW145" i="2" s="1"/>
  <c r="EW146" i="2" s="1"/>
  <c r="EW147" i="2" s="1"/>
  <c r="EW148" i="2" s="1"/>
  <c r="EW149" i="2" s="1"/>
  <c r="EW150" i="2" s="1"/>
  <c r="EW151" i="2" s="1"/>
  <c r="EW152" i="2" s="1"/>
  <c r="EW153" i="2" s="1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EX4" i="2"/>
  <c r="EW4" i="2"/>
  <c r="EV4" i="2"/>
  <c r="EA5" i="2"/>
  <c r="EA6" i="2" s="1"/>
  <c r="EA7" i="2" s="1"/>
  <c r="EA8" i="2" s="1"/>
  <c r="EA9" i="2" s="1"/>
  <c r="EA10" i="2" s="1"/>
  <c r="EA11" i="2" s="1"/>
  <c r="EA12" i="2" s="1"/>
  <c r="EA13" i="2" s="1"/>
  <c r="EA14" i="2" s="1"/>
  <c r="EA15" i="2" s="1"/>
  <c r="EA16" i="2" s="1"/>
  <c r="EA17" i="2" s="1"/>
  <c r="EA18" i="2" s="1"/>
  <c r="EA19" i="2" s="1"/>
  <c r="EA20" i="2" s="1"/>
  <c r="EA21" i="2" s="1"/>
  <c r="EA22" i="2" s="1"/>
  <c r="EA23" i="2" s="1"/>
  <c r="EA24" i="2" s="1"/>
  <c r="EA25" i="2" s="1"/>
  <c r="EA26" i="2" s="1"/>
  <c r="EA27" i="2" s="1"/>
  <c r="EA28" i="2" s="1"/>
  <c r="EA29" i="2" s="1"/>
  <c r="EA30" i="2" s="1"/>
  <c r="EA31" i="2" s="1"/>
  <c r="EA32" i="2" s="1"/>
  <c r="EA33" i="2" s="1"/>
  <c r="EA34" i="2" s="1"/>
  <c r="EA35" i="2" s="1"/>
  <c r="EA36" i="2" s="1"/>
  <c r="EA37" i="2" s="1"/>
  <c r="EA38" i="2" s="1"/>
  <c r="EA39" i="2" s="1"/>
  <c r="EA40" i="2" s="1"/>
  <c r="EA41" i="2" s="1"/>
  <c r="EA42" i="2" s="1"/>
  <c r="EA43" i="2" s="1"/>
  <c r="EA44" i="2" s="1"/>
  <c r="EA45" i="2" s="1"/>
  <c r="EA46" i="2" s="1"/>
  <c r="EA47" i="2" s="1"/>
  <c r="EA48" i="2" s="1"/>
  <c r="EA49" i="2" s="1"/>
  <c r="EA50" i="2" s="1"/>
  <c r="EA51" i="2" s="1"/>
  <c r="EA52" i="2" s="1"/>
  <c r="EA53" i="2" s="1"/>
  <c r="EA54" i="2" s="1"/>
  <c r="EA55" i="2" s="1"/>
  <c r="EA56" i="2" s="1"/>
  <c r="EA57" i="2" s="1"/>
  <c r="EA58" i="2" s="1"/>
  <c r="EA59" i="2" s="1"/>
  <c r="EA60" i="2" s="1"/>
  <c r="EA61" i="2" s="1"/>
  <c r="EA62" i="2" s="1"/>
  <c r="EA63" i="2" s="1"/>
  <c r="EA64" i="2" s="1"/>
  <c r="EA65" i="2" s="1"/>
  <c r="EA66" i="2" s="1"/>
  <c r="EA67" i="2" s="1"/>
  <c r="EA68" i="2" s="1"/>
  <c r="EA69" i="2" s="1"/>
  <c r="EA70" i="2" s="1"/>
  <c r="EA71" i="2" s="1"/>
  <c r="EA72" i="2" s="1"/>
  <c r="EA73" i="2" s="1"/>
  <c r="EA74" i="2" s="1"/>
  <c r="EA75" i="2" s="1"/>
  <c r="EA76" i="2" s="1"/>
  <c r="EA77" i="2" s="1"/>
  <c r="EA78" i="2" s="1"/>
  <c r="EA79" i="2" s="1"/>
  <c r="EA80" i="2" s="1"/>
  <c r="EA81" i="2" s="1"/>
  <c r="EA82" i="2" s="1"/>
  <c r="EA83" i="2" s="1"/>
  <c r="EA84" i="2" s="1"/>
  <c r="EA85" i="2" s="1"/>
  <c r="EA86" i="2" s="1"/>
  <c r="EA87" i="2" s="1"/>
  <c r="EA88" i="2" s="1"/>
  <c r="EA89" i="2" s="1"/>
  <c r="EA90" i="2" s="1"/>
  <c r="EA91" i="2" s="1"/>
  <c r="EA92" i="2" s="1"/>
  <c r="EA93" i="2" s="1"/>
  <c r="EA94" i="2" s="1"/>
  <c r="EA95" i="2" s="1"/>
  <c r="EA96" i="2" s="1"/>
  <c r="EA97" i="2" s="1"/>
  <c r="EA98" i="2" s="1"/>
  <c r="EA99" i="2" s="1"/>
  <c r="EA100" i="2" s="1"/>
  <c r="EA101" i="2" s="1"/>
  <c r="EA102" i="2" s="1"/>
  <c r="EA103" i="2" s="1"/>
  <c r="EA104" i="2" s="1"/>
  <c r="EA105" i="2" s="1"/>
  <c r="EA106" i="2" s="1"/>
  <c r="EA107" i="2" s="1"/>
  <c r="EA108" i="2" s="1"/>
  <c r="EA109" i="2" s="1"/>
  <c r="EA110" i="2" s="1"/>
  <c r="EA111" i="2" s="1"/>
  <c r="EA112" i="2" s="1"/>
  <c r="EA113" i="2" s="1"/>
  <c r="EA114" i="2" s="1"/>
  <c r="EA115" i="2" s="1"/>
  <c r="EA116" i="2" s="1"/>
  <c r="EA117" i="2" s="1"/>
  <c r="EA118" i="2" s="1"/>
  <c r="EA119" i="2" s="1"/>
  <c r="EA120" i="2" s="1"/>
  <c r="EA121" i="2" s="1"/>
  <c r="EA122" i="2" s="1"/>
  <c r="EA123" i="2" s="1"/>
  <c r="EA124" i="2" s="1"/>
  <c r="EA125" i="2" s="1"/>
  <c r="EA126" i="2" s="1"/>
  <c r="EA127" i="2" s="1"/>
  <c r="EA128" i="2" s="1"/>
  <c r="EA129" i="2" s="1"/>
  <c r="EA130" i="2" s="1"/>
  <c r="EA131" i="2" s="1"/>
  <c r="EA132" i="2" s="1"/>
  <c r="EA133" i="2" s="1"/>
  <c r="EA134" i="2" s="1"/>
  <c r="EA135" i="2" s="1"/>
  <c r="EA136" i="2" s="1"/>
  <c r="EA137" i="2" s="1"/>
  <c r="EA138" i="2" s="1"/>
  <c r="EA139" i="2" s="1"/>
  <c r="EA140" i="2" s="1"/>
  <c r="EA141" i="2" s="1"/>
  <c r="EA142" i="2" s="1"/>
  <c r="EA143" i="2" s="1"/>
  <c r="EA144" i="2" s="1"/>
  <c r="EA145" i="2" s="1"/>
  <c r="EA146" i="2" s="1"/>
  <c r="EA147" i="2" s="1"/>
  <c r="EA148" i="2" s="1"/>
  <c r="EA149" i="2" s="1"/>
  <c r="EA150" i="2" s="1"/>
  <c r="EA151" i="2" s="1"/>
  <c r="EA152" i="2" s="1"/>
  <c r="EA153" i="2" s="1"/>
  <c r="EA154" i="2" s="1"/>
  <c r="EA155" i="2" s="1"/>
  <c r="EA156" i="2" s="1"/>
  <c r="EA157" i="2" s="1"/>
  <c r="EA158" i="2" s="1"/>
  <c r="EA159" i="2" s="1"/>
  <c r="EA160" i="2" s="1"/>
  <c r="EA161" i="2" s="1"/>
  <c r="EA162" i="2" s="1"/>
  <c r="EA163" i="2" s="1"/>
  <c r="EA164" i="2" s="1"/>
  <c r="EA165" i="2" s="1"/>
  <c r="EA166" i="2" s="1"/>
  <c r="EA167" i="2" s="1"/>
  <c r="EA168" i="2" s="1"/>
  <c r="EA169" i="2" s="1"/>
  <c r="EA170" i="2" s="1"/>
  <c r="EA171" i="2" s="1"/>
  <c r="EA172" i="2" s="1"/>
  <c r="EA173" i="2" s="1"/>
  <c r="EA174" i="2" s="1"/>
  <c r="EA175" i="2" s="1"/>
  <c r="EA176" i="2" s="1"/>
  <c r="EA177" i="2" s="1"/>
  <c r="EA178" i="2" s="1"/>
  <c r="EA179" i="2" s="1"/>
  <c r="EA180" i="2" s="1"/>
  <c r="EA181" i="2" s="1"/>
  <c r="EA182" i="2" s="1"/>
  <c r="EA183" i="2" s="1"/>
  <c r="EA184" i="2" s="1"/>
  <c r="EA185" i="2" s="1"/>
  <c r="EA186" i="2" s="1"/>
  <c r="EA187" i="2" s="1"/>
  <c r="EA188" i="2" s="1"/>
  <c r="EA189" i="2" s="1"/>
  <c r="EA190" i="2" s="1"/>
  <c r="EA191" i="2" s="1"/>
  <c r="EA192" i="2" s="1"/>
  <c r="EA193" i="2" s="1"/>
  <c r="EA194" i="2" s="1"/>
  <c r="EA195" i="2" s="1"/>
  <c r="EA196" i="2" s="1"/>
  <c r="EA197" i="2" s="1"/>
  <c r="EA198" i="2" s="1"/>
  <c r="EA199" i="2" s="1"/>
  <c r="EA200" i="2" s="1"/>
  <c r="EA201" i="2" s="1"/>
  <c r="EA202" i="2" s="1"/>
  <c r="EA203" i="2" s="1"/>
  <c r="EB5" i="2"/>
  <c r="EB6" i="2" s="1"/>
  <c r="EB7" i="2" s="1"/>
  <c r="EB8" i="2" s="1"/>
  <c r="EB9" i="2" s="1"/>
  <c r="EB10" i="2" s="1"/>
  <c r="EB11" i="2" s="1"/>
  <c r="EB12" i="2" s="1"/>
  <c r="EB13" i="2" s="1"/>
  <c r="EB14" i="2" s="1"/>
  <c r="EB15" i="2" s="1"/>
  <c r="EB16" i="2" s="1"/>
  <c r="EB17" i="2" s="1"/>
  <c r="EB18" i="2" s="1"/>
  <c r="EB19" i="2" s="1"/>
  <c r="EB20" i="2" s="1"/>
  <c r="EB21" i="2" s="1"/>
  <c r="EB22" i="2" s="1"/>
  <c r="EB23" i="2" s="1"/>
  <c r="EB24" i="2" s="1"/>
  <c r="EB25" i="2" s="1"/>
  <c r="EB26" i="2" s="1"/>
  <c r="EB27" i="2" s="1"/>
  <c r="EB28" i="2" s="1"/>
  <c r="EB29" i="2" s="1"/>
  <c r="EB30" i="2" s="1"/>
  <c r="EB31" i="2" s="1"/>
  <c r="EB32" i="2" s="1"/>
  <c r="EB33" i="2" s="1"/>
  <c r="EB34" i="2" s="1"/>
  <c r="EB35" i="2" s="1"/>
  <c r="EB36" i="2" s="1"/>
  <c r="EB37" i="2" s="1"/>
  <c r="EB38" i="2" s="1"/>
  <c r="EB39" i="2" s="1"/>
  <c r="EB40" i="2" s="1"/>
  <c r="EB41" i="2" s="1"/>
  <c r="EB42" i="2" s="1"/>
  <c r="EB43" i="2" s="1"/>
  <c r="EB44" i="2" s="1"/>
  <c r="EB45" i="2" s="1"/>
  <c r="EB46" i="2" s="1"/>
  <c r="EB47" i="2" s="1"/>
  <c r="EB48" i="2" s="1"/>
  <c r="EB49" i="2" s="1"/>
  <c r="EB50" i="2" s="1"/>
  <c r="EB51" i="2" s="1"/>
  <c r="EB52" i="2" s="1"/>
  <c r="EB53" i="2" s="1"/>
  <c r="EB54" i="2" s="1"/>
  <c r="EB55" i="2" s="1"/>
  <c r="EB56" i="2" s="1"/>
  <c r="EB57" i="2" s="1"/>
  <c r="EB58" i="2" s="1"/>
  <c r="EB59" i="2" s="1"/>
  <c r="EB60" i="2" s="1"/>
  <c r="EB61" i="2" s="1"/>
  <c r="EB62" i="2" s="1"/>
  <c r="EB63" i="2" s="1"/>
  <c r="EB64" i="2" s="1"/>
  <c r="EB65" i="2" s="1"/>
  <c r="EB66" i="2" s="1"/>
  <c r="EB67" i="2" s="1"/>
  <c r="EB68" i="2" s="1"/>
  <c r="EB69" i="2" s="1"/>
  <c r="EB70" i="2" s="1"/>
  <c r="EB71" i="2" s="1"/>
  <c r="EB72" i="2" s="1"/>
  <c r="EB73" i="2" s="1"/>
  <c r="EB74" i="2" s="1"/>
  <c r="EB75" i="2" s="1"/>
  <c r="EB76" i="2" s="1"/>
  <c r="EB77" i="2" s="1"/>
  <c r="EB78" i="2" s="1"/>
  <c r="EB79" i="2" s="1"/>
  <c r="EB80" i="2" s="1"/>
  <c r="EB81" i="2" s="1"/>
  <c r="EB82" i="2" s="1"/>
  <c r="EB83" i="2" s="1"/>
  <c r="EB84" i="2" s="1"/>
  <c r="EB85" i="2" s="1"/>
  <c r="EB86" i="2" s="1"/>
  <c r="EB87" i="2" s="1"/>
  <c r="EB88" i="2" s="1"/>
  <c r="EB89" i="2" s="1"/>
  <c r="EB90" i="2" s="1"/>
  <c r="EB91" i="2" s="1"/>
  <c r="EB92" i="2" s="1"/>
  <c r="EB93" i="2" s="1"/>
  <c r="EB94" i="2" s="1"/>
  <c r="EB95" i="2" s="1"/>
  <c r="EB96" i="2" s="1"/>
  <c r="EB97" i="2" s="1"/>
  <c r="EB98" i="2" s="1"/>
  <c r="EB99" i="2" s="1"/>
  <c r="EB100" i="2" s="1"/>
  <c r="EB101" i="2" s="1"/>
  <c r="EB102" i="2" s="1"/>
  <c r="EB103" i="2" s="1"/>
  <c r="EB104" i="2" s="1"/>
  <c r="EB105" i="2" s="1"/>
  <c r="EB106" i="2" s="1"/>
  <c r="EB107" i="2" s="1"/>
  <c r="EB108" i="2" s="1"/>
  <c r="EB109" i="2" s="1"/>
  <c r="EB110" i="2" s="1"/>
  <c r="EB111" i="2" s="1"/>
  <c r="EB112" i="2" s="1"/>
  <c r="EB113" i="2" s="1"/>
  <c r="EB114" i="2" s="1"/>
  <c r="EB115" i="2" s="1"/>
  <c r="EB116" i="2" s="1"/>
  <c r="EB117" i="2" s="1"/>
  <c r="EB118" i="2" s="1"/>
  <c r="EB119" i="2" s="1"/>
  <c r="EB120" i="2" s="1"/>
  <c r="EB121" i="2" s="1"/>
  <c r="EB122" i="2" s="1"/>
  <c r="EB123" i="2" s="1"/>
  <c r="EB124" i="2" s="1"/>
  <c r="EB125" i="2" s="1"/>
  <c r="EB126" i="2" s="1"/>
  <c r="EB127" i="2" s="1"/>
  <c r="EB128" i="2" s="1"/>
  <c r="EB129" i="2" s="1"/>
  <c r="EB130" i="2" s="1"/>
  <c r="EB131" i="2" s="1"/>
  <c r="EB132" i="2" s="1"/>
  <c r="EB133" i="2" s="1"/>
  <c r="EB134" i="2" s="1"/>
  <c r="EB135" i="2" s="1"/>
  <c r="EB136" i="2" s="1"/>
  <c r="EB137" i="2" s="1"/>
  <c r="EB138" i="2" s="1"/>
  <c r="EB139" i="2" s="1"/>
  <c r="EB140" i="2" s="1"/>
  <c r="EB141" i="2" s="1"/>
  <c r="EB142" i="2" s="1"/>
  <c r="EB143" i="2" s="1"/>
  <c r="EB144" i="2" s="1"/>
  <c r="EB145" i="2" s="1"/>
  <c r="EB146" i="2" s="1"/>
  <c r="EB147" i="2" s="1"/>
  <c r="EB148" i="2" s="1"/>
  <c r="EB149" i="2" s="1"/>
  <c r="EB150" i="2" s="1"/>
  <c r="EB151" i="2" s="1"/>
  <c r="EB152" i="2" s="1"/>
  <c r="EB153" i="2" s="1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EC5" i="2"/>
  <c r="EC6" i="2" s="1"/>
  <c r="EC7" i="2" s="1"/>
  <c r="EC8" i="2" s="1"/>
  <c r="EC9" i="2" s="1"/>
  <c r="EC10" i="2" s="1"/>
  <c r="EC11" i="2" s="1"/>
  <c r="EC12" i="2" s="1"/>
  <c r="EC13" i="2" s="1"/>
  <c r="EC14" i="2" s="1"/>
  <c r="EC15" i="2" s="1"/>
  <c r="EC16" i="2" s="1"/>
  <c r="EC17" i="2" s="1"/>
  <c r="EC18" i="2" s="1"/>
  <c r="EC19" i="2" s="1"/>
  <c r="EC20" i="2" s="1"/>
  <c r="EC21" i="2" s="1"/>
  <c r="EC22" i="2" s="1"/>
  <c r="EC23" i="2" s="1"/>
  <c r="EC24" i="2" s="1"/>
  <c r="EC25" i="2" s="1"/>
  <c r="EC26" i="2" s="1"/>
  <c r="EC27" i="2" s="1"/>
  <c r="EC28" i="2" s="1"/>
  <c r="EC29" i="2" s="1"/>
  <c r="EC30" i="2" s="1"/>
  <c r="EC31" i="2" s="1"/>
  <c r="EC32" i="2" s="1"/>
  <c r="EC33" i="2" s="1"/>
  <c r="EC34" i="2" s="1"/>
  <c r="EC35" i="2" s="1"/>
  <c r="EC36" i="2" s="1"/>
  <c r="EC37" i="2" s="1"/>
  <c r="EC38" i="2" s="1"/>
  <c r="EC39" i="2" s="1"/>
  <c r="EC40" i="2" s="1"/>
  <c r="EC41" i="2" s="1"/>
  <c r="EC42" i="2" s="1"/>
  <c r="EC43" i="2" s="1"/>
  <c r="EC44" i="2" s="1"/>
  <c r="EC45" i="2" s="1"/>
  <c r="EC46" i="2" s="1"/>
  <c r="EC47" i="2" s="1"/>
  <c r="EC48" i="2" s="1"/>
  <c r="EC49" i="2" s="1"/>
  <c r="EC50" i="2" s="1"/>
  <c r="EC51" i="2" s="1"/>
  <c r="EC52" i="2" s="1"/>
  <c r="EC53" i="2" s="1"/>
  <c r="EC54" i="2" s="1"/>
  <c r="EC55" i="2" s="1"/>
  <c r="EC56" i="2" s="1"/>
  <c r="EC57" i="2" s="1"/>
  <c r="EC58" i="2" s="1"/>
  <c r="EC59" i="2" s="1"/>
  <c r="EC60" i="2" s="1"/>
  <c r="EC61" i="2" s="1"/>
  <c r="EC62" i="2" s="1"/>
  <c r="EC63" i="2" s="1"/>
  <c r="EC64" i="2" s="1"/>
  <c r="EC65" i="2" s="1"/>
  <c r="EC66" i="2" s="1"/>
  <c r="EC67" i="2" s="1"/>
  <c r="EC68" i="2" s="1"/>
  <c r="EC69" i="2" s="1"/>
  <c r="EC70" i="2" s="1"/>
  <c r="EC71" i="2" s="1"/>
  <c r="EC72" i="2" s="1"/>
  <c r="EC73" i="2" s="1"/>
  <c r="EC74" i="2" s="1"/>
  <c r="EC75" i="2" s="1"/>
  <c r="EC76" i="2" s="1"/>
  <c r="EC77" i="2" s="1"/>
  <c r="EC78" i="2" s="1"/>
  <c r="EC79" i="2" s="1"/>
  <c r="EC80" i="2" s="1"/>
  <c r="EC81" i="2" s="1"/>
  <c r="EC82" i="2" s="1"/>
  <c r="EC83" i="2" s="1"/>
  <c r="EC84" i="2" s="1"/>
  <c r="EC85" i="2" s="1"/>
  <c r="EC86" i="2" s="1"/>
  <c r="EC87" i="2" s="1"/>
  <c r="EC88" i="2" s="1"/>
  <c r="EC89" i="2" s="1"/>
  <c r="EC90" i="2" s="1"/>
  <c r="EC91" i="2" s="1"/>
  <c r="EC92" i="2" s="1"/>
  <c r="EC93" i="2" s="1"/>
  <c r="EC94" i="2" s="1"/>
  <c r="EC95" i="2" s="1"/>
  <c r="EC96" i="2" s="1"/>
  <c r="EC97" i="2" s="1"/>
  <c r="EC98" i="2" s="1"/>
  <c r="EC99" i="2" s="1"/>
  <c r="EC100" i="2" s="1"/>
  <c r="EC101" i="2" s="1"/>
  <c r="EC102" i="2" s="1"/>
  <c r="EC103" i="2" s="1"/>
  <c r="EC104" i="2" s="1"/>
  <c r="EC105" i="2" s="1"/>
  <c r="EC106" i="2" s="1"/>
  <c r="EC107" i="2" s="1"/>
  <c r="EC108" i="2" s="1"/>
  <c r="EC109" i="2" s="1"/>
  <c r="EC110" i="2" s="1"/>
  <c r="EC111" i="2" s="1"/>
  <c r="EC112" i="2" s="1"/>
  <c r="EC113" i="2" s="1"/>
  <c r="EC114" i="2" s="1"/>
  <c r="EC115" i="2" s="1"/>
  <c r="EC116" i="2" s="1"/>
  <c r="EC117" i="2" s="1"/>
  <c r="EC118" i="2" s="1"/>
  <c r="EC119" i="2" s="1"/>
  <c r="EC120" i="2" s="1"/>
  <c r="EC121" i="2" s="1"/>
  <c r="EC122" i="2" s="1"/>
  <c r="EC123" i="2" s="1"/>
  <c r="EC124" i="2" s="1"/>
  <c r="EC125" i="2" s="1"/>
  <c r="EC126" i="2" s="1"/>
  <c r="EC127" i="2" s="1"/>
  <c r="EC128" i="2" s="1"/>
  <c r="EC129" i="2" s="1"/>
  <c r="EC130" i="2" s="1"/>
  <c r="EC131" i="2" s="1"/>
  <c r="EC132" i="2" s="1"/>
  <c r="EC133" i="2" s="1"/>
  <c r="EC134" i="2" s="1"/>
  <c r="EC135" i="2" s="1"/>
  <c r="EC136" i="2" s="1"/>
  <c r="EC137" i="2" s="1"/>
  <c r="EC138" i="2" s="1"/>
  <c r="EC139" i="2" s="1"/>
  <c r="EC140" i="2" s="1"/>
  <c r="EC141" i="2" s="1"/>
  <c r="EC142" i="2" s="1"/>
  <c r="EC143" i="2" s="1"/>
  <c r="EC144" i="2" s="1"/>
  <c r="EC145" i="2" s="1"/>
  <c r="EC146" i="2" s="1"/>
  <c r="EC147" i="2" s="1"/>
  <c r="EC148" i="2" s="1"/>
  <c r="EC149" i="2" s="1"/>
  <c r="EC150" i="2" s="1"/>
  <c r="EC151" i="2" s="1"/>
  <c r="EC152" i="2" s="1"/>
  <c r="EC153" i="2" s="1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EC4" i="2"/>
  <c r="EB4" i="2"/>
  <c r="EA4" i="2"/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L3" i="2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GF3" i="2" s="1"/>
  <c r="FX3" i="2"/>
  <c r="FU1" i="2"/>
  <c r="GO3" i="2"/>
  <c r="FP3" i="2"/>
  <c r="FM3" i="2"/>
  <c r="FL3" i="2"/>
  <c r="FF3" i="2"/>
  <c r="FH3" i="2" s="1"/>
  <c r="FI3" i="2" s="1"/>
  <c r="FK3" i="2" s="1"/>
  <c r="FC3" i="2"/>
  <c r="EZ1" i="2"/>
  <c r="FT3" i="2"/>
  <c r="EU3" i="2"/>
  <c r="ER3" i="2"/>
  <c r="EQ3" i="2"/>
  <c r="EK3" i="2"/>
  <c r="EM3" i="2" s="1"/>
  <c r="EN3" i="2" s="1"/>
  <c r="EP3" i="2" s="1"/>
  <c r="EH3" i="2"/>
  <c r="EE1" i="2"/>
  <c r="EY3" i="2"/>
  <c r="DZ3" i="2"/>
  <c r="DW3" i="2"/>
  <c r="DV3" i="2"/>
  <c r="DP3" i="2"/>
  <c r="DR3" i="2" s="1"/>
  <c r="DS3" i="2" s="1"/>
  <c r="DU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HA3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S63" i="6" l="1"/>
  <c r="H19" i="2"/>
  <c r="D20" i="2"/>
  <c r="G20" i="2" s="1"/>
  <c r="J33" i="6"/>
  <c r="S36" i="6"/>
  <c r="S64" i="6" l="1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DF4" i="2" s="1"/>
  <c r="BM4" i="2"/>
  <c r="DD4" i="2"/>
  <c r="DG4" i="2" s="1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DH4" i="2" l="1"/>
  <c r="DH5" i="2" s="1"/>
  <c r="CM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DG5" i="2" s="1"/>
  <c r="CH5" i="2"/>
  <c r="AS5" i="2"/>
  <c r="DX5" i="2"/>
  <c r="CI5" i="2"/>
  <c r="X5" i="2"/>
  <c r="DC5" i="2"/>
  <c r="DF5" i="2" s="1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DH6" i="2" l="1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DG6" i="2" s="1"/>
  <c r="CI6" i="2"/>
  <c r="X6" i="2"/>
  <c r="DC6" i="2"/>
  <c r="DF6" i="2" s="1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DH7" i="2" l="1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G7" i="2" s="1"/>
  <c r="DC7" i="2"/>
  <c r="DF7" i="2" s="1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CM7" i="2" l="1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G8" i="2" s="1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H8" i="2" s="1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DF8" i="2" l="1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H9" i="2" s="1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DH10" i="2" l="1"/>
  <c r="DF9" i="2"/>
  <c r="DG9" i="2"/>
  <c r="DG10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DF10" i="2" s="1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CM10" i="2" l="1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DF11" i="2" s="1"/>
  <c r="BM11" i="2"/>
  <c r="BN11" i="2"/>
  <c r="CI11" i="2"/>
  <c r="DX11" i="2"/>
  <c r="W11" i="2"/>
  <c r="DD11" i="2"/>
  <c r="DG11" i="2" s="1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DH11" i="2" s="1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CM11" i="2" l="1"/>
  <c r="AU11" i="2"/>
  <c r="AV11" i="2"/>
  <c r="AW11" i="2"/>
  <c r="AW12" i="2" s="1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DF12" i="2" s="1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DH12" i="2" s="1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U12" i="2" s="1"/>
  <c r="AG12" i="2"/>
  <c r="AP12" i="2"/>
  <c r="AF12" i="2"/>
  <c r="Y12" i="2"/>
  <c r="U12" i="2"/>
  <c r="V12" i="2"/>
  <c r="A13" i="2"/>
  <c r="AX8" i="2"/>
  <c r="Z11" i="2"/>
  <c r="AC10" i="2"/>
  <c r="DG12" i="2" l="1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DF13" i="2" s="1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H13" i="2" s="1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U13" i="2" s="1"/>
  <c r="AG13" i="2"/>
  <c r="AP13" i="2"/>
  <c r="AF13" i="2"/>
  <c r="V13" i="2"/>
  <c r="A14" i="2"/>
  <c r="Y13" i="2"/>
  <c r="U13" i="2"/>
  <c r="AX9" i="2"/>
  <c r="Z12" i="2"/>
  <c r="AC11" i="2"/>
  <c r="DG13" i="2" l="1"/>
  <c r="CM13" i="2"/>
  <c r="CK13" i="2"/>
  <c r="CL13" i="2"/>
  <c r="AV13" i="2"/>
  <c r="AW13" i="2"/>
  <c r="AW14" i="2" s="1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DH14" i="2" s="1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DF14" i="2" l="1"/>
  <c r="DG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H15" i="2" s="1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DG15" i="2" l="1"/>
  <c r="DF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H16" i="2" s="1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DF16" i="2" l="1"/>
  <c r="DG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F17" i="2" s="1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H17" i="2" s="1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DG17" i="2" l="1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DF18" i="2" s="1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DH18" i="2" s="1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DG18" i="2" l="1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DH19" i="2" s="1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DG19" i="2" l="1"/>
  <c r="DF19" i="2"/>
  <c r="CL19" i="2"/>
  <c r="CM19" i="2"/>
  <c r="BR19" i="2"/>
  <c r="AU19" i="2"/>
  <c r="AV19" i="2"/>
  <c r="AV20" i="2" s="1"/>
  <c r="AW19" i="2"/>
  <c r="AW20" i="2" s="1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DF20" i="2" s="1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DH20" i="2" s="1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DG20" i="2" l="1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DG21" i="2" s="1"/>
  <c r="CH21" i="2"/>
  <c r="AS21" i="2"/>
  <c r="DX21" i="2"/>
  <c r="CI21" i="2"/>
  <c r="BM21" i="2"/>
  <c r="X21" i="2"/>
  <c r="DC21" i="2"/>
  <c r="DF21" i="2" s="1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H21" i="2" s="1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CM21" i="2" l="1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DH22" i="2" s="1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DG22" i="2" l="1"/>
  <c r="DF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H23" i="2" s="1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DF23" i="2" l="1"/>
  <c r="DG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H24" i="2" s="1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DF24" i="2" l="1"/>
  <c r="DG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DG25" i="2" s="1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DH25" i="2" s="1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DH26" i="2" l="1"/>
  <c r="DF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G26" i="2" s="1"/>
  <c r="DC26" i="2"/>
  <c r="DF26" i="2" s="1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DH27" i="2" l="1"/>
  <c r="CM26" i="2"/>
  <c r="AU26" i="2"/>
  <c r="AW26" i="2"/>
  <c r="AW27" i="2" s="1"/>
  <c r="AV26" i="2"/>
  <c r="AV27" i="2" s="1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DG27" i="2" s="1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DF27" i="2" l="1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DH28" i="2" s="1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DH29" i="2" l="1"/>
  <c r="DF28" i="2"/>
  <c r="DG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DG29" i="2" l="1"/>
  <c r="DF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DH30" i="2" s="1"/>
  <c r="EU30" i="2"/>
  <c r="CR30" i="2"/>
  <c r="CQ30" i="2"/>
  <c r="CF30" i="2"/>
  <c r="BB30" i="2"/>
  <c r="CG30" i="2"/>
  <c r="CM30" i="2" s="1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DH31" i="2" l="1"/>
  <c r="DG30" i="2"/>
  <c r="DF30" i="2"/>
  <c r="DG31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CM31" i="2" s="1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F31" i="2" l="1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H32" i="2" s="1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CM32" i="2" s="1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DF32" i="2" l="1"/>
  <c r="DG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DG33" i="2" s="1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DH33" i="2" l="1"/>
  <c r="DH34" i="2" s="1"/>
  <c r="DF33" i="2"/>
  <c r="AV33" i="2"/>
  <c r="AW33" i="2"/>
  <c r="AU33" i="2"/>
  <c r="BR33" i="2"/>
  <c r="BP33" i="2"/>
  <c r="BQ33" i="2"/>
  <c r="CL33" i="2"/>
  <c r="CK33" i="2"/>
  <c r="CM33" i="2"/>
  <c r="CM34" i="2" s="1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DG34" i="2" s="1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DF34" i="2" l="1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DG35" i="2" s="1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DH35" i="2" s="1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DF35" i="2" l="1"/>
  <c r="DF36" i="2" s="1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DH36" i="2" s="1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DG36" i="2" l="1"/>
  <c r="CM36" i="2"/>
  <c r="AU36" i="2"/>
  <c r="AW36" i="2"/>
  <c r="AV36" i="2"/>
  <c r="AV37" i="2" s="1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DF37" i="2" s="1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DH37" i="2" s="1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DG37" i="2" l="1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DF38" i="2" s="1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DH38" i="2" s="1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DG38" i="2" l="1"/>
  <c r="CM38" i="2"/>
  <c r="BR38" i="2"/>
  <c r="AV38" i="2"/>
  <c r="AU38" i="2"/>
  <c r="AW38" i="2"/>
  <c r="AW39" i="2" s="1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G39" i="2" s="1"/>
  <c r="DC39" i="2"/>
  <c r="DF39" i="2" s="1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DH39" i="2" s="1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DH40" i="2" l="1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G40" i="2" s="1"/>
  <c r="DC40" i="2"/>
  <c r="DF40" i="2" s="1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CM40" i="2" l="1"/>
  <c r="AV40" i="2"/>
  <c r="AU40" i="2"/>
  <c r="AW40" i="2"/>
  <c r="AW41" i="2" s="1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DH41" i="2" s="1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DF41" i="2" l="1"/>
  <c r="DG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DF42" i="2" s="1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DH42" i="2" s="1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DH43" i="2" l="1"/>
  <c r="DG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F43" i="2" s="1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CM43" i="2"/>
  <c r="AW43" i="2"/>
  <c r="BP43" i="2"/>
  <c r="AV43" i="2"/>
  <c r="AU43" i="2"/>
  <c r="AU44" i="2" s="1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DF44" i="2" s="1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DH44" i="2" s="1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DH45" i="2" l="1"/>
  <c r="DG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DF45" i="2" s="1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DG45" i="2" l="1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DG46" i="2" s="1"/>
  <c r="CH46" i="2"/>
  <c r="AS46" i="2"/>
  <c r="W46" i="2"/>
  <c r="DC46" i="2"/>
  <c r="DF46" i="2" s="1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DH46" i="2" s="1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CM46" i="2" l="1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DG47" i="2" s="1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H47" i="2" s="1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DF47" i="2" l="1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H48" i="2" s="1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DG48" i="2" l="1"/>
  <c r="DF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H49" i="2" s="1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DG49" i="2" l="1"/>
  <c r="DF49" i="2"/>
  <c r="CM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DG50" i="2" s="1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DH50" i="2" s="1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DF50" i="2" l="1"/>
  <c r="CM50" i="2"/>
  <c r="AV50" i="2"/>
  <c r="AU50" i="2"/>
  <c r="AW50" i="2"/>
  <c r="AW51" i="2" s="1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DG51" i="2" s="1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DH51" i="2" s="1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DH52" i="2" l="1"/>
  <c r="DF51" i="2"/>
  <c r="CM51" i="2"/>
  <c r="BR51" i="2"/>
  <c r="AV51" i="2"/>
  <c r="AU51" i="2"/>
  <c r="AU52" i="2" s="1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BR52" i="2" s="1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DF52" i="2" l="1"/>
  <c r="DG52" i="2"/>
  <c r="CM52" i="2"/>
  <c r="AV52" i="2"/>
  <c r="AW52" i="2"/>
  <c r="AW53" i="2" s="1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DG53" i="2" s="1"/>
  <c r="CH53" i="2"/>
  <c r="AS53" i="2"/>
  <c r="DX53" i="2"/>
  <c r="CI53" i="2"/>
  <c r="BM53" i="2"/>
  <c r="X53" i="2"/>
  <c r="DC53" i="2"/>
  <c r="DF53" i="2" s="1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DH53" i="2" s="1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CM53" i="2" l="1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DF54" i="2" s="1"/>
  <c r="AR54" i="2"/>
  <c r="DD54" i="2"/>
  <c r="DG54" i="2" s="1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DH54" i="2" s="1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CM54" i="2" l="1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G55" i="2" s="1"/>
  <c r="DC55" i="2"/>
  <c r="DF55" i="2" s="1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H55" i="2" s="1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BR55" i="2" s="1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DH56" i="2" l="1"/>
  <c r="DF56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G56" i="2" s="1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DH57" i="2" l="1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DG57" i="2" s="1"/>
  <c r="ES57" i="2"/>
  <c r="DX57" i="2"/>
  <c r="CH57" i="2"/>
  <c r="AS57" i="2"/>
  <c r="CI57" i="2"/>
  <c r="BM57" i="2"/>
  <c r="X57" i="2"/>
  <c r="ET57" i="2"/>
  <c r="AR57" i="2"/>
  <c r="DC57" i="2"/>
  <c r="DF57" i="2" s="1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CM57" i="2" l="1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G58" i="2" s="1"/>
  <c r="DC58" i="2"/>
  <c r="DF58" i="2" s="1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DH58" i="2" s="1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CM58" i="2" l="1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DF59" i="2" s="1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H59" i="2" s="1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DH60" i="2" l="1"/>
  <c r="DG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DG60" i="2" s="1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DF60" i="2" l="1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DG61" i="2" s="1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DH61" i="2" s="1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DF61" i="2" l="1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DG62" i="2" s="1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DH62" i="2" s="1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DH63" i="2" l="1"/>
  <c r="DF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F63" i="2" s="1"/>
  <c r="DX63" i="2"/>
  <c r="BN63" i="2"/>
  <c r="FO63" i="2"/>
  <c r="BM63" i="2"/>
  <c r="CH63" i="2"/>
  <c r="AS63" i="2"/>
  <c r="W63" i="2"/>
  <c r="DD63" i="2"/>
  <c r="DG63" i="2" s="1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CM63" i="2" l="1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DF64" i="2" s="1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H64" i="2" s="1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DG64" i="2" l="1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H65" i="2" s="1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DF65" i="2" l="1"/>
  <c r="DG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DH66" i="2" s="1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DG66" i="2" l="1"/>
  <c r="DF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DG67" i="2" s="1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DH67" i="2" s="1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DF67" i="2" l="1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DG68" i="2" s="1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DH68" i="2" s="1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DF68" i="2" l="1"/>
  <c r="AU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G69" i="2" s="1"/>
  <c r="DY69" i="2"/>
  <c r="CH69" i="2"/>
  <c r="AS69" i="2"/>
  <c r="DX69" i="2"/>
  <c r="CI69" i="2"/>
  <c r="BM69" i="2"/>
  <c r="X69" i="2"/>
  <c r="DC69" i="2"/>
  <c r="DF69" i="2" s="1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DH69" i="2" s="1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CM69" i="2" l="1"/>
  <c r="BP69" i="2"/>
  <c r="AV69" i="2"/>
  <c r="AW69" i="2"/>
  <c r="AU69" i="2"/>
  <c r="AU70" i="2" s="1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DH70" i="2" s="1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DF70" i="2" l="1"/>
  <c r="DG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G71" i="2" s="1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H71" i="2" s="1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DF71" i="2" l="1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H72" i="2" s="1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DF72" i="2" l="1"/>
  <c r="DG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DG73" i="2" s="1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DF73" i="2" s="1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H73" i="2" s="1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CM73" i="2" l="1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DF74" i="2" s="1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DH74" i="2" s="1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DG74" i="2" l="1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DF75" i="2" s="1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H75" i="2" s="1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DG75" i="2" l="1"/>
  <c r="DG76" i="2" s="1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DF76" i="2" s="1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DH76" i="2" s="1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CM76" i="2" l="1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DG77" i="2" s="1"/>
  <c r="CH77" i="2"/>
  <c r="AS77" i="2"/>
  <c r="CI77" i="2"/>
  <c r="BM77" i="2"/>
  <c r="DY77" i="2"/>
  <c r="X77" i="2"/>
  <c r="DC77" i="2"/>
  <c r="DF77" i="2" s="1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H77" i="2" s="1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CM77" i="2" l="1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DH78" i="2" s="1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DG78" i="2" l="1"/>
  <c r="DF78" i="2"/>
  <c r="AU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H79" i="2" s="1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DG79" i="2" l="1"/>
  <c r="DF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DG80" i="2" s="1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H80" i="2" s="1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DF80" i="2" l="1"/>
  <c r="AU80" i="2"/>
  <c r="CM80" i="2"/>
  <c r="AV80" i="2"/>
  <c r="AW80" i="2"/>
  <c r="AW81" i="2" s="1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DF81" i="2" s="1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H81" i="2" s="1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DG81" i="2" l="1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DF82" i="2" s="1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DH82" i="2" s="1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DG82" i="2" l="1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F83" i="2" s="1"/>
  <c r="DD83" i="2"/>
  <c r="DG83" i="2" s="1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DH83" i="2" s="1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CM83" i="2" l="1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G84" i="2" s="1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DH84" i="2" s="1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DF84" i="2" l="1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G85" i="2" s="1"/>
  <c r="DY85" i="2"/>
  <c r="CH85" i="2"/>
  <c r="AS85" i="2"/>
  <c r="DX85" i="2"/>
  <c r="CI85" i="2"/>
  <c r="BM85" i="2"/>
  <c r="X85" i="2"/>
  <c r="DC85" i="2"/>
  <c r="DF85" i="2" s="1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DH85" i="2" s="1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CM85" i="2" l="1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F86" i="2" s="1"/>
  <c r="DX86" i="2"/>
  <c r="CI86" i="2"/>
  <c r="BM86" i="2"/>
  <c r="X86" i="2"/>
  <c r="DD86" i="2"/>
  <c r="DG86" i="2" s="1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DH86" i="2" s="1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CM86" i="2" l="1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G87" i="2" s="1"/>
  <c r="DC87" i="2"/>
  <c r="DF87" i="2" s="1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H87" i="2" s="1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CM87" i="2" l="1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H88" i="2" s="1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DF88" i="2" l="1"/>
  <c r="DG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DF89" i="2" s="1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H89" i="2" s="1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DG89" i="2" l="1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DF90" i="2" s="1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DH90" i="2" s="1"/>
  <c r="EU90" i="2"/>
  <c r="CQ90" i="2"/>
  <c r="CF90" i="2"/>
  <c r="BB90" i="2"/>
  <c r="CG90" i="2"/>
  <c r="BV90" i="2"/>
  <c r="BO90" i="2"/>
  <c r="BK90" i="2"/>
  <c r="BW90" i="2"/>
  <c r="BL90" i="2"/>
  <c r="BR90" i="2" s="1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DG90" i="2" l="1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H91" i="2" s="1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DG91" i="2" l="1"/>
  <c r="DF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DH92" i="2" s="1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DG92" i="2" l="1"/>
  <c r="DF92" i="2"/>
  <c r="CM92" i="2"/>
  <c r="BR92" i="2"/>
  <c r="AV92" i="2"/>
  <c r="AU92" i="2"/>
  <c r="AW92" i="2"/>
  <c r="AW93" i="2" s="1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DG93" i="2" s="1"/>
  <c r="CH93" i="2"/>
  <c r="AS93" i="2"/>
  <c r="CI93" i="2"/>
  <c r="BM93" i="2"/>
  <c r="DX93" i="2"/>
  <c r="X93" i="2"/>
  <c r="DC93" i="2"/>
  <c r="DF93" i="2" s="1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H93" i="2" s="1"/>
  <c r="DZ93" i="2"/>
  <c r="CQ93" i="2"/>
  <c r="DE93" i="2"/>
  <c r="CR93" i="2"/>
  <c r="CG93" i="2"/>
  <c r="BV93" i="2"/>
  <c r="BO93" i="2"/>
  <c r="BK93" i="2"/>
  <c r="DL93" i="2"/>
  <c r="BW93" i="2"/>
  <c r="BL93" i="2"/>
  <c r="BR93" i="2" s="1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CM93" i="2" l="1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DG94" i="2" s="1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DH94" i="2" s="1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DF94" i="2" l="1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DG95" i="2" s="1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DH95" i="2" s="1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DF95" i="2" l="1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DG96" i="2" s="1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H96" i="2" s="1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DF96" i="2" l="1"/>
  <c r="CM96" i="2"/>
  <c r="AV96" i="2"/>
  <c r="AU96" i="2"/>
  <c r="AW96" i="2"/>
  <c r="AW97" i="2" s="1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DG97" i="2" s="1"/>
  <c r="ET97" i="2"/>
  <c r="CH97" i="2"/>
  <c r="AS97" i="2"/>
  <c r="DY97" i="2"/>
  <c r="CI97" i="2"/>
  <c r="BM97" i="2"/>
  <c r="X97" i="2"/>
  <c r="ES97" i="2"/>
  <c r="DX97" i="2"/>
  <c r="AR97" i="2"/>
  <c r="DC97" i="2"/>
  <c r="DF97" i="2" s="1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H97" i="2" s="1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CM97" i="2" l="1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DG98" i="2" s="1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DH98" i="2" s="1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DF98" i="2" l="1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DH99" i="2" s="1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DG99" i="2" l="1"/>
  <c r="DF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DH100" i="2" s="1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DG100" i="2" l="1"/>
  <c r="DF100" i="2"/>
  <c r="AU100" i="2"/>
  <c r="CM100" i="2"/>
  <c r="BP100" i="2"/>
  <c r="BR100" i="2"/>
  <c r="AV100" i="2"/>
  <c r="AW100" i="2"/>
  <c r="AW101" i="2" s="1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DH101" i="2" s="1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DG101" i="2" l="1"/>
  <c r="DF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DH102" i="2" s="1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DG102" i="2" l="1"/>
  <c r="DF102" i="2"/>
  <c r="BR102" i="2"/>
  <c r="AU102" i="2"/>
  <c r="CM102" i="2"/>
  <c r="AV102" i="2"/>
  <c r="AW102" i="2"/>
  <c r="AW103" i="2" s="1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F103" i="2" s="1"/>
  <c r="DD103" i="2"/>
  <c r="DG103" i="2" s="1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H103" i="2" s="1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BR103" i="2" l="1"/>
  <c r="CM103" i="2"/>
  <c r="BQ103" i="2"/>
  <c r="BP103" i="2"/>
  <c r="AV103" i="2"/>
  <c r="AU103" i="2"/>
  <c r="AU104" i="2" s="1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DG104" i="2" s="1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H104" i="2" s="1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DF104" i="2" l="1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G105" i="2" s="1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DH105" i="2" s="1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DF105" i="2" l="1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BP106" i="2" s="1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DH106" i="2" s="1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DF106" i="2" l="1"/>
  <c r="DG106" i="2"/>
  <c r="AU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F107" i="2" s="1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H107" i="2" s="1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DG107" i="2" l="1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DF108" i="2" s="1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DH108" i="2" s="1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DG108" i="2" l="1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DF109" i="2" s="1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H109" i="2" s="1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DG109" i="2" l="1"/>
  <c r="CM109" i="2"/>
  <c r="BQ109" i="2"/>
  <c r="AV109" i="2"/>
  <c r="AW109" i="2"/>
  <c r="AU109" i="2"/>
  <c r="AU110" i="2" s="1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DH110" i="2" s="1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DF110" i="2" l="1"/>
  <c r="DG110" i="2"/>
  <c r="CM110" i="2"/>
  <c r="AV110" i="2"/>
  <c r="AW110" i="2"/>
  <c r="AW111" i="2" s="1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F111" i="2" s="1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H111" i="2" s="1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DG111" i="2" l="1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DF112" i="2" s="1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H112" i="2" s="1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DG112" i="2" l="1"/>
  <c r="CM112" i="2"/>
  <c r="AV112" i="2"/>
  <c r="AU112" i="2"/>
  <c r="AW112" i="2"/>
  <c r="AW113" i="2" s="1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DG113" i="2" s="1"/>
  <c r="ES113" i="2"/>
  <c r="DC113" i="2"/>
  <c r="DF113" i="2" s="1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H113" i="2" s="1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CM113" i="2" l="1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DG114" i="2" s="1"/>
  <c r="BN114" i="2"/>
  <c r="FO114" i="2"/>
  <c r="CH114" i="2"/>
  <c r="AS114" i="2"/>
  <c r="ES114" i="2"/>
  <c r="DX114" i="2"/>
  <c r="DC114" i="2"/>
  <c r="DF114" i="2" s="1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DH114" i="2" s="1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DH115" i="2" l="1"/>
  <c r="AU114" i="2"/>
  <c r="CM114" i="2"/>
  <c r="BQ114" i="2"/>
  <c r="AV114" i="2"/>
  <c r="AW114" i="2"/>
  <c r="AW115" i="2" s="1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F115" i="2" s="1"/>
  <c r="DD115" i="2"/>
  <c r="DG115" i="2" s="1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CM115" i="2" l="1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DH116" i="2" s="1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DF116" i="2" l="1"/>
  <c r="DG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DF117" i="2" s="1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DH117" i="2" s="1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DG117" i="2" l="1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DG118" i="2" s="1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DH118" i="2" s="1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DF118" i="2" l="1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F119" i="2" s="1"/>
  <c r="DD119" i="2"/>
  <c r="DG119" i="2" s="1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H119" i="2" s="1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CM119" i="2" l="1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F120" i="2" s="1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H120" i="2" s="1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DG120" i="2" l="1"/>
  <c r="AU120" i="2"/>
  <c r="CM120" i="2"/>
  <c r="AV120" i="2"/>
  <c r="AW120" i="2"/>
  <c r="AW121" i="2" s="1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G121" i="2" s="1"/>
  <c r="DC121" i="2"/>
  <c r="DF121" i="2" s="1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H121" i="2" s="1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DH122" i="2" l="1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DF122" i="2" s="1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DG122" i="2" l="1"/>
  <c r="AU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DG123" i="2" s="1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H123" i="2" s="1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DF123" i="2" l="1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F124" i="2" s="1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DH124" i="2" s="1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DG124" i="2" l="1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DF125" i="2" s="1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H125" i="2" s="1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DG125" i="2" l="1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DG126" i="2" s="1"/>
  <c r="BN126" i="2"/>
  <c r="CH126" i="2"/>
  <c r="AS126" i="2"/>
  <c r="W126" i="2"/>
  <c r="CI126" i="2"/>
  <c r="BM126" i="2"/>
  <c r="X126" i="2"/>
  <c r="DC126" i="2"/>
  <c r="DF126" i="2" s="1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DH126" i="2" s="1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CM126" i="2" l="1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DH127" i="2" s="1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DG127" i="2" l="1"/>
  <c r="DF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DF128" i="2" s="1"/>
  <c r="AR128" i="2"/>
  <c r="CH128" i="2"/>
  <c r="DD128" i="2"/>
  <c r="DG128" i="2" s="1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H128" i="2" s="1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BR128" i="2" l="1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H129" i="2" s="1"/>
  <c r="DL129" i="2"/>
  <c r="CR129" i="2"/>
  <c r="DZ129" i="2"/>
  <c r="CG129" i="2"/>
  <c r="BV129" i="2"/>
  <c r="BO129" i="2"/>
  <c r="DE129" i="2"/>
  <c r="BK129" i="2"/>
  <c r="BW129" i="2"/>
  <c r="BL129" i="2"/>
  <c r="BR129" i="2" s="1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DF129" i="2" l="1"/>
  <c r="DG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DH130" i="2" s="1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DG130" i="2" l="1"/>
  <c r="DF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DH131" i="2" s="1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DF131" i="2" l="1"/>
  <c r="DG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F132" i="2" s="1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DH132" i="2" s="1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DG132" i="2" l="1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G133" i="2" s="1"/>
  <c r="DC133" i="2"/>
  <c r="DF133" i="2" s="1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DH133" i="2" s="1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CM133" i="2" l="1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DG134" i="2" s="1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DH134" i="2" s="1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DF134" i="2" l="1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H135" i="2" s="1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DG135" i="2" l="1"/>
  <c r="DF135" i="2"/>
  <c r="CM135" i="2"/>
  <c r="BR135" i="2"/>
  <c r="AV135" i="2"/>
  <c r="AW135" i="2"/>
  <c r="AU135" i="2"/>
  <c r="AU136" i="2" s="1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DG136" i="2" s="1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H136" i="2" s="1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DF136" i="2" l="1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G137" i="2" s="1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H137" i="2" s="1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DF137" i="2" l="1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DF138" i="2" s="1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DH138" i="2" s="1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DG138" i="2" l="1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F139" i="2" s="1"/>
  <c r="DD139" i="2"/>
  <c r="DG139" i="2" s="1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H139" i="2" s="1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CM139" i="2" l="1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DF140" i="2" s="1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DH140" i="2" s="1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DG140" i="2" l="1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G141" i="2" s="1"/>
  <c r="DC141" i="2"/>
  <c r="DF141" i="2" s="1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H141" i="2" s="1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CM141" i="2" l="1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F142" i="2" s="1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DH142" i="2" s="1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DG142" i="2" l="1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F143" i="2" s="1"/>
  <c r="DX143" i="2"/>
  <c r="DD143" i="2"/>
  <c r="DG143" i="2" s="1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H143" i="2" s="1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CM143" i="2" l="1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DF144" i="2" s="1"/>
  <c r="AR144" i="2"/>
  <c r="AS144" i="2"/>
  <c r="DD144" i="2"/>
  <c r="DG144" i="2" s="1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H144" i="2" s="1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BR144" i="2" l="1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F145" i="2" s="1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H145" i="2" s="1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DG145" i="2" l="1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DF146" i="2" s="1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DH146" i="2" s="1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DG146" i="2" l="1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DH147" i="2" s="1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DG147" i="2" l="1"/>
  <c r="DF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DG148" i="2" s="1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DH148" i="2" s="1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DF148" i="2" l="1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G149" i="2" s="1"/>
  <c r="DC149" i="2"/>
  <c r="DF149" i="2" s="1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DH149" i="2" s="1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CM149" i="2" l="1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DG150" i="2" s="1"/>
  <c r="BN150" i="2"/>
  <c r="DY150" i="2"/>
  <c r="CH150" i="2"/>
  <c r="W150" i="2"/>
  <c r="DX150" i="2"/>
  <c r="CI150" i="2"/>
  <c r="BM150" i="2"/>
  <c r="X150" i="2"/>
  <c r="DC150" i="2"/>
  <c r="DF150" i="2" s="1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DH150" i="2" s="1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CM150" i="2" l="1"/>
  <c r="BQ150" i="2"/>
  <c r="BR150" i="2"/>
  <c r="AV150" i="2"/>
  <c r="AU150" i="2"/>
  <c r="AW150" i="2"/>
  <c r="AW151" i="2" s="1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H151" i="2" s="1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DG151" i="2" l="1"/>
  <c r="DF151" i="2"/>
  <c r="BR151" i="2"/>
  <c r="BQ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F152" i="2" s="1"/>
  <c r="DY152" i="2"/>
  <c r="AR152" i="2"/>
  <c r="DD152" i="2"/>
  <c r="DG152" i="2" s="1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H152" i="2" s="1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BR152" i="2" l="1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G153" i="2" s="1"/>
  <c r="DC153" i="2"/>
  <c r="DF153" i="2" s="1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H153" i="2" s="1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CM153" i="2" l="1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DG154" i="2" s="1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DF154" i="2" s="1"/>
  <c r="CI154" i="2"/>
  <c r="BK154" i="2"/>
  <c r="BN154" i="2"/>
  <c r="U154" i="2"/>
  <c r="BV154" i="2"/>
  <c r="BO154" i="2"/>
  <c r="AP154" i="2"/>
  <c r="V154" i="2"/>
  <c r="L154" i="2"/>
  <c r="DB154" i="2"/>
  <c r="DH154" i="2" s="1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B154" i="2" s="1"/>
  <c r="AX150" i="2"/>
  <c r="Z153" i="2"/>
  <c r="Z154" i="2" s="1"/>
  <c r="AC152" i="2"/>
  <c r="CM154" i="2" l="1"/>
  <c r="BR154" i="2"/>
  <c r="AV154" i="2"/>
  <c r="AU154" i="2"/>
  <c r="AW154" i="2"/>
  <c r="AW155" i="2" s="1"/>
  <c r="BQ154" i="2"/>
  <c r="BP154" i="2"/>
  <c r="CL154" i="2"/>
  <c r="CK154" i="2"/>
  <c r="CN154" i="2" s="1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DH155" i="2" s="1"/>
  <c r="CH155" i="2"/>
  <c r="BO155" i="2"/>
  <c r="DC155" i="2"/>
  <c r="DF155" i="2" s="1"/>
  <c r="CI155" i="2"/>
  <c r="DD155" i="2"/>
  <c r="DG155" i="2" s="1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Z155" i="2" s="1"/>
  <c r="A156" i="2"/>
  <c r="H193" i="2"/>
  <c r="AC154" i="2"/>
  <c r="HJ154" i="2"/>
  <c r="EY154" i="2"/>
  <c r="ED154" i="2"/>
  <c r="GO154" i="2"/>
  <c r="FT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CM155" i="2" l="1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F156" i="2" s="1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DG156" i="2" s="1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GO155" i="2"/>
  <c r="ED155" i="2"/>
  <c r="DI155" i="2"/>
  <c r="AX152" i="2"/>
  <c r="CN155" i="2" l="1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H157" i="2" s="1"/>
  <c r="DL157" i="2"/>
  <c r="DV157" i="2"/>
  <c r="DD157" i="2"/>
  <c r="CJ157" i="2"/>
  <c r="AP157" i="2"/>
  <c r="DZ157" i="2"/>
  <c r="CI157" i="2"/>
  <c r="AS157" i="2"/>
  <c r="BA157" i="2"/>
  <c r="AF157" i="2"/>
  <c r="DC157" i="2"/>
  <c r="DF157" i="2" s="1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DG157" i="2" l="1"/>
  <c r="DI157" i="2" s="1"/>
  <c r="CN156" i="2"/>
  <c r="CM157" i="2"/>
  <c r="BR157" i="2"/>
  <c r="AV157" i="2"/>
  <c r="AW157" i="2"/>
  <c r="AU157" i="2"/>
  <c r="AU158" i="2" s="1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DG158" i="2" s="1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DH158" i="2" s="1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DF158" i="2" l="1"/>
  <c r="DI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DH159" i="2" s="1"/>
  <c r="CH159" i="2"/>
  <c r="DD159" i="2"/>
  <c r="DG159" i="2" s="1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DF159" i="2" s="1"/>
  <c r="CJ159" i="2"/>
  <c r="AG159" i="2"/>
  <c r="X159" i="2"/>
  <c r="L159" i="2"/>
  <c r="H197" i="2"/>
  <c r="AX156" i="2"/>
  <c r="ED158" i="2"/>
  <c r="D198" i="2"/>
  <c r="G198" i="2" s="1"/>
  <c r="CM159" i="2" l="1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ED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DH160" i="2" s="1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DI159" i="2"/>
  <c r="DG160" i="2" l="1"/>
  <c r="DF160" i="2"/>
  <c r="AU160" i="2"/>
  <c r="CM160" i="2"/>
  <c r="BR160" i="2"/>
  <c r="AV160" i="2"/>
  <c r="AW160" i="2"/>
  <c r="AW161" i="2" s="1"/>
  <c r="BQ160" i="2"/>
  <c r="BP160" i="2"/>
  <c r="CL160" i="2"/>
  <c r="CK160" i="2"/>
  <c r="CN159" i="2"/>
  <c r="FT159" i="2"/>
  <c r="GO159" i="2"/>
  <c r="Z160" i="2"/>
  <c r="AC159" i="2"/>
  <c r="HJ159" i="2"/>
  <c r="ED160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DH161" i="2" s="1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DF161" i="2" l="1"/>
  <c r="DG161" i="2"/>
  <c r="DI161" i="2" s="1"/>
  <c r="CN160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DH162" i="2" s="1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ED161" i="2"/>
  <c r="DG162" i="2" l="1"/>
  <c r="DF162" i="2"/>
  <c r="AU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DH163" i="2" s="1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DF163" i="2" s="1"/>
  <c r="BM163" i="2"/>
  <c r="BA163" i="2"/>
  <c r="AQ163" i="2"/>
  <c r="H201" i="2"/>
  <c r="D202" i="2"/>
  <c r="G202" i="2" s="1"/>
  <c r="EY162" i="2"/>
  <c r="AX160" i="2"/>
  <c r="DG163" i="2" l="1"/>
  <c r="DI163" i="2" s="1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DG164" i="2" s="1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F164" i="2" l="1"/>
  <c r="DI164" i="2" s="1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DH165" i="2" s="1"/>
  <c r="CH165" i="2"/>
  <c r="AP165" i="2"/>
  <c r="BV165" i="2"/>
  <c r="AR165" i="2"/>
  <c r="AF165" i="2"/>
  <c r="DA165" i="2"/>
  <c r="CI165" i="2"/>
  <c r="DC165" i="2"/>
  <c r="DF165" i="2" s="1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DG165" i="2" l="1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DH166" i="2" s="1"/>
  <c r="CH166" i="2"/>
  <c r="BA166" i="2"/>
  <c r="AP166" i="2"/>
  <c r="EQ166" i="2"/>
  <c r="DL166" i="2"/>
  <c r="DC166" i="2"/>
  <c r="DF166" i="2" s="1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DG166" i="2" l="1"/>
  <c r="DI166" i="2" s="1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DH167" i="2" s="1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F167" i="2" l="1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DH168" i="2" s="1"/>
  <c r="CH168" i="2"/>
  <c r="ER168" i="2"/>
  <c r="DC168" i="2"/>
  <c r="DF168" i="2" s="1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/>
  <c r="DH169" i="2" l="1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DF169" i="2" s="1"/>
  <c r="CI169" i="2"/>
  <c r="ET169" i="2"/>
  <c r="DL169" i="2"/>
  <c r="DD169" i="2"/>
  <c r="DG169" i="2" s="1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DI168" i="2"/>
  <c r="CM169" i="2" l="1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DF170" i="2" s="1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DH170" i="2" s="1"/>
  <c r="BN170" i="2"/>
  <c r="BO170" i="2"/>
  <c r="X170" i="2"/>
  <c r="CF170" i="2"/>
  <c r="Y170" i="2"/>
  <c r="AQ170" i="2"/>
  <c r="AX167" i="2"/>
  <c r="DG170" i="2" l="1"/>
  <c r="DI170" i="2" s="1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DH171" i="2" s="1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DF171" i="2" s="1"/>
  <c r="CJ171" i="2"/>
  <c r="BL171" i="2"/>
  <c r="AS171" i="2"/>
  <c r="BN171" i="2"/>
  <c r="AX168" i="2"/>
  <c r="DG171" i="2" l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DH172" i="2" s="1"/>
  <c r="CH172" i="2"/>
  <c r="BK172" i="2"/>
  <c r="DZ172" i="2"/>
  <c r="DC172" i="2"/>
  <c r="DF172" i="2" s="1"/>
  <c r="EG172" i="2"/>
  <c r="DE172" i="2"/>
  <c r="BN172" i="2"/>
  <c r="AG172" i="2"/>
  <c r="ES172" i="2"/>
  <c r="CR172" i="2"/>
  <c r="CF172" i="2"/>
  <c r="DD172" i="2"/>
  <c r="DG172" i="2" s="1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CL172" i="2" l="1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DH173" i="2" s="1"/>
  <c r="EG173" i="2"/>
  <c r="EQ173" i="2"/>
  <c r="DD173" i="2"/>
  <c r="DG173" i="2" s="1"/>
  <c r="CJ173" i="2"/>
  <c r="BM173" i="2"/>
  <c r="BB173" i="2"/>
  <c r="DE173" i="2"/>
  <c r="BN173" i="2"/>
  <c r="BQ173" i="2" s="1"/>
  <c r="DL173" i="2"/>
  <c r="DV173" i="2"/>
  <c r="BV173" i="2"/>
  <c r="AP173" i="2"/>
  <c r="DZ173" i="2"/>
  <c r="AS173" i="2"/>
  <c r="L173" i="2"/>
  <c r="DA173" i="2"/>
  <c r="DC173" i="2"/>
  <c r="DF173" i="2" s="1"/>
  <c r="CG173" i="2"/>
  <c r="V173" i="2"/>
  <c r="CH173" i="2"/>
  <c r="W173" i="2"/>
  <c r="CI173" i="2"/>
  <c r="CL173" i="2" s="1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CM173" i="2" l="1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H174" i="2" s="1"/>
  <c r="DM174" i="2"/>
  <c r="DW174" i="2"/>
  <c r="EG174" i="2"/>
  <c r="BV174" i="2"/>
  <c r="BA174" i="2"/>
  <c r="EH174" i="2"/>
  <c r="CQ174" i="2"/>
  <c r="EQ174" i="2"/>
  <c r="ES174" i="2"/>
  <c r="DC174" i="2"/>
  <c r="DF174" i="2" s="1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DG174" i="2" s="1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DI173" i="2"/>
  <c r="CL174" i="2" l="1"/>
  <c r="CM174" i="2"/>
  <c r="BR174" i="2"/>
  <c r="AV174" i="2"/>
  <c r="AU174" i="2"/>
  <c r="AW174" i="2"/>
  <c r="BQ174" i="2"/>
  <c r="BP174" i="2"/>
  <c r="CK174" i="2"/>
  <c r="FT173" i="2"/>
  <c r="CN173" i="2"/>
  <c r="DI174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DH175" i="2" s="1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BR175" i="2" s="1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DF175" i="2" l="1"/>
  <c r="DI175" i="2" s="1"/>
  <c r="DG175" i="2"/>
  <c r="CN174" i="2"/>
  <c r="CL175" i="2"/>
  <c r="CM175" i="2"/>
  <c r="AV175" i="2"/>
  <c r="AW175" i="2"/>
  <c r="AU175" i="2"/>
  <c r="AU176" i="2" s="1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DF176" i="2" s="1"/>
  <c r="CI176" i="2"/>
  <c r="DV176" i="2"/>
  <c r="DA176" i="2"/>
  <c r="DW176" i="2"/>
  <c r="DY176" i="2"/>
  <c r="DE176" i="2"/>
  <c r="DH176" i="2" s="1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DG176" i="2" s="1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DH177" i="2" l="1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DG177" i="2" s="1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DF177" i="2" l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7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DG178" i="2" s="1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DH178" i="2" s="1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DF178" i="2" l="1"/>
  <c r="CL178" i="2"/>
  <c r="CM178" i="2"/>
  <c r="AV178" i="2"/>
  <c r="AU178" i="2"/>
  <c r="AW178" i="2"/>
  <c r="AW179" i="2" s="1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H179" i="2" s="1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DI179" i="2" s="1"/>
  <c r="DG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DF180" i="2" s="1"/>
  <c r="CI180" i="2"/>
  <c r="BN180" i="2"/>
  <c r="AG180" i="2"/>
  <c r="ER180" i="2"/>
  <c r="DY180" i="2"/>
  <c r="DB180" i="2"/>
  <c r="DH180" i="2" s="1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DG180" i="2" l="1"/>
  <c r="DI180" i="2" s="1"/>
  <c r="CN179" i="2"/>
  <c r="CM180" i="2"/>
  <c r="BR180" i="2"/>
  <c r="AV180" i="2"/>
  <c r="AW180" i="2"/>
  <c r="AU180" i="2"/>
  <c r="AU181" i="2" s="1"/>
  <c r="BP180" i="2"/>
  <c r="BQ180" i="2"/>
  <c r="CL180" i="2"/>
  <c r="CK180" i="2"/>
  <c r="CN180" i="2" s="1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DH181" i="2" s="1"/>
  <c r="CF181" i="2"/>
  <c r="BM181" i="2"/>
  <c r="BB181" i="2"/>
  <c r="ET181" i="2"/>
  <c r="DZ181" i="2"/>
  <c r="DC181" i="2"/>
  <c r="DF181" i="2" s="1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DG181" i="2" l="1"/>
  <c r="CM181" i="2"/>
  <c r="BP181" i="2"/>
  <c r="AV181" i="2"/>
  <c r="AW181" i="2"/>
  <c r="AW182" i="2" s="1"/>
  <c r="BQ181" i="2"/>
  <c r="BR181" i="2"/>
  <c r="CL181" i="2"/>
  <c r="CK181" i="2"/>
  <c r="CN181" i="2" s="1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DH182" i="2" s="1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B182" i="2" s="1"/>
  <c r="AX179" i="2"/>
  <c r="DF182" i="2" l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DH183" i="2" s="1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DG183" i="2" s="1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DF183" i="2" s="1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DI182" i="2"/>
  <c r="CM183" i="2" l="1"/>
  <c r="AV183" i="2"/>
  <c r="AU183" i="2"/>
  <c r="AW183" i="2"/>
  <c r="AW184" i="2" s="1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DH184" i="2" s="1"/>
  <c r="FM184" i="2"/>
  <c r="EG184" i="2"/>
  <c r="DC184" i="2"/>
  <c r="DF184" i="2" s="1"/>
  <c r="DW184" i="2"/>
  <c r="CQ184" i="2"/>
  <c r="FX184" i="2"/>
  <c r="DX184" i="2"/>
  <c r="DY184" i="2"/>
  <c r="DA184" i="2"/>
  <c r="CI184" i="2"/>
  <c r="BN184" i="2"/>
  <c r="ER184" i="2"/>
  <c r="DD184" i="2"/>
  <c r="DG184" i="2" s="1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DI183" i="2"/>
  <c r="AX181" i="2"/>
  <c r="CN183" i="2" l="1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DG185" i="2" s="1"/>
  <c r="EU185" i="2"/>
  <c r="DZ185" i="2"/>
  <c r="DB185" i="2"/>
  <c r="DH185" i="2" s="1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DI184" i="2"/>
  <c r="DF185" i="2" l="1"/>
  <c r="DI185" i="2" s="1"/>
  <c r="AU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ED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DG186" i="2" s="1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DF186" i="2" s="1"/>
  <c r="CG186" i="2"/>
  <c r="BO186" i="2"/>
  <c r="AR186" i="2"/>
  <c r="AT186" i="2"/>
  <c r="BW186" i="2"/>
  <c r="U186" i="2"/>
  <c r="DB186" i="2"/>
  <c r="DH186" i="2" s="1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CM186" i="2" l="1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DI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DH187" i="2" s="1"/>
  <c r="BV187" i="2"/>
  <c r="BO187" i="2"/>
  <c r="EG187" i="2"/>
  <c r="DC187" i="2"/>
  <c r="DF187" i="2" s="1"/>
  <c r="BW187" i="2"/>
  <c r="EH187" i="2"/>
  <c r="DD187" i="2"/>
  <c r="DG187" i="2" s="1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EY186" i="2"/>
  <c r="AX184" i="2"/>
  <c r="CM187" i="2" l="1"/>
  <c r="BQ187" i="2"/>
  <c r="BR187" i="2"/>
  <c r="AV187" i="2"/>
  <c r="AU187" i="2"/>
  <c r="AW187" i="2"/>
  <c r="BP187" i="2"/>
  <c r="CK187" i="2"/>
  <c r="CL187" i="2"/>
  <c r="CN186" i="2"/>
  <c r="ED187" i="2"/>
  <c r="FT186" i="2"/>
  <c r="HJ186" i="2"/>
  <c r="GO186" i="2"/>
  <c r="Z187" i="2"/>
  <c r="AC186" i="2"/>
  <c r="ED186" i="2"/>
  <c r="AA187" i="2"/>
  <c r="DI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DH188" i="2" s="1"/>
  <c r="BA188" i="2"/>
  <c r="AQ188" i="2"/>
  <c r="Y188" i="2"/>
  <c r="DC188" i="2"/>
  <c r="DF188" i="2" s="1"/>
  <c r="DD188" i="2"/>
  <c r="DG188" i="2" s="1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BQ188" i="2" l="1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DH189" i="2" s="1"/>
  <c r="CI189" i="2"/>
  <c r="V189" i="2"/>
  <c r="DC189" i="2"/>
  <c r="DF189" i="2" s="1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DG189" i="2" l="1"/>
  <c r="CM189" i="2"/>
  <c r="AV189" i="2"/>
  <c r="AU189" i="2"/>
  <c r="AW189" i="2"/>
  <c r="BR189" i="2"/>
  <c r="BP189" i="2"/>
  <c r="BQ189" i="2"/>
  <c r="CL189" i="2"/>
  <c r="CK189" i="2"/>
  <c r="CN189" i="2" s="1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DH190" i="2" s="1"/>
  <c r="CI190" i="2"/>
  <c r="AG190" i="2"/>
  <c r="U190" i="2"/>
  <c r="AQ190" i="2"/>
  <c r="L190" i="2"/>
  <c r="ED189" i="2"/>
  <c r="EY189" i="2"/>
  <c r="AX187" i="2"/>
  <c r="DG190" i="2" l="1"/>
  <c r="DF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DH191" i="2" s="1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DF191" i="2" s="1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DG191" i="2" l="1"/>
  <c r="DI191" i="2" s="1"/>
  <c r="CM191" i="2"/>
  <c r="BR191" i="2"/>
  <c r="BP191" i="2"/>
  <c r="AV191" i="2"/>
  <c r="AU191" i="2"/>
  <c r="AW191" i="2"/>
  <c r="AW192" i="2" s="1"/>
  <c r="BQ191" i="2"/>
  <c r="CL191" i="2"/>
  <c r="CK191" i="2"/>
  <c r="EY190" i="2"/>
  <c r="CN190" i="2"/>
  <c r="DI190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DH192" i="2" s="1"/>
  <c r="FL192" i="2"/>
  <c r="DC192" i="2"/>
  <c r="DF192" i="2" s="1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BR192" i="2" s="1"/>
  <c r="CG192" i="2"/>
  <c r="U192" i="2"/>
  <c r="V192" i="2"/>
  <c r="EY191" i="2"/>
  <c r="AX189" i="2"/>
  <c r="DG192" i="2" l="1"/>
  <c r="CM192" i="2"/>
  <c r="AV192" i="2"/>
  <c r="AU192" i="2"/>
  <c r="BQ192" i="2"/>
  <c r="BP192" i="2"/>
  <c r="CL192" i="2"/>
  <c r="CK192" i="2"/>
  <c r="DI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DF193" i="2" s="1"/>
  <c r="FN193" i="2"/>
  <c r="EH193" i="2"/>
  <c r="DL193" i="2"/>
  <c r="DD193" i="2"/>
  <c r="DG193" i="2" s="1"/>
  <c r="ET193" i="2"/>
  <c r="DX193" i="2"/>
  <c r="EU193" i="2"/>
  <c r="DY193" i="2"/>
  <c r="GG193" i="2"/>
  <c r="DZ193" i="2"/>
  <c r="DB193" i="2"/>
  <c r="DH193" i="2" s="1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CN192" i="2" l="1"/>
  <c r="CM193" i="2"/>
  <c r="BQ193" i="2"/>
  <c r="BR193" i="2"/>
  <c r="AV193" i="2"/>
  <c r="AU193" i="2"/>
  <c r="AW193" i="2"/>
  <c r="AW194" i="2" s="1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DG194" i="2" s="1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DH194" i="2" s="1"/>
  <c r="AS194" i="2"/>
  <c r="V194" i="2"/>
  <c r="L194" i="2"/>
  <c r="DC194" i="2"/>
  <c r="DF194" i="2" s="1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DI193" i="2"/>
  <c r="AX191" i="2"/>
  <c r="ED193" i="2"/>
  <c r="CM194" i="2" l="1"/>
  <c r="AV194" i="2"/>
  <c r="AU194" i="2"/>
  <c r="BR194" i="2"/>
  <c r="BQ194" i="2"/>
  <c r="BP194" i="2"/>
  <c r="CL194" i="2"/>
  <c r="CK194" i="2"/>
  <c r="FT193" i="2"/>
  <c r="GO193" i="2"/>
  <c r="HJ193" i="2"/>
  <c r="EY194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DF195" i="2" s="1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DG195" i="2" l="1"/>
  <c r="AU195" i="2"/>
  <c r="CN194" i="2"/>
  <c r="CM195" i="2"/>
  <c r="BQ195" i="2"/>
  <c r="AV195" i="2"/>
  <c r="AW195" i="2"/>
  <c r="AW196" i="2" s="1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DF196" i="2" s="1"/>
  <c r="BW196" i="2"/>
  <c r="DD196" i="2"/>
  <c r="DG196" i="2" s="1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DH196" i="2" s="1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CM196" i="2" l="1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Z197" i="2" s="1"/>
  <c r="DI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DH197" i="2" s="1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DF197" i="2" s="1"/>
  <c r="CI197" i="2"/>
  <c r="Y197" i="2"/>
  <c r="L197" i="2"/>
  <c r="BL197" i="2"/>
  <c r="AS197" i="2"/>
  <c r="DD197" i="2"/>
  <c r="DG197" i="2" s="1"/>
  <c r="AQ197" i="2"/>
  <c r="AA196" i="2"/>
  <c r="AX194" i="2"/>
  <c r="ED196" i="2"/>
  <c r="DH198" i="2" l="1"/>
  <c r="AA197" i="2"/>
  <c r="CM197" i="2"/>
  <c r="AV197" i="2"/>
  <c r="AU197" i="2"/>
  <c r="AW197" i="2"/>
  <c r="AW198" i="2" s="1"/>
  <c r="BR197" i="2"/>
  <c r="BP197" i="2"/>
  <c r="BQ197" i="2"/>
  <c r="CK197" i="2"/>
  <c r="CL197" i="2"/>
  <c r="GO196" i="2"/>
  <c r="CN196" i="2"/>
  <c r="HJ196" i="2"/>
  <c r="FT196" i="2"/>
  <c r="AB197" i="2"/>
  <c r="AC197" i="2" s="1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F198" i="2" s="1"/>
  <c r="DD198" i="2"/>
  <c r="DG198" i="2" s="1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Z198" i="2" s="1"/>
  <c r="CF198" i="2"/>
  <c r="BV198" i="2"/>
  <c r="AG198" i="2"/>
  <c r="U198" i="2"/>
  <c r="ED197" i="2"/>
  <c r="AX195" i="2"/>
  <c r="CN197" i="2" l="1"/>
  <c r="CM198" i="2"/>
  <c r="BR198" i="2"/>
  <c r="AV198" i="2"/>
  <c r="AU198" i="2"/>
  <c r="AU199" i="2" s="1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DG199" i="2" s="1"/>
  <c r="CH199" i="2"/>
  <c r="BK199" i="2"/>
  <c r="EU199" i="2"/>
  <c r="DE199" i="2"/>
  <c r="DH199" i="2" s="1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DF199" i="2" s="1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DI198" i="2"/>
  <c r="CM199" i="2" l="1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DH200" i="2" s="1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BP200" i="2" s="1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DG200" i="2" l="1"/>
  <c r="DF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C200" i="2" s="1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DG201" i="2" s="1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DH201" i="2" s="1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ED200" i="2"/>
  <c r="DI200" i="2"/>
  <c r="DF201" i="2" l="1"/>
  <c r="CM201" i="2"/>
  <c r="CN200" i="2"/>
  <c r="CL201" i="2"/>
  <c r="CK201" i="2"/>
  <c r="CN201" i="2" s="1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DH202" i="2" s="1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DH203" i="2" l="1"/>
  <c r="DG202" i="2"/>
  <c r="DF202" i="2"/>
  <c r="CM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BQ203" i="2" s="1"/>
  <c r="CF203" i="2"/>
  <c r="L203" i="2"/>
  <c r="M203" i="2" s="1" a="1"/>
  <c r="M203" i="2" s="1"/>
  <c r="AP203" i="2"/>
  <c r="W203" i="2"/>
  <c r="CG203" i="2"/>
  <c r="CM203" i="2" s="1"/>
  <c r="U203" i="2"/>
  <c r="CJ203" i="2"/>
  <c r="AG203" i="2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185" i="2" a="1"/>
  <c r="AH185" i="2" s="1"/>
  <c r="AH162" i="2" a="1"/>
  <c r="AH162" i="2" s="1"/>
  <c r="AH140" i="2" a="1"/>
  <c r="AH140" i="2" s="1"/>
  <c r="AH155" i="2" a="1"/>
  <c r="AH155" i="2" s="1"/>
  <c r="AH143" i="2" a="1"/>
  <c r="AH143" i="2" s="1"/>
  <c r="AH17" i="2" a="1"/>
  <c r="AH17" i="2" s="1"/>
  <c r="AH37" i="2" a="1"/>
  <c r="AH37" i="2" s="1"/>
  <c r="AH136" i="2" a="1"/>
  <c r="AH136" i="2" s="1"/>
  <c r="AH198" i="2" a="1"/>
  <c r="AH198" i="2" s="1"/>
  <c r="AH92" i="2" a="1"/>
  <c r="AH92" i="2" s="1"/>
  <c r="AH38" i="2" a="1"/>
  <c r="AH38" i="2" s="1"/>
  <c r="AH83" i="2" a="1"/>
  <c r="AH83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46" i="2" a="1"/>
  <c r="BC146" i="2" s="1"/>
  <c r="BC181" i="2" a="1"/>
  <c r="BC181" i="2" s="1"/>
  <c r="DN56" i="2" a="1"/>
  <c r="DN56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BX29" i="2" a="1"/>
  <c r="BX29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AH151" i="2" a="1"/>
  <c r="AH151" i="2" s="1"/>
  <c r="AH14" i="2" a="1"/>
  <c r="AH14" i="2" s="1"/>
  <c r="AH157" i="2" a="1"/>
  <c r="AH157" i="2" s="1"/>
  <c r="AH79" i="2" a="1"/>
  <c r="AH79" i="2" s="1"/>
  <c r="AH201" i="2" a="1"/>
  <c r="AH201" i="2" s="1"/>
  <c r="DN103" i="2" a="1"/>
  <c r="DN103" i="2" s="1"/>
  <c r="DN114" i="2" a="1"/>
  <c r="DN114" i="2" s="1"/>
  <c r="CS77" i="2" a="1"/>
  <c r="CS77" i="2" s="1"/>
  <c r="BX8" i="2" a="1"/>
  <c r="BX8" i="2" s="1"/>
  <c r="AH90" i="2" a="1"/>
  <c r="AH90" i="2" s="1"/>
  <c r="AH89" i="2" a="1"/>
  <c r="AH89" i="2" s="1"/>
  <c r="AH19" i="2" a="1"/>
  <c r="AH19" i="2" s="1"/>
  <c r="AH186" i="2" a="1"/>
  <c r="AH186" i="2" s="1"/>
  <c r="AH56" i="2" a="1"/>
  <c r="AH56" i="2" s="1"/>
  <c r="AH197" i="2" a="1"/>
  <c r="AH197" i="2" s="1"/>
  <c r="AH146" i="2" a="1"/>
  <c r="AH146" i="2" s="1"/>
  <c r="AH144" i="2" a="1"/>
  <c r="AH144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92" i="2" a="1"/>
  <c r="BC192" i="2" s="1"/>
  <c r="BC151" i="2" a="1"/>
  <c r="BC151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BX50" i="2" a="1"/>
  <c r="BX50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DN187" i="2" a="1"/>
  <c r="DN187" i="2" s="1"/>
  <c r="AC202" i="2"/>
  <c r="HJ202" i="2"/>
  <c r="EY202" i="2"/>
  <c r="AX200" i="2"/>
  <c r="DF203" i="2" l="1"/>
  <c r="DG203" i="2"/>
  <c r="BC7" i="2" a="1"/>
  <c r="BC7" i="2" s="1"/>
  <c r="BC55" i="2" a="1"/>
  <c r="BC55" i="2" s="1"/>
  <c r="BC65" i="2" a="1"/>
  <c r="BC65" i="2" s="1"/>
  <c r="BC15" i="2" a="1"/>
  <c r="BC15" i="2" s="1"/>
  <c r="BC130" i="2" a="1"/>
  <c r="BC130" i="2" s="1"/>
  <c r="BC114" i="2" a="1"/>
  <c r="BC114" i="2" s="1"/>
  <c r="BC196" i="2" a="1"/>
  <c r="BC196" i="2" s="1"/>
  <c r="BC185" i="2" a="1"/>
  <c r="BC185" i="2" s="1"/>
  <c r="BC143" i="2" a="1"/>
  <c r="BC143" i="2" s="1"/>
  <c r="BC126" i="2" a="1"/>
  <c r="BC126" i="2" s="1"/>
  <c r="BC58" i="2" a="1"/>
  <c r="BC58" i="2" s="1"/>
  <c r="BC31" i="2" a="1"/>
  <c r="BC31" i="2" s="1"/>
  <c r="BC82" i="2" a="1"/>
  <c r="BC82" i="2" s="1"/>
  <c r="BC34" i="2" a="1"/>
  <c r="BC34" i="2" s="1"/>
  <c r="BC18" i="2" a="1"/>
  <c r="BC18" i="2" s="1"/>
  <c r="BC84" i="2" a="1"/>
  <c r="BC84" i="2" s="1"/>
  <c r="BC47" i="2" a="1"/>
  <c r="BC47" i="2" s="1"/>
  <c r="BC38" i="2" a="1"/>
  <c r="BC38" i="2" s="1"/>
  <c r="BC32" i="2" a="1"/>
  <c r="BC32" i="2" s="1"/>
  <c r="BC71" i="2" a="1"/>
  <c r="BC71" i="2" s="1"/>
  <c r="BC83" i="2" a="1"/>
  <c r="BC83" i="2" s="1"/>
  <c r="BC164" i="2" a="1"/>
  <c r="BC164" i="2" s="1"/>
  <c r="BC117" i="2" a="1"/>
  <c r="BC117" i="2" s="1"/>
  <c r="BC68" i="2" a="1"/>
  <c r="BC68" i="2" s="1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1" i="4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CD112" i="2" l="1"/>
  <c r="CD158" i="2"/>
  <c r="CD202" i="2"/>
  <c r="CD79" i="2"/>
  <c r="CD95" i="2"/>
  <c r="CD163" i="2"/>
  <c r="CD55" i="2"/>
  <c r="CD29" i="2"/>
  <c r="CD41" i="2"/>
  <c r="CD119" i="2"/>
  <c r="CD50" i="2"/>
  <c r="CD145" i="2"/>
  <c r="CD48" i="2"/>
  <c r="CD74" i="2"/>
  <c r="CD32" i="2"/>
  <c r="CD150" i="2"/>
  <c r="CD176" i="2"/>
  <c r="CD22" i="2"/>
  <c r="CD193" i="2"/>
  <c r="CD52" i="2"/>
  <c r="CD198" i="2"/>
  <c r="CD109" i="2"/>
  <c r="CD97" i="2"/>
  <c r="CD68" i="2"/>
  <c r="CD168" i="2"/>
  <c r="CD65" i="2"/>
  <c r="CD113" i="2"/>
  <c r="CD18" i="2"/>
  <c r="CD142" i="2"/>
  <c r="CD156" i="2"/>
  <c r="CD69" i="2"/>
  <c r="CD199" i="2"/>
  <c r="CD14" i="2"/>
  <c r="CD151" i="2"/>
  <c r="CD98" i="2"/>
  <c r="CD192" i="2"/>
  <c r="CD121" i="2"/>
  <c r="CD123" i="2"/>
  <c r="CD135" i="2"/>
  <c r="CD114" i="2"/>
  <c r="CD23" i="2"/>
  <c r="CD200" i="2"/>
  <c r="CD120" i="2"/>
  <c r="CD10" i="2"/>
  <c r="CD169" i="2"/>
  <c r="CD125" i="2"/>
  <c r="CD76" i="2"/>
  <c r="CD90" i="2"/>
  <c r="CD106" i="2"/>
  <c r="CD101" i="2"/>
  <c r="CD187" i="2"/>
  <c r="CD133" i="2"/>
  <c r="CD159" i="2"/>
  <c r="CD42" i="2"/>
  <c r="CD36" i="2"/>
  <c r="CD34" i="2"/>
  <c r="CD129" i="2"/>
  <c r="CD49" i="2"/>
  <c r="CD178" i="2"/>
  <c r="CD43" i="2"/>
  <c r="CD57" i="2"/>
  <c r="CD28" i="2"/>
  <c r="CD38" i="2"/>
  <c r="CD80" i="2"/>
  <c r="CD138" i="2"/>
  <c r="CD9" i="2"/>
  <c r="CD111" i="2"/>
  <c r="CD102" i="2"/>
  <c r="CD162" i="2"/>
  <c r="CD70" i="2"/>
  <c r="CD86" i="2"/>
  <c r="CD174" i="2"/>
  <c r="CD33" i="2"/>
  <c r="CD27" i="2"/>
  <c r="CD24" i="2"/>
  <c r="CD122" i="2"/>
  <c r="CD190" i="2"/>
  <c r="CD118" i="2"/>
  <c r="CD37" i="2"/>
  <c r="CD21" i="2"/>
  <c r="CD20" i="2"/>
  <c r="CD19" i="2"/>
  <c r="CD54" i="2"/>
  <c r="CD44" i="2"/>
  <c r="CD136" i="2"/>
  <c r="CD6" i="2"/>
  <c r="CD78" i="2"/>
  <c r="CD116" i="2"/>
  <c r="CD3" i="2"/>
  <c r="C9" i="4" s="1"/>
  <c r="E9" i="4" s="1"/>
  <c r="F9" i="4" s="1"/>
  <c r="G9" i="4" s="1"/>
  <c r="L9" i="4" s="1"/>
  <c r="CD203" i="2"/>
  <c r="CD89" i="2"/>
  <c r="CD170" i="2"/>
  <c r="CD128" i="2"/>
  <c r="CD132" i="2"/>
  <c r="CD155" i="2"/>
  <c r="CD140" i="2"/>
  <c r="CD179" i="2"/>
  <c r="CD103" i="2"/>
  <c r="CD197" i="2"/>
  <c r="CD188" i="2"/>
  <c r="CD82" i="2"/>
  <c r="CD62" i="2"/>
  <c r="CD108" i="2"/>
  <c r="CD26" i="2"/>
  <c r="CD16" i="2"/>
  <c r="CD75" i="2"/>
  <c r="CD172" i="2"/>
  <c r="CD175" i="2"/>
  <c r="CD153" i="2"/>
  <c r="CD166" i="2"/>
  <c r="CD30" i="2"/>
  <c r="CD96" i="2"/>
  <c r="CD31" i="2"/>
  <c r="CD8" i="2"/>
  <c r="CD94" i="2"/>
  <c r="CD64" i="2"/>
  <c r="CD85" i="2"/>
  <c r="CD160" i="2"/>
  <c r="CD115" i="2"/>
  <c r="CD146" i="2"/>
  <c r="CD77" i="2"/>
  <c r="CD93" i="2"/>
  <c r="CD182" i="2"/>
  <c r="CD143" i="2"/>
  <c r="CD141" i="2"/>
  <c r="CD194" i="2"/>
  <c r="CD11" i="2"/>
  <c r="CD189" i="2"/>
  <c r="CD84" i="2"/>
  <c r="CD39" i="2"/>
  <c r="CD110" i="2"/>
  <c r="CD73" i="2"/>
  <c r="CD117" i="2"/>
  <c r="CD134" i="2"/>
  <c r="CD186" i="2"/>
  <c r="CD180" i="2"/>
  <c r="CD173" i="2"/>
  <c r="CD72" i="2"/>
  <c r="CD83" i="2"/>
  <c r="CD67" i="2"/>
  <c r="CD165" i="2"/>
  <c r="CD5" i="2"/>
  <c r="CD13" i="2"/>
  <c r="CD15" i="2"/>
  <c r="CD171" i="2"/>
  <c r="CD105" i="2"/>
  <c r="CD17" i="2"/>
  <c r="CD131" i="2"/>
  <c r="CD63" i="2"/>
  <c r="CD164" i="2"/>
  <c r="CD177" i="2"/>
  <c r="CD71" i="2"/>
  <c r="CD167" i="2"/>
  <c r="CD139" i="2"/>
  <c r="CD53" i="2"/>
  <c r="CD144" i="2"/>
  <c r="CD147" i="2"/>
  <c r="CD157" i="2"/>
  <c r="CD58" i="2"/>
  <c r="CD51" i="2"/>
  <c r="CD124" i="2"/>
  <c r="CD196" i="2"/>
  <c r="CD46" i="2"/>
  <c r="CD183" i="2"/>
  <c r="CD40" i="2"/>
  <c r="CD47" i="2"/>
  <c r="CD195" i="2"/>
  <c r="CD126" i="2"/>
  <c r="CD7" i="2"/>
  <c r="CD104" i="2"/>
  <c r="CD184" i="2"/>
  <c r="CD56" i="2"/>
  <c r="CD201" i="2"/>
  <c r="CD87" i="2"/>
  <c r="CD100" i="2"/>
  <c r="CD45" i="2"/>
  <c r="CD99" i="2"/>
  <c r="CD152" i="2"/>
  <c r="CD25" i="2"/>
  <c r="CD81" i="2"/>
  <c r="CD4" i="2"/>
  <c r="CD91" i="2"/>
  <c r="CD60" i="2"/>
  <c r="CD185" i="2"/>
  <c r="CD35" i="2"/>
  <c r="CD88" i="2"/>
  <c r="CD59" i="2"/>
  <c r="CD61" i="2"/>
  <c r="CD191" i="2"/>
  <c r="CD137" i="2"/>
  <c r="CD148" i="2"/>
  <c r="CD66" i="2"/>
  <c r="CD130" i="2"/>
  <c r="CD12" i="2"/>
  <c r="CD154" i="2"/>
  <c r="CD149" i="2"/>
  <c r="CD127" i="2"/>
  <c r="CD161" i="2"/>
  <c r="CD92" i="2"/>
  <c r="CD181" i="2"/>
  <c r="CD107" i="2"/>
  <c r="FE94" i="2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47" i="2" l="1"/>
  <c r="CY142" i="2"/>
  <c r="CY192" i="2"/>
  <c r="CY115" i="2"/>
  <c r="CY202" i="2"/>
  <c r="CY150" i="2"/>
  <c r="CY39" i="2"/>
  <c r="CY122" i="2"/>
  <c r="CY35" i="2"/>
  <c r="CY10" i="2"/>
  <c r="CY140" i="2"/>
  <c r="CY13" i="2"/>
  <c r="CY181" i="2"/>
  <c r="CY200" i="2"/>
  <c r="CY182" i="2"/>
  <c r="CY174" i="2"/>
  <c r="CY148" i="2"/>
  <c r="CY80" i="2"/>
  <c r="CY34" i="2"/>
  <c r="CY203" i="2"/>
  <c r="CY72" i="2"/>
  <c r="CY199" i="2"/>
  <c r="CY30" i="2"/>
  <c r="CY53" i="2"/>
  <c r="CY59" i="2"/>
  <c r="CY129" i="2"/>
  <c r="CY124" i="2"/>
  <c r="CY137" i="2"/>
  <c r="CY145" i="2"/>
  <c r="CY55" i="2"/>
  <c r="CY76" i="2"/>
  <c r="CY138" i="2"/>
  <c r="CY96" i="2"/>
  <c r="CY170" i="2"/>
  <c r="CY153" i="2"/>
  <c r="CY109" i="2"/>
  <c r="CY146" i="2"/>
  <c r="CY48" i="2"/>
  <c r="CY107" i="2"/>
  <c r="CY60" i="2"/>
  <c r="CY22" i="2"/>
  <c r="CY149" i="2"/>
  <c r="CY18" i="2"/>
  <c r="CY56" i="2"/>
  <c r="CY127" i="2"/>
  <c r="CY126" i="2"/>
  <c r="CY177" i="2"/>
  <c r="CY93" i="2"/>
  <c r="CY6" i="2"/>
  <c r="CY201" i="2"/>
  <c r="CY197" i="2"/>
  <c r="CY161" i="2"/>
  <c r="CY180" i="2"/>
  <c r="CY20" i="2"/>
  <c r="CY79" i="2"/>
  <c r="CY41" i="2"/>
  <c r="CY134" i="2"/>
  <c r="CY144" i="2"/>
  <c r="CY159" i="2"/>
  <c r="CY152" i="2"/>
  <c r="CY136" i="2"/>
  <c r="CY77" i="2"/>
  <c r="CY176" i="2"/>
  <c r="CY173" i="2"/>
  <c r="CY163" i="2"/>
  <c r="CY156" i="2"/>
  <c r="CY154" i="2"/>
  <c r="CY91" i="2"/>
  <c r="CY106" i="2"/>
  <c r="CY15" i="2"/>
  <c r="CY100" i="2"/>
  <c r="CY168" i="2"/>
  <c r="CY38" i="2"/>
  <c r="CY28" i="2"/>
  <c r="CY195" i="2"/>
  <c r="CY86" i="2"/>
  <c r="CY19" i="2"/>
  <c r="CY66" i="2"/>
  <c r="CY190" i="2"/>
  <c r="CY98" i="2"/>
  <c r="CY63" i="2"/>
  <c r="CY32" i="2"/>
  <c r="CY179" i="2"/>
  <c r="CY52" i="2"/>
  <c r="CY103" i="2"/>
  <c r="CY125" i="2"/>
  <c r="CY151" i="2"/>
  <c r="CY12" i="2"/>
  <c r="CY184" i="2"/>
  <c r="CY46" i="2"/>
  <c r="CY7" i="2"/>
  <c r="CY94" i="2"/>
  <c r="CY45" i="2"/>
  <c r="CY69" i="2"/>
  <c r="CY61" i="2"/>
  <c r="CY167" i="2"/>
  <c r="CY78" i="2"/>
  <c r="CY17" i="2"/>
  <c r="CY14" i="2"/>
  <c r="CY90" i="2"/>
  <c r="CY189" i="2"/>
  <c r="CY54" i="2"/>
  <c r="CY162" i="2"/>
  <c r="CY198" i="2"/>
  <c r="CY175" i="2"/>
  <c r="CY113" i="2"/>
  <c r="CY114" i="2"/>
  <c r="CY67" i="2"/>
  <c r="CY171" i="2"/>
  <c r="CY135" i="2"/>
  <c r="CY186" i="2"/>
  <c r="CY62" i="2"/>
  <c r="CY49" i="2"/>
  <c r="CY57" i="2"/>
  <c r="CY21" i="2"/>
  <c r="CY9" i="2"/>
  <c r="CY82" i="2"/>
  <c r="CY81" i="2"/>
  <c r="CY26" i="2"/>
  <c r="CY58" i="2"/>
  <c r="CY157" i="2"/>
  <c r="CY102" i="2"/>
  <c r="CY43" i="2"/>
  <c r="CY132" i="2"/>
  <c r="CY75" i="2"/>
  <c r="CY29" i="2"/>
  <c r="CY166" i="2"/>
  <c r="CY8" i="2"/>
  <c r="CY178" i="2"/>
  <c r="CY92" i="2"/>
  <c r="CY40" i="2"/>
  <c r="CY11" i="2"/>
  <c r="CY165" i="2"/>
  <c r="CY111" i="2"/>
  <c r="CY73" i="2"/>
  <c r="CY24" i="2"/>
  <c r="CY104" i="2"/>
  <c r="CY4" i="2"/>
  <c r="CY50" i="2"/>
  <c r="CY118" i="2"/>
  <c r="CY116" i="2"/>
  <c r="CY27" i="2"/>
  <c r="CY160" i="2"/>
  <c r="CY101" i="2"/>
  <c r="CY158" i="2"/>
  <c r="CY139" i="2"/>
  <c r="CY3" i="2"/>
  <c r="C10" i="4" s="1"/>
  <c r="E10" i="4" s="1"/>
  <c r="F10" i="4" s="1"/>
  <c r="G10" i="4" s="1"/>
  <c r="L10" i="4" s="1"/>
  <c r="CY169" i="2"/>
  <c r="CY23" i="2"/>
  <c r="CY112" i="2"/>
  <c r="CY74" i="2"/>
  <c r="CY65" i="2"/>
  <c r="CY89" i="2"/>
  <c r="CY183" i="2"/>
  <c r="CY188" i="2"/>
  <c r="CY68" i="2"/>
  <c r="CY130" i="2"/>
  <c r="CY85" i="2"/>
  <c r="CY42" i="2"/>
  <c r="CY64" i="2"/>
  <c r="CY155" i="2"/>
  <c r="CY5" i="2"/>
  <c r="CY141" i="2"/>
  <c r="CY128" i="2"/>
  <c r="CY70" i="2"/>
  <c r="CY108" i="2"/>
  <c r="CY105" i="2"/>
  <c r="CY123" i="2"/>
  <c r="CY147" i="2"/>
  <c r="CY44" i="2"/>
  <c r="CY88" i="2"/>
  <c r="CY51" i="2"/>
  <c r="CY84" i="2"/>
  <c r="CY95" i="2"/>
  <c r="CY193" i="2"/>
  <c r="CY16" i="2"/>
  <c r="CY119" i="2"/>
  <c r="CY71" i="2"/>
  <c r="CY110" i="2"/>
  <c r="CY131" i="2"/>
  <c r="CY97" i="2"/>
  <c r="CY164" i="2"/>
  <c r="CY133" i="2"/>
  <c r="CY37" i="2"/>
  <c r="CY196" i="2"/>
  <c r="CY25" i="2"/>
  <c r="CY191" i="2"/>
  <c r="CY185" i="2"/>
  <c r="CY120" i="2"/>
  <c r="CY143" i="2"/>
  <c r="CY117" i="2"/>
  <c r="CY31" i="2"/>
  <c r="CY36" i="2"/>
  <c r="CY172" i="2"/>
  <c r="CY121" i="2"/>
  <c r="CY99" i="2"/>
  <c r="CY33" i="2"/>
  <c r="CY87" i="2"/>
  <c r="CY194" i="2"/>
  <c r="CY83" i="2"/>
  <c r="CY187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<sst xmlns="http://schemas.openxmlformats.org/spreadsheetml/2006/main" count="1004" uniqueCount="314">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</sst>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3.1304991550068384</c:v>
                </c:pt>
                <c:pt idx="2">
                  <c:v>3.8009619242517192</c:v>
                </c:pt>
                <c:pt idx="3">
                  <c:v>4.6155555477267791</c:v>
                </c:pt>
                <c:pt idx="4">
                  <c:v>5.6053729628738571</c:v>
                </c:pt>
                <c:pt idx="5">
                  <c:v>6.8082366622118569</c:v>
                </c:pt>
                <c:pt idx="6">
                  <c:v>8.2701596131034609</c:v>
                </c:pt>
                <c:pt idx="7">
                  <c:v>10.047124214571625</c:v>
                </c:pt>
                <c:pt idx="8">
                  <c:v>12.207248703772564</c:v>
                </c:pt>
                <c:pt idx="9">
                  <c:v>14.833425609551895</c:v>
                </c:pt>
                <c:pt idx="10">
                  <c:v>18.026535364205287</c:v>
                </c:pt>
                <c:pt idx="11">
                  <c:v>21.909360758294984</c:v>
                </c:pt>
                <c:pt idx="12">
                  <c:v>26.631355449169195</c:v>
                </c:pt>
                <c:pt idx="13">
                  <c:v>32.374453300040244</c:v>
                </c:pt>
                <c:pt idx="14">
                  <c:v>39.360146261035744</c:v>
                </c:pt>
                <c:pt idx="15">
                  <c:v>47.858108426891853</c:v>
                </c:pt>
                <c:pt idx="16">
                  <c:v>58.196704795145855</c:v>
                </c:pt>
                <c:pt idx="17">
                  <c:v>70.77579751665607</c:v>
                </c:pt>
                <c:pt idx="18">
                  <c:v>86.082353021594614</c:v>
                </c:pt>
                <c:pt idx="19">
                  <c:v>104.70946391233582</c:v>
                </c:pt>
                <c:pt idx="20">
                  <c:v>127.37953432582198</c:v>
                </c:pt>
                <c:pt idx="21">
                  <c:v>134.46424353098067</c:v>
                </c:pt>
                <c:pt idx="22">
                  <c:v>141.53995794626874</c:v>
                </c:pt>
                <c:pt idx="23">
                  <c:v>148.60719146266899</c:v>
                </c:pt>
                <c:pt idx="24">
                  <c:v>155.66640500294668</c:v>
                </c:pt>
                <c:pt idx="25">
                  <c:v>162.71801419014258</c:v>
                </c:pt>
                <c:pt idx="26">
                  <c:v>169.32232688472169</c:v>
                </c:pt>
                <c:pt idx="27">
                  <c:v>175.92057051227542</c:v>
                </c:pt>
                <c:pt idx="28">
                  <c:v>182.51300521734348</c:v>
                </c:pt>
                <c:pt idx="29">
                  <c:v>189.09987078266832</c:v>
                </c:pt>
                <c:pt idx="30">
                  <c:v>195.6813888927343</c:v>
                </c:pt>
                <c:pt idx="31">
                  <c:v>201.81949606540397</c:v>
                </c:pt>
                <c:pt idx="32">
                  <c:v>207.95327986760671</c:v>
                </c:pt>
                <c:pt idx="33">
                  <c:v>214.08288603287954</c:v>
                </c:pt>
                <c:pt idx="34">
                  <c:v>220.20845125380845</c:v>
                </c:pt>
                <c:pt idx="35">
                  <c:v>226.33010398450384</c:v>
                </c:pt>
                <c:pt idx="36">
                  <c:v>232.01109834037746</c:v>
                </c:pt>
                <c:pt idx="37">
                  <c:v>237.68891498915818</c:v>
                </c:pt>
                <c:pt idx="38">
                  <c:v>243.36364067727686</c:v>
                </c:pt>
                <c:pt idx="39">
                  <c:v>249.03535776874011</c:v>
                </c:pt>
                <c:pt idx="40">
                  <c:v>254.70414456356775</c:v>
                </c:pt>
                <c:pt idx="41">
                  <c:v>259.93433449006892</c:v>
                </c:pt>
                <c:pt idx="42">
                  <c:v>265.16214708442078</c:v>
                </c:pt>
                <c:pt idx="43">
                  <c:v>270.38763590823004</c:v>
                </c:pt>
                <c:pt idx="44">
                  <c:v>275.61085228054054</c:v>
                </c:pt>
                <c:pt idx="45">
                  <c:v>280.83184541341694</c:v>
                </c:pt>
                <c:pt idx="46">
                  <c:v>285.61584310254756</c:v>
                </c:pt>
                <c:pt idx="47">
                  <c:v>290.39804735815136</c:v>
                </c:pt>
                <c:pt idx="48">
                  <c:v>295.17849192957436</c:v>
                </c:pt>
                <c:pt idx="49">
                  <c:v>299.95720938207853</c:v>
                </c:pt>
                <c:pt idx="50">
                  <c:v>304.7342311570186</c:v>
                </c:pt>
                <c:pt idx="51">
                  <c:v>221.95788870113006</c:v>
                </c:pt>
                <c:pt idx="52">
                  <c:v>226.33010398450369</c:v>
                </c:pt>
                <c:pt idx="53">
                  <c:v>230.70038494007611</c:v>
                </c:pt>
                <c:pt idx="54">
                  <c:v>235.06877345752696</c:v>
                </c:pt>
                <c:pt idx="55">
                  <c:v>239.43530973942788</c:v>
                </c:pt>
                <c:pt idx="56">
                  <c:v>243.36364067727683</c:v>
                </c:pt>
                <c:pt idx="57">
                  <c:v>247.29052970946111</c:v>
                </c:pt>
                <c:pt idx="58">
                  <c:v>251.21600301186652</c:v>
                </c:pt>
                <c:pt idx="59">
                  <c:v>255.14008587392496</c:v>
                </c:pt>
                <c:pt idx="60">
                  <c:v>259.06280274212452</c:v>
                </c:pt>
                <c:pt idx="61">
                  <c:v>262.98417726074217</c:v>
                </c:pt>
                <c:pt idx="62">
                  <c:v>266.9042323100166</c:v>
                </c:pt>
                <c:pt idx="63">
                  <c:v>270.82299004195687</c:v>
                </c:pt>
                <c:pt idx="64">
                  <c:v>274.74047191396761</c:v>
                </c:pt>
                <c:pt idx="65">
                  <c:v>278.65669872045345</c:v>
                </c:pt>
                <c:pt idx="66">
                  <c:v>282.13675189211062</c:v>
                </c:pt>
                <c:pt idx="67">
                  <c:v>285.61584310254733</c:v>
                </c:pt>
                <c:pt idx="68">
                  <c:v>289.09398574595821</c:v>
                </c:pt>
                <c:pt idx="69">
                  <c:v>292.57119286733274</c:v>
                </c:pt>
                <c:pt idx="70">
                  <c:v>296.04747717569825</c:v>
                </c:pt>
                <c:pt idx="71">
                  <c:v>299.08847869495378</c:v>
                </c:pt>
                <c:pt idx="72">
                  <c:v>302.12879127431205</c:v>
                </c:pt>
                <c:pt idx="73">
                  <c:v>305.16842283850013</c:v>
                </c:pt>
                <c:pt idx="74">
                  <c:v>308.20738114119678</c:v>
                </c:pt>
                <c:pt idx="75">
                  <c:v>311.24567377041296</c:v>
                </c:pt>
                <c:pt idx="76">
                  <c:v>314.28330815365268</c:v>
                </c:pt>
                <c:pt idx="77">
                  <c:v>317.32029156286279</c:v>
                </c:pt>
                <c:pt idx="78">
                  <c:v>320.35663111918296</c:v>
                </c:pt>
                <c:pt idx="79">
                  <c:v>323.39233379750675</c:v>
                </c:pt>
                <c:pt idx="80">
                  <c:v>326.42740643086154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1525376"/>
        <c:axId val="-2021520480"/>
      </c:scatterChart>
      <c:valAx>
        <c:axId val="-2021525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20480"/>
        <c:crosses val="autoZero"/>
        <c:crossBetween val="midCat"/>
      </c:valAx>
      <c:valAx>
        <c:axId val="-202152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25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1527552"/>
        <c:axId val="-230287504"/>
      </c:scatterChart>
      <c:valAx>
        <c:axId val="-20215275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30287504"/>
        <c:crosses val="autoZero"/>
        <c:crossBetween val="midCat"/>
      </c:valAx>
      <c:valAx>
        <c:axId val="-23028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27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3.3160071745406849</c:v>
                </c:pt>
                <c:pt idx="2">
                  <c:v>4.0263398761153564</c:v>
                </c:pt>
                <c:pt idx="3">
                  <c:v>4.8894026147213454</c:v>
                </c:pt>
                <c:pt idx="4">
                  <c:v>5.9381491086435894</c:v>
                </c:pt>
                <c:pt idx="5">
                  <c:v>7.2126665139772825</c:v>
                </c:pt>
                <c:pt idx="6">
                  <c:v>8.7617242533685733</c:v>
                </c:pt>
                <c:pt idx="7">
                  <c:v>10.644660065257815</c:v>
                </c:pt>
                <c:pt idx="8">
                  <c:v>12.933676882247809</c:v>
                </c:pt>
                <c:pt idx="9">
                  <c:v>15.716640251789139</c:v>
                </c:pt>
                <c:pt idx="10">
                  <c:v>19.100485647812064</c:v>
                </c:pt>
                <c:pt idx="11">
                  <c:v>23.215368963836813</c:v>
                </c:pt>
                <c:pt idx="12">
                  <c:v>28.219722672721861</c:v>
                </c:pt>
                <c:pt idx="13">
                  <c:v>34.306415740089413</c:v>
                </c:pt>
                <c:pt idx="14">
                  <c:v>41.710258796306817</c:v>
                </c:pt>
                <c:pt idx="15">
                  <c:v>50.717149024625961</c:v>
                </c:pt>
                <c:pt idx="16">
                  <c:v>61.675213808250284</c:v>
                </c:pt>
                <c:pt idx="17">
                  <c:v>75.008390956422275</c:v>
                </c:pt>
                <c:pt idx="18">
                  <c:v>91.232979422938854</c:v>
                </c:pt>
                <c:pt idx="19">
                  <c:v>110.97781165225611</c:v>
                </c:pt>
                <c:pt idx="20">
                  <c:v>135.00884169160113</c:v>
                </c:pt>
                <c:pt idx="21">
                  <c:v>142.51899286185798</c:v>
                </c:pt>
                <c:pt idx="22">
                  <c:v>150.01966185994152</c:v>
                </c:pt>
                <c:pt idx="23">
                  <c:v>157.51139042199532</c:v>
                </c:pt>
                <c:pt idx="24">
                  <c:v>164.99466444586497</c:v>
                </c:pt>
                <c:pt idx="25">
                  <c:v>172.46992207510786</c:v>
                </c:pt>
                <c:pt idx="26">
                  <c:v>179.47104913917386</c:v>
                </c:pt>
                <c:pt idx="27">
                  <c:v>186.46577828407854</c:v>
                </c:pt>
                <c:pt idx="28">
                  <c:v>193.45438375028218</c:v>
                </c:pt>
                <c:pt idx="29">
                  <c:v>200.43711831314491</c:v>
                </c:pt>
                <c:pt idx="30">
                  <c:v>207.41421566911529</c:v>
                </c:pt>
                <c:pt idx="31">
                  <c:v>213.92127855377203</c:v>
                </c:pt>
                <c:pt idx="32">
                  <c:v>220.42378380631877</c:v>
                </c:pt>
                <c:pt idx="33">
                  <c:v>226.9218850568582</c:v>
                </c:pt>
                <c:pt idx="34">
                  <c:v>233.41572640465787</c:v>
                </c:pt>
                <c:pt idx="35">
                  <c:v>239.90544326410895</c:v>
                </c:pt>
                <c:pt idx="36">
                  <c:v>245.9280273623057</c:v>
                </c:pt>
                <c:pt idx="37">
                  <c:v>251.94726156948727</c:v>
                </c:pt>
                <c:pt idx="38">
                  <c:v>257.96323733243617</c:v>
                </c:pt>
                <c:pt idx="39">
                  <c:v>263.97604147804896</c:v>
                </c:pt>
                <c:pt idx="40">
                  <c:v>269.98575654902879</c:v>
                </c:pt>
                <c:pt idx="41">
                  <c:v>275.53051206789081</c:v>
                </c:pt>
                <c:pt idx="42">
                  <c:v>281.07276143896297</c:v>
                </c:pt>
                <c:pt idx="43">
                  <c:v>286.61256112608561</c:v>
                </c:pt>
                <c:pt idx="44">
                  <c:v>292.14996522902254</c:v>
                </c:pt>
                <c:pt idx="45">
                  <c:v>297.6850256263923</c:v>
                </c:pt>
                <c:pt idx="46">
                  <c:v>302.75681466934651</c:v>
                </c:pt>
                <c:pt idx="47">
                  <c:v>307.8267131016554</c:v>
                </c:pt>
                <c:pt idx="48">
                  <c:v>312.89475650137189</c:v>
                </c:pt>
                <c:pt idx="49">
                  <c:v>317.96097919830498</c:v>
                </c:pt>
                <c:pt idx="50">
                  <c:v>323.02541433745807</c:v>
                </c:pt>
                <c:pt idx="51">
                  <c:v>235.27034637020077</c:v>
                </c:pt>
                <c:pt idx="52">
                  <c:v>239.90544326410884</c:v>
                </c:pt>
                <c:pt idx="53">
                  <c:v>244.53850101874676</c:v>
                </c:pt>
                <c:pt idx="54">
                  <c:v>249.16956379358484</c:v>
                </c:pt>
                <c:pt idx="55">
                  <c:v>253.79867396956925</c:v>
                </c:pt>
                <c:pt idx="56">
                  <c:v>257.96323733243611</c:v>
                </c:pt>
                <c:pt idx="57">
                  <c:v>262.12628066004174</c:v>
                </c:pt>
                <c:pt idx="58">
                  <c:v>266.28783154661124</c:v>
                </c:pt>
                <c:pt idx="59">
                  <c:v>270.44791665188325</c:v>
                </c:pt>
                <c:pt idx="60">
                  <c:v>274.60656174697789</c:v>
                </c:pt>
                <c:pt idx="61">
                  <c:v>278.76379175733638</c:v>
                </c:pt>
                <c:pt idx="62">
                  <c:v>282.91963080296182</c:v>
                </c:pt>
                <c:pt idx="63">
                  <c:v>287.0741022361691</c:v>
                </c:pt>
                <c:pt idx="64">
                  <c:v>291.22722867703129</c:v>
                </c:pt>
                <c:pt idx="65">
                  <c:v>295.37903204669726</c:v>
                </c:pt>
                <c:pt idx="66">
                  <c:v>299.06843040054571</c:v>
                </c:pt>
                <c:pt idx="67">
                  <c:v>302.75681466934628</c:v>
                </c:pt>
                <c:pt idx="68">
                  <c:v>306.4441989730575</c:v>
                </c:pt>
                <c:pt idx="69">
                  <c:v>310.13059706351112</c:v>
                </c:pt>
                <c:pt idx="70">
                  <c:v>313.81602233837231</c:v>
                </c:pt>
                <c:pt idx="71">
                  <c:v>317.03998171357199</c:v>
                </c:pt>
                <c:pt idx="72">
                  <c:v>320.26321481869553</c:v>
                </c:pt>
                <c:pt idx="73">
                  <c:v>323.48573000787127</c:v>
                </c:pt>
                <c:pt idx="74">
                  <c:v>326.70753545491056</c:v>
                </c:pt>
                <c:pt idx="75">
                  <c:v>329.92863915898056</c:v>
                </c:pt>
                <c:pt idx="76">
                  <c:v>333.14904895004412</c:v>
                </c:pt>
                <c:pt idx="77">
                  <c:v>336.36877249407797</c:v>
                </c:pt>
                <c:pt idx="78">
                  <c:v>339.58781729808078</c:v>
                </c:pt>
                <c:pt idx="79">
                  <c:v>342.80619071488053</c:v>
                </c:pt>
                <c:pt idx="80">
                  <c:v>346.02389994775154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1524832"/>
        <c:axId val="-2021524288"/>
      </c:scatterChart>
      <c:valAx>
        <c:axId val="-2021524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24288"/>
        <c:crosses val="autoZero"/>
        <c:crossBetween val="midCat"/>
      </c:valAx>
      <c:valAx>
        <c:axId val="-202152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24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1.4382972706916652</c:v>
                </c:pt>
                <c:pt idx="2">
                  <c:v>1.6882648262872328</c:v>
                </c:pt>
                <c:pt idx="3">
                  <c:v>1.9818391033704412</c:v>
                </c:pt>
                <c:pt idx="4">
                  <c:v>2.3266543809231437</c:v>
                </c:pt>
                <c:pt idx="5">
                  <c:v>2.7316859479479461</c:v>
                </c:pt>
                <c:pt idx="6">
                  <c:v>3.2074863943065974</c:v>
                </c:pt>
                <c:pt idx="7">
                  <c:v>3.7664636569880714</c:v>
                </c:pt>
                <c:pt idx="8">
                  <c:v>4.42320822009526</c:v>
                </c:pt>
                <c:pt idx="9">
                  <c:v>5.1948781808686864</c:v>
                </c:pt>
                <c:pt idx="10">
                  <c:v>6.1016524420011136</c:v>
                </c:pt>
                <c:pt idx="11">
                  <c:v>7.1672641140587361</c:v>
                </c:pt>
                <c:pt idx="12">
                  <c:v>8.4196283601886481</c:v>
                </c:pt>
                <c:pt idx="13">
                  <c:v>9.891581446423201</c:v>
                </c:pt>
                <c:pt idx="14">
                  <c:v>11.621750743117751</c:v>
                </c:pt>
                <c:pt idx="15">
                  <c:v>13.655578936924925</c:v>
                </c:pt>
                <c:pt idx="16">
                  <c:v>16.04652985316924</c:v>
                </c:pt>
                <c:pt idx="17">
                  <c:v>18.857508167480809</c:v>
                </c:pt>
                <c:pt idx="18">
                  <c:v>22.162531035047731</c:v>
                </c:pt>
                <c:pt idx="19">
                  <c:v>26.048696441446314</c:v>
                </c:pt>
                <c:pt idx="20">
                  <c:v>30.618501064154817</c:v>
                </c:pt>
                <c:pt idx="21">
                  <c:v>40.447266088954116</c:v>
                </c:pt>
                <c:pt idx="22">
                  <c:v>50.211004169569357</c:v>
                </c:pt>
                <c:pt idx="23">
                  <c:v>59.924254475172233</c:v>
                </c:pt>
                <c:pt idx="24">
                  <c:v>69.596399363316863</c:v>
                </c:pt>
                <c:pt idx="25">
                  <c:v>79.233978464328899</c:v>
                </c:pt>
                <c:pt idx="26">
                  <c:v>88.841800844341421</c:v>
                </c:pt>
                <c:pt idx="27">
                  <c:v>98.42354555529333</c:v>
                </c:pt>
                <c:pt idx="28">
                  <c:v>107.98211410040659</c:v>
                </c:pt>
                <c:pt idx="29">
                  <c:v>117.51985072559563</c:v>
                </c:pt>
                <c:pt idx="30">
                  <c:v>127.03868706017147</c:v>
                </c:pt>
                <c:pt idx="31">
                  <c:v>141.94790883673241</c:v>
                </c:pt>
                <c:pt idx="32">
                  <c:v>156.8195813749679</c:v>
                </c:pt>
                <c:pt idx="33">
                  <c:v>171.65776994616806</c:v>
                </c:pt>
                <c:pt idx="34">
                  <c:v>186.46577828407843</c:v>
                </c:pt>
                <c:pt idx="35">
                  <c:v>201.24634176616681</c:v>
                </c:pt>
                <c:pt idx="36">
                  <c:v>216.00176068460644</c:v>
                </c:pt>
                <c:pt idx="37">
                  <c:v>230.73399509870103</c:v>
                </c:pt>
                <c:pt idx="38">
                  <c:v>245.44473414197418</c:v>
                </c:pt>
                <c:pt idx="39">
                  <c:v>260.13544781463958</c:v>
                </c:pt>
                <c:pt idx="40">
                  <c:v>274.80742644732908</c:v>
                </c:pt>
                <c:pt idx="41">
                  <c:v>203.67356103899616</c:v>
                </c:pt>
                <c:pt idx="42">
                  <c:v>224.27876954008505</c:v>
                </c:pt>
                <c:pt idx="43">
                  <c:v>244.8405871951642</c:v>
                </c:pt>
                <c:pt idx="44">
                  <c:v>265.36317005758775</c:v>
                </c:pt>
                <c:pt idx="45">
                  <c:v>285.84997848413349</c:v>
                </c:pt>
                <c:pt idx="46">
                  <c:v>306.30393618022629</c:v>
                </c:pt>
                <c:pt idx="47">
                  <c:v>326.72754446781386</c:v>
                </c:pt>
                <c:pt idx="48">
                  <c:v>347.12296645126258</c:v>
                </c:pt>
                <c:pt idx="49">
                  <c:v>367.49209034996011</c:v>
                </c:pt>
                <c:pt idx="50">
                  <c:v>387.83657804664404</c:v>
                </c:pt>
                <c:pt idx="51">
                  <c:v>319.62262964231468</c:v>
                </c:pt>
                <c:pt idx="52">
                  <c:v>342.32647548509999</c:v>
                </c:pt>
                <c:pt idx="53">
                  <c:v>364.99723028009589</c:v>
                </c:pt>
                <c:pt idx="54">
                  <c:v>387.63723698464543</c:v>
                </c:pt>
                <c:pt idx="55">
                  <c:v>410.24854266397205</c:v>
                </c:pt>
                <c:pt idx="56">
                  <c:v>432.83295044318953</c:v>
                </c:pt>
                <c:pt idx="57">
                  <c:v>455.39206004826383</c:v>
                </c:pt>
                <c:pt idx="58">
                  <c:v>477.92729989457803</c:v>
                </c:pt>
                <c:pt idx="59">
                  <c:v>500.43995280861185</c:v>
                </c:pt>
                <c:pt idx="60">
                  <c:v>522.93117688121481</c:v>
                </c:pt>
                <c:pt idx="61">
                  <c:v>434.32440460746255</c:v>
                </c:pt>
                <c:pt idx="62">
                  <c:v>456.88189456064629</c:v>
                </c:pt>
                <c:pt idx="63">
                  <c:v>479.41560376398479</c:v>
                </c:pt>
                <c:pt idx="64">
                  <c:v>501.92680620451353</c:v>
                </c:pt>
                <c:pt idx="65">
                  <c:v>524.41665236850577</c:v>
                </c:pt>
                <c:pt idx="66">
                  <c:v>546.88618610350966</c:v>
                </c:pt>
                <c:pt idx="67">
                  <c:v>569.33635856622493</c:v>
                </c:pt>
                <c:pt idx="68">
                  <c:v>591.76803985714275</c:v>
                </c:pt>
                <c:pt idx="69">
                  <c:v>614.18202880042918</c:v>
                </c:pt>
                <c:pt idx="70">
                  <c:v>636.57906122293889</c:v>
                </c:pt>
                <c:pt idx="71">
                  <c:v>549.85425994262152</c:v>
                </c:pt>
                <c:pt idx="72">
                  <c:v>570.81918970877302</c:v>
                </c:pt>
                <c:pt idx="73">
                  <c:v>591.76803985714309</c:v>
                </c:pt>
                <c:pt idx="74">
                  <c:v>612.70145918441006</c:v>
                </c:pt>
                <c:pt idx="75">
                  <c:v>633.62004858200532</c:v>
                </c:pt>
                <c:pt idx="76">
                  <c:v>654.52436606992637</c:v>
                </c:pt>
                <c:pt idx="77">
                  <c:v>675.41493115455148</c:v>
                </c:pt>
                <c:pt idx="78">
                  <c:v>696.29222861974176</c:v>
                </c:pt>
                <c:pt idx="79">
                  <c:v>717.15671184004043</c:v>
                </c:pt>
                <c:pt idx="80">
                  <c:v>738.00880568863431</c:v>
                </c:pt>
                <c:pt idx="81">
                  <c:v>647.22916416008775</c:v>
                </c:pt>
                <c:pt idx="82">
                  <c:v>664.77425537759143</c:v>
                </c:pt>
                <c:pt idx="83">
                  <c:v>682.30982274817052</c:v>
                </c:pt>
                <c:pt idx="84">
                  <c:v>699.83614529753402</c:v>
                </c:pt>
                <c:pt idx="85">
                  <c:v>717.35348694890661</c:v>
                </c:pt>
                <c:pt idx="86">
                  <c:v>734.8620976968009</c:v>
                </c:pt>
                <c:pt idx="87">
                  <c:v>752.36221466320842</c:v>
                </c:pt>
                <c:pt idx="88">
                  <c:v>769.85406305050913</c:v>
                </c:pt>
                <c:pt idx="89">
                  <c:v>787.33785700335545</c:v>
                </c:pt>
                <c:pt idx="90">
                  <c:v>804.81380039010207</c:v>
                </c:pt>
                <c:pt idx="91">
                  <c:v>724.23992387996202</c:v>
                </c:pt>
                <c:pt idx="92">
                  <c:v>738.9920958575475</c:v>
                </c:pt>
                <c:pt idx="93">
                  <c:v>753.73827475643691</c:v>
                </c:pt>
                <c:pt idx="94">
                  <c:v>768.47859425243985</c:v>
                </c:pt>
                <c:pt idx="95">
                  <c:v>783.21318247934221</c:v>
                </c:pt>
                <c:pt idx="96">
                  <c:v>797.94216236075465</c:v>
                </c:pt>
                <c:pt idx="97">
                  <c:v>812.66565191620805</c:v>
                </c:pt>
                <c:pt idx="98">
                  <c:v>827.38376454393153</c:v>
                </c:pt>
                <c:pt idx="99">
                  <c:v>842.09660928248638</c:v>
                </c:pt>
                <c:pt idx="100">
                  <c:v>856.80429105317944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1517760"/>
        <c:axId val="-2021532992"/>
      </c:scatterChart>
      <c:valAx>
        <c:axId val="-20215177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32992"/>
        <c:crosses val="autoZero"/>
        <c:crossBetween val="midCat"/>
      </c:valAx>
      <c:valAx>
        <c:axId val="-202153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177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1.7916401853770756</c:v>
                </c:pt>
                <c:pt idx="2">
                  <c:v>2.0696284937632212</c:v>
                </c:pt>
                <c:pt idx="3">
                  <c:v>2.3909076147077641</c:v>
                </c:pt>
                <c:pt idx="4">
                  <c:v>2.7622425714808005</c:v>
                </c:pt>
                <c:pt idx="5">
                  <c:v>3.1914589913744771</c:v>
                </c:pt>
                <c:pt idx="6">
                  <c:v>3.6876098884172968</c:v>
                </c:pt>
                <c:pt idx="7">
                  <c:v>4.2611687466615322</c:v>
                </c:pt>
                <c:pt idx="8">
                  <c:v>4.9242530621859038</c:v>
                </c:pt>
                <c:pt idx="9">
                  <c:v>5.6908831609160648</c:v>
                </c:pt>
                <c:pt idx="10">
                  <c:v>6.5772818729793769</c:v>
                </c:pt>
                <c:pt idx="11">
                  <c:v>7.6022215292314961</c:v>
                </c:pt>
                <c:pt idx="12">
                  <c:v>8.7874257711277881</c:v>
                </c:pt>
                <c:pt idx="13">
                  <c:v>10.158034853649696</c:v>
                </c:pt>
                <c:pt idx="14">
                  <c:v>11.743144498490622</c:v>
                </c:pt>
                <c:pt idx="15">
                  <c:v>13.576429951255363</c:v>
                </c:pt>
                <c:pt idx="16">
                  <c:v>15.696868746929809</c:v>
                </c:pt>
                <c:pt idx="17">
                  <c:v>18.149577832801743</c:v>
                </c:pt>
                <c:pt idx="18">
                  <c:v>20.986783184285837</c:v>
                </c:pt>
                <c:pt idx="19">
                  <c:v>24.268942931145151</c:v>
                </c:pt>
                <c:pt idx="20">
                  <c:v>28.066048352515214</c:v>
                </c:pt>
                <c:pt idx="21">
                  <c:v>32.459130972111687</c:v>
                </c:pt>
                <c:pt idx="22">
                  <c:v>37.542008474916045</c:v>
                </c:pt>
                <c:pt idx="23">
                  <c:v>43.423307371923194</c:v>
                </c:pt>
                <c:pt idx="24">
                  <c:v>50.228806374368297</c:v>
                </c:pt>
                <c:pt idx="25">
                  <c:v>58.104151435642841</c:v>
                </c:pt>
                <c:pt idx="26">
                  <c:v>67.218001531444202</c:v>
                </c:pt>
                <c:pt idx="27">
                  <c:v>77.765673654715798</c:v>
                </c:pt>
                <c:pt idx="28">
                  <c:v>89.973366408253185</c:v>
                </c:pt>
                <c:pt idx="29">
                  <c:v>104.10305422414478</c:v>
                </c:pt>
                <c:pt idx="30">
                  <c:v>120.45815890349847</c:v>
                </c:pt>
                <c:pt idx="31">
                  <c:v>139.39012217467084</c:v>
                </c:pt>
                <c:pt idx="32">
                  <c:v>161.30602268756169</c:v>
                </c:pt>
                <c:pt idx="33">
                  <c:v>113.69914945997108</c:v>
                </c:pt>
                <c:pt idx="34">
                  <c:v>126.12965241438131</c:v>
                </c:pt>
                <c:pt idx="35">
                  <c:v>138.53044263697197</c:v>
                </c:pt>
                <c:pt idx="36">
                  <c:v>150.90455756698671</c:v>
                </c:pt>
                <c:pt idx="37">
                  <c:v>163.2544947857113</c:v>
                </c:pt>
                <c:pt idx="38">
                  <c:v>175.5823424815143</c:v>
                </c:pt>
                <c:pt idx="39">
                  <c:v>187.88987123468576</c:v>
                </c:pt>
                <c:pt idx="40">
                  <c:v>200.17860042757502</c:v>
                </c:pt>
                <c:pt idx="41">
                  <c:v>140.34112384075158</c:v>
                </c:pt>
                <c:pt idx="42">
                  <c:v>153.217428030631</c:v>
                </c:pt>
                <c:pt idx="43">
                  <c:v>166.06798531764863</c:v>
                </c:pt>
                <c:pt idx="44">
                  <c:v>178.89507020866532</c:v>
                </c:pt>
                <c:pt idx="45">
                  <c:v>191.70060392958302</c:v>
                </c:pt>
                <c:pt idx="46">
                  <c:v>204.48622975560693</c:v>
                </c:pt>
                <c:pt idx="47">
                  <c:v>217.2533684705445</c:v>
                </c:pt>
                <c:pt idx="48">
                  <c:v>230.00326008127158</c:v>
                </c:pt>
                <c:pt idx="49">
                  <c:v>242.736995782945</c:v>
                </c:pt>
                <c:pt idx="50">
                  <c:v>171.33780641491845</c:v>
                </c:pt>
                <c:pt idx="51">
                  <c:v>182.65124759561698</c:v>
                </c:pt>
                <c:pt idx="52">
                  <c:v>193.94830249519498</c:v>
                </c:pt>
                <c:pt idx="53">
                  <c:v>205.23006081804292</c:v>
                </c:pt>
                <c:pt idx="54">
                  <c:v>216.49748255007356</c:v>
                </c:pt>
                <c:pt idx="55">
                  <c:v>227.75141949538093</c:v>
                </c:pt>
                <c:pt idx="56">
                  <c:v>238.99263232697908</c:v>
                </c:pt>
                <c:pt idx="57">
                  <c:v>250.22180425745921</c:v>
                </c:pt>
                <c:pt idx="58">
                  <c:v>261.43955212439715</c:v>
                </c:pt>
                <c:pt idx="59">
                  <c:v>272.64643547165798</c:v>
                </c:pt>
                <c:pt idx="60">
                  <c:v>283.84296405810704</c:v>
                </c:pt>
                <c:pt idx="61">
                  <c:v>202.6640303075537</c:v>
                </c:pt>
                <c:pt idx="62">
                  <c:v>212.8966630324926</c:v>
                </c:pt>
                <c:pt idx="63">
                  <c:v>223.11796712539521</c:v>
                </c:pt>
                <c:pt idx="64">
                  <c:v>233.32853515424782</c:v>
                </c:pt>
                <c:pt idx="65">
                  <c:v>243.52890353990992</c:v>
                </c:pt>
                <c:pt idx="66">
                  <c:v>253.71956005637853</c:v>
                </c:pt>
                <c:pt idx="67">
                  <c:v>263.90095006171481</c:v>
                </c:pt>
                <c:pt idx="68">
                  <c:v>274.07348171615934</c:v>
                </c:pt>
                <c:pt idx="69">
                  <c:v>284.23753038433046</c:v>
                </c:pt>
                <c:pt idx="70">
                  <c:v>294.39344237430413</c:v>
                </c:pt>
                <c:pt idx="71">
                  <c:v>304.54153813337172</c:v>
                </c:pt>
                <c:pt idx="72">
                  <c:v>314.68211499527439</c:v>
                </c:pt>
                <c:pt idx="73">
                  <c:v>324.81544955459077</c:v>
                </c:pt>
                <c:pt idx="74">
                  <c:v>246.91859919087901</c:v>
                </c:pt>
                <c:pt idx="75">
                  <c:v>254.95565122562834</c:v>
                </c:pt>
                <c:pt idx="76">
                  <c:v>262.98696978963306</c:v>
                </c:pt>
                <c:pt idx="77">
                  <c:v>271.01275486164383</c:v>
                </c:pt>
                <c:pt idx="78">
                  <c:v>279.03319359622645</c:v>
                </c:pt>
                <c:pt idx="79">
                  <c:v>287.04846149927107</c:v>
                </c:pt>
                <c:pt idx="80">
                  <c:v>295.05872346522455</c:v>
                </c:pt>
                <c:pt idx="81">
                  <c:v>303.06413469570208</c:v>
                </c:pt>
                <c:pt idx="82">
                  <c:v>311.06484151588677</c:v>
                </c:pt>
                <c:pt idx="83">
                  <c:v>319.06098210248155</c:v>
                </c:pt>
                <c:pt idx="84">
                  <c:v>327.05268713481996</c:v>
                </c:pt>
                <c:pt idx="85">
                  <c:v>335.04008037896625</c:v>
                </c:pt>
                <c:pt idx="86">
                  <c:v>343.0232792131676</c:v>
                </c:pt>
                <c:pt idx="87">
                  <c:v>351.00239510180586</c:v>
                </c:pt>
                <c:pt idx="88">
                  <c:v>358.9775340239749</c:v>
                </c:pt>
                <c:pt idx="89">
                  <c:v>366.94879686196288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1531904"/>
        <c:axId val="-2021531360"/>
      </c:scatterChart>
      <c:valAx>
        <c:axId val="-2021531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31360"/>
        <c:crosses val="autoZero"/>
        <c:crossBetween val="midCat"/>
      </c:valAx>
      <c:valAx>
        <c:axId val="-202153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31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1.4635092725865444</c:v>
                </c:pt>
                <c:pt idx="2">
                  <c:v>1.7025282971777473</c:v>
                </c:pt>
                <c:pt idx="3">
                  <c:v>1.9807295715251672</c:v>
                </c:pt>
                <c:pt idx="4">
                  <c:v>2.3045589019379573</c:v>
                </c:pt>
                <c:pt idx="5">
                  <c:v>2.6815259974432273</c:v>
                </c:pt>
                <c:pt idx="6">
                  <c:v>3.1203806130660916</c:v>
                </c:pt>
                <c:pt idx="7">
                  <c:v>3.6313179394381785</c:v>
                </c:pt>
                <c:pt idx="8">
                  <c:v>4.2262181075132297</c:v>
                </c:pt>
                <c:pt idx="9">
                  <c:v>4.9189254896556944</c:v>
                </c:pt>
                <c:pt idx="10">
                  <c:v>5.7255744267395903</c:v>
                </c:pt>
                <c:pt idx="11">
                  <c:v>6.664969117921788</c:v>
                </c:pt>
                <c:pt idx="12">
                  <c:v>7.7590267020304333</c:v>
                </c:pt>
                <c:pt idx="13">
                  <c:v>9.0332940680955645</c:v>
                </c:pt>
                <c:pt idx="14">
                  <c:v>10.517550693721811</c:v>
                </c:pt>
                <c:pt idx="15">
                  <c:v>12.246511866133764</c:v>
                </c:pt>
                <c:pt idx="16">
                  <c:v>14.260649041304555</c:v>
                </c:pt>
                <c:pt idx="17">
                  <c:v>16.60714689941619</c:v>
                </c:pt>
                <c:pt idx="18">
                  <c:v>19.34101992752473</c:v>
                </c:pt>
                <c:pt idx="19">
                  <c:v>22.526415181596182</c:v>
                </c:pt>
                <c:pt idx="20">
                  <c:v>26.238132342188624</c:v>
                </c:pt>
                <c:pt idx="21">
                  <c:v>30.563397388633103</c:v>
                </c:pt>
                <c:pt idx="22">
                  <c:v>35.603932301371032</c:v>
                </c:pt>
                <c:pt idx="23">
                  <c:v>41.478370308065969</c:v>
                </c:pt>
                <c:pt idx="24">
                  <c:v>48.325074487878773</c:v>
                </c:pt>
                <c:pt idx="25">
                  <c:v>56.305427240430838</c:v>
                </c:pt>
                <c:pt idx="26">
                  <c:v>65.607669445808</c:v>
                </c:pt>
                <c:pt idx="27">
                  <c:v>76.451381363264133</c:v>
                </c:pt>
                <c:pt idx="28">
                  <c:v>89.092712758979928</c:v>
                </c:pt>
                <c:pt idx="29">
                  <c:v>103.83048779112333</c:v>
                </c:pt>
                <c:pt idx="30">
                  <c:v>121.0133312503405</c:v>
                </c:pt>
                <c:pt idx="31">
                  <c:v>130.47455945534963</c:v>
                </c:pt>
                <c:pt idx="32">
                  <c:v>139.91920681924447</c:v>
                </c:pt>
                <c:pt idx="33">
                  <c:v>149.34855182595956</c:v>
                </c:pt>
                <c:pt idx="34">
                  <c:v>158.7636980385312</c:v>
                </c:pt>
                <c:pt idx="35">
                  <c:v>168.16560721899756</c:v>
                </c:pt>
                <c:pt idx="36">
                  <c:v>177.55512463547487</c:v>
                </c:pt>
                <c:pt idx="37">
                  <c:v>186.93299872397799</c:v>
                </c:pt>
                <c:pt idx="38">
                  <c:v>196.29989659034709</c:v>
                </c:pt>
                <c:pt idx="39">
                  <c:v>205.65641639311912</c:v>
                </c:pt>
                <c:pt idx="40">
                  <c:v>215.00309735126984</c:v>
                </c:pt>
                <c:pt idx="41">
                  <c:v>155.52224371123677</c:v>
                </c:pt>
                <c:pt idx="42">
                  <c:v>164.82416739611833</c:v>
                </c:pt>
                <c:pt idx="43">
                  <c:v>174.11369119185997</c:v>
                </c:pt>
                <c:pt idx="44">
                  <c:v>183.39157071786599</c:v>
                </c:pt>
                <c:pt idx="45">
                  <c:v>192.65847878639758</c:v>
                </c:pt>
                <c:pt idx="46">
                  <c:v>201.91501811205728</c:v>
                </c:pt>
                <c:pt idx="47">
                  <c:v>211.16173156473567</c:v>
                </c:pt>
                <c:pt idx="48">
                  <c:v>220.39911052988498</c:v>
                </c:pt>
                <c:pt idx="49">
                  <c:v>229.62760179186114</c:v>
                </c:pt>
                <c:pt idx="50">
                  <c:v>238.84761325137129</c:v>
                </c:pt>
                <c:pt idx="51">
                  <c:v>188.39077675130136</c:v>
                </c:pt>
                <c:pt idx="52">
                  <c:v>198.17201274884755</c:v>
                </c:pt>
                <c:pt idx="53">
                  <c:v>207.94204969306148</c:v>
                </c:pt>
                <c:pt idx="54">
                  <c:v>217.7014884479286</c:v>
                </c:pt>
                <c:pt idx="55">
                  <c:v>227.45087154547332</c:v>
                </c:pt>
                <c:pt idx="56">
                  <c:v>237.19069116103324</c:v>
                </c:pt>
                <c:pt idx="57">
                  <c:v>246.92139570839672</c:v>
                </c:pt>
                <c:pt idx="58">
                  <c:v>256.6433953397547</c:v>
                </c:pt>
                <c:pt idx="59">
                  <c:v>266.35706656780263</c:v>
                </c:pt>
                <c:pt idx="60">
                  <c:v>276.06275617767665</c:v>
                </c:pt>
                <c:pt idx="61">
                  <c:v>227.13987125384526</c:v>
                </c:pt>
                <c:pt idx="62">
                  <c:v>238.22629827083426</c:v>
                </c:pt>
                <c:pt idx="63">
                  <c:v>249.30097227010035</c:v>
                </c:pt>
                <c:pt idx="64">
                  <c:v>260.36448926638076</c:v>
                </c:pt>
                <c:pt idx="65">
                  <c:v>271.41739044940789</c:v>
                </c:pt>
                <c:pt idx="66">
                  <c:v>282.46016930254598</c:v>
                </c:pt>
                <c:pt idx="67">
                  <c:v>293.49327754906773</c:v>
                </c:pt>
                <c:pt idx="68">
                  <c:v>304.51713015687432</c:v>
                </c:pt>
                <c:pt idx="69">
                  <c:v>315.53210958013784</c:v>
                </c:pt>
                <c:pt idx="70">
                  <c:v>326.53856937734338</c:v>
                </c:pt>
                <c:pt idx="71">
                  <c:v>274.30804838266249</c:v>
                </c:pt>
                <c:pt idx="72">
                  <c:v>285.96704456474043</c:v>
                </c:pt>
                <c:pt idx="73">
                  <c:v>297.61540606446545</c:v>
                </c:pt>
                <c:pt idx="74">
                  <c:v>309.25360794571606</c:v>
                </c:pt>
                <c:pt idx="75">
                  <c:v>320.88208658053628</c:v>
                </c:pt>
                <c:pt idx="76">
                  <c:v>332.50124411840181</c:v>
                </c:pt>
                <c:pt idx="77">
                  <c:v>344.11145229783097</c:v>
                </c:pt>
                <c:pt idx="78">
                  <c:v>355.71305571649401</c:v>
                </c:pt>
                <c:pt idx="79">
                  <c:v>367.30637465226465</c:v>
                </c:pt>
                <c:pt idx="80">
                  <c:v>378.8917075093982</c:v>
                </c:pt>
                <c:pt idx="81">
                  <c:v>331.47336627577857</c:v>
                </c:pt>
                <c:pt idx="82">
                  <c:v>343.59791066444672</c:v>
                </c:pt>
                <c:pt idx="83">
                  <c:v>355.71305571649401</c:v>
                </c:pt>
                <c:pt idx="84">
                  <c:v>367.81916674611404</c:v>
                </c:pt>
                <c:pt idx="85">
                  <c:v>379.91658305220102</c:v>
                </c:pt>
                <c:pt idx="86">
                  <c:v>392.00562055799747</c:v>
                </c:pt>
                <c:pt idx="87">
                  <c:v>404.08657410806762</c:v>
                </c:pt>
                <c:pt idx="88">
                  <c:v>416.15971947620778</c:v>
                </c:pt>
                <c:pt idx="89">
                  <c:v>428.22531512817227</c:v>
                </c:pt>
                <c:pt idx="90">
                  <c:v>440.28360377535751</c:v>
                </c:pt>
                <c:pt idx="91">
                  <c:v>402.14187022237041</c:v>
                </c:pt>
                <c:pt idx="92">
                  <c:v>415.13686787099647</c:v>
                </c:pt>
                <c:pt idx="93">
                  <c:v>428.12309534936963</c:v>
                </c:pt>
                <c:pt idx="94">
                  <c:v>441.10085615785653</c:v>
                </c:pt>
                <c:pt idx="95">
                  <c:v>454.07043448193554</c:v>
                </c:pt>
                <c:pt idx="96">
                  <c:v>467.03209694960123</c:v>
                </c:pt>
                <c:pt idx="97">
                  <c:v>479.98609418352476</c:v>
                </c:pt>
                <c:pt idx="98">
                  <c:v>492.93266217694435</c:v>
                </c:pt>
                <c:pt idx="99">
                  <c:v>505.87202351750079</c:v>
                </c:pt>
                <c:pt idx="100">
                  <c:v>518.80438847936102</c:v>
                </c:pt>
                <c:pt idx="101">
                  <c:v>487.22484042893853</c:v>
                </c:pt>
                <c:pt idx="102">
                  <c:v>501.49177357540185</c:v>
                </c:pt>
                <c:pt idx="103">
                  <c:v>515.75011953425008</c:v>
                </c:pt>
                <c:pt idx="104">
                  <c:v>530.00014907281752</c:v>
                </c:pt>
                <c:pt idx="105">
                  <c:v>544.24211721589984</c:v>
                </c:pt>
                <c:pt idx="106">
                  <c:v>558.4762645576136</c:v>
                </c:pt>
                <c:pt idx="107">
                  <c:v>572.7028184326042</c:v>
                </c:pt>
                <c:pt idx="108">
                  <c:v>586.92199396486899</c:v>
                </c:pt>
                <c:pt idx="109">
                  <c:v>601.13399500970047</c:v>
                </c:pt>
                <c:pt idx="110">
                  <c:v>615.33901500195941</c:v>
                </c:pt>
                <c:pt idx="111">
                  <c:v>1.6301611558033651E-12</c:v>
                </c:pt>
                <c:pt idx="112">
                  <c:v>1.6301611558033651E-12</c:v>
                </c:pt>
                <c:pt idx="113">
                  <c:v>1.6301611558033651E-12</c:v>
                </c:pt>
                <c:pt idx="114">
                  <c:v>1.6301611558033651E-12</c:v>
                </c:pt>
                <c:pt idx="115">
                  <c:v>1.6301611558033651E-12</c:v>
                </c:pt>
                <c:pt idx="116">
                  <c:v>1.6301611558033651E-12</c:v>
                </c:pt>
                <c:pt idx="117">
                  <c:v>1.6301611558033651E-12</c:v>
                </c:pt>
                <c:pt idx="118">
                  <c:v>1.6301611558033651E-12</c:v>
                </c:pt>
                <c:pt idx="119">
                  <c:v>1.6301611558033651E-12</c:v>
                </c:pt>
                <c:pt idx="120">
                  <c:v>1.6301611558033651E-12</c:v>
                </c:pt>
                <c:pt idx="121">
                  <c:v>1.6301611558033651E-12</c:v>
                </c:pt>
                <c:pt idx="122">
                  <c:v>1.6301611558033651E-12</c:v>
                </c:pt>
                <c:pt idx="123">
                  <c:v>1.6301611558033651E-12</c:v>
                </c:pt>
                <c:pt idx="124">
                  <c:v>1.6301611558033651E-12</c:v>
                </c:pt>
                <c:pt idx="125">
                  <c:v>1.6301611558033651E-12</c:v>
                </c:pt>
                <c:pt idx="126">
                  <c:v>1.6301611558033651E-12</c:v>
                </c:pt>
                <c:pt idx="127">
                  <c:v>1.6301611558033651E-12</c:v>
                </c:pt>
                <c:pt idx="128">
                  <c:v>1.6301611558033651E-12</c:v>
                </c:pt>
                <c:pt idx="129">
                  <c:v>1.6301611558033651E-12</c:v>
                </c:pt>
                <c:pt idx="130">
                  <c:v>1.6301611558033651E-12</c:v>
                </c:pt>
                <c:pt idx="131">
                  <c:v>1.6301611558033651E-12</c:v>
                </c:pt>
                <c:pt idx="132">
                  <c:v>1.6301611558033651E-12</c:v>
                </c:pt>
                <c:pt idx="133">
                  <c:v>1.6301611558033651E-12</c:v>
                </c:pt>
                <c:pt idx="134">
                  <c:v>1.6301611558033651E-12</c:v>
                </c:pt>
                <c:pt idx="135">
                  <c:v>1.6301611558033651E-12</c:v>
                </c:pt>
                <c:pt idx="136">
                  <c:v>1.6301611558033651E-12</c:v>
                </c:pt>
                <c:pt idx="137">
                  <c:v>1.6301611558033651E-12</c:v>
                </c:pt>
                <c:pt idx="138">
                  <c:v>1.6301611558033651E-12</c:v>
                </c:pt>
                <c:pt idx="139">
                  <c:v>1.6301611558033651E-12</c:v>
                </c:pt>
                <c:pt idx="140">
                  <c:v>1.6301611558033651E-12</c:v>
                </c:pt>
                <c:pt idx="141">
                  <c:v>1.6301611558033651E-12</c:v>
                </c:pt>
                <c:pt idx="142">
                  <c:v>1.6301611558033651E-12</c:v>
                </c:pt>
                <c:pt idx="143">
                  <c:v>1.6301611558033651E-12</c:v>
                </c:pt>
                <c:pt idx="144">
                  <c:v>1.6301611558033651E-12</c:v>
                </c:pt>
                <c:pt idx="145">
                  <c:v>1.6301611558033651E-12</c:v>
                </c:pt>
                <c:pt idx="146">
                  <c:v>1.6301611558033651E-12</c:v>
                </c:pt>
                <c:pt idx="147">
                  <c:v>1.6301611558033651E-12</c:v>
                </c:pt>
                <c:pt idx="148">
                  <c:v>1.6301611558033651E-12</c:v>
                </c:pt>
                <c:pt idx="149">
                  <c:v>1.6301611558033651E-12</c:v>
                </c:pt>
                <c:pt idx="150">
                  <c:v>1.6301611558033651E-12</c:v>
                </c:pt>
                <c:pt idx="151">
                  <c:v>1.6301611558033651E-12</c:v>
                </c:pt>
                <c:pt idx="152">
                  <c:v>1.6301611558033651E-12</c:v>
                </c:pt>
                <c:pt idx="153">
                  <c:v>1.6301611558033651E-12</c:v>
                </c:pt>
                <c:pt idx="154">
                  <c:v>1.6301611558033651E-12</c:v>
                </c:pt>
                <c:pt idx="155">
                  <c:v>1.6301611558033651E-12</c:v>
                </c:pt>
                <c:pt idx="156">
                  <c:v>1.6301611558033651E-12</c:v>
                </c:pt>
                <c:pt idx="157">
                  <c:v>1.6301611558033651E-12</c:v>
                </c:pt>
                <c:pt idx="158">
                  <c:v>1.6301611558033651E-12</c:v>
                </c:pt>
                <c:pt idx="159">
                  <c:v>1.6301611558033651E-12</c:v>
                </c:pt>
                <c:pt idx="160">
                  <c:v>1.6301611558033651E-12</c:v>
                </c:pt>
                <c:pt idx="161">
                  <c:v>1.6301611558033651E-12</c:v>
                </c:pt>
                <c:pt idx="162">
                  <c:v>1.6301611558033651E-12</c:v>
                </c:pt>
                <c:pt idx="163">
                  <c:v>1.6301611558033651E-12</c:v>
                </c:pt>
                <c:pt idx="164">
                  <c:v>1.6301611558033651E-12</c:v>
                </c:pt>
                <c:pt idx="165">
                  <c:v>1.6301611558033651E-12</c:v>
                </c:pt>
                <c:pt idx="166">
                  <c:v>1.6301611558033651E-12</c:v>
                </c:pt>
                <c:pt idx="167">
                  <c:v>1.6301611558033651E-12</c:v>
                </c:pt>
                <c:pt idx="168">
                  <c:v>1.6301611558033651E-12</c:v>
                </c:pt>
                <c:pt idx="169">
                  <c:v>1.6301611558033651E-12</c:v>
                </c:pt>
                <c:pt idx="170">
                  <c:v>1.6301611558033651E-12</c:v>
                </c:pt>
                <c:pt idx="171">
                  <c:v>1.6301611558033651E-12</c:v>
                </c:pt>
                <c:pt idx="172">
                  <c:v>1.6301611558033651E-12</c:v>
                </c:pt>
                <c:pt idx="173">
                  <c:v>1.6301611558033651E-12</c:v>
                </c:pt>
                <c:pt idx="174">
                  <c:v>1.6301611558033651E-12</c:v>
                </c:pt>
                <c:pt idx="175">
                  <c:v>1.6301611558033651E-12</c:v>
                </c:pt>
                <c:pt idx="176">
                  <c:v>1.6301611558033651E-12</c:v>
                </c:pt>
                <c:pt idx="177">
                  <c:v>1.6301611558033651E-12</c:v>
                </c:pt>
                <c:pt idx="178">
                  <c:v>1.6301611558033651E-12</c:v>
                </c:pt>
                <c:pt idx="179">
                  <c:v>1.6301611558033651E-12</c:v>
                </c:pt>
                <c:pt idx="180">
                  <c:v>1.6301611558033651E-12</c:v>
                </c:pt>
                <c:pt idx="181">
                  <c:v>1.6301611558033651E-12</c:v>
                </c:pt>
                <c:pt idx="182">
                  <c:v>1.6301611558033651E-12</c:v>
                </c:pt>
                <c:pt idx="183">
                  <c:v>1.6301611558033651E-12</c:v>
                </c:pt>
                <c:pt idx="184">
                  <c:v>1.6301611558033651E-12</c:v>
                </c:pt>
                <c:pt idx="185">
                  <c:v>1.6301611558033651E-12</c:v>
                </c:pt>
                <c:pt idx="186">
                  <c:v>1.6301611558033651E-12</c:v>
                </c:pt>
                <c:pt idx="187">
                  <c:v>1.6301611558033651E-12</c:v>
                </c:pt>
                <c:pt idx="188">
                  <c:v>1.6301611558033651E-12</c:v>
                </c:pt>
                <c:pt idx="189">
                  <c:v>1.6301611558033651E-12</c:v>
                </c:pt>
                <c:pt idx="190">
                  <c:v>1.6301611558033651E-12</c:v>
                </c:pt>
                <c:pt idx="191">
                  <c:v>1.6301611558033651E-12</c:v>
                </c:pt>
                <c:pt idx="192">
                  <c:v>1.6301611558033651E-12</c:v>
                </c:pt>
                <c:pt idx="193">
                  <c:v>1.6301611558033651E-12</c:v>
                </c:pt>
                <c:pt idx="194">
                  <c:v>1.6301611558033651E-12</c:v>
                </c:pt>
                <c:pt idx="195">
                  <c:v>1.6301611558033651E-12</c:v>
                </c:pt>
                <c:pt idx="196">
                  <c:v>1.6301611558033651E-12</c:v>
                </c:pt>
                <c:pt idx="197">
                  <c:v>1.6301611558033651E-12</c:v>
                </c:pt>
                <c:pt idx="198">
                  <c:v>1.6301611558033651E-12</c:v>
                </c:pt>
                <c:pt idx="199">
                  <c:v>1.6301611558033651E-12</c:v>
                </c:pt>
                <c:pt idx="200">
                  <c:v>1.6301611558033651E-12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1528096"/>
        <c:axId val="-2021529728"/>
      </c:scatterChart>
      <c:valAx>
        <c:axId val="-2021528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29728"/>
        <c:crosses val="autoZero"/>
        <c:crossBetween val="midCat"/>
      </c:valAx>
      <c:valAx>
        <c:axId val="-202152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28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1522656"/>
        <c:axId val="-2021526464"/>
      </c:scatterChart>
      <c:valAx>
        <c:axId val="-2021522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26464"/>
        <c:crosses val="autoZero"/>
        <c:crossBetween val="midCat"/>
      </c:valAx>
      <c:valAx>
        <c:axId val="-202152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22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1521568"/>
        <c:axId val="-2021527008"/>
      </c:scatterChart>
      <c:valAx>
        <c:axId val="-2021521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27008"/>
        <c:crosses val="autoZero"/>
        <c:crossBetween val="midCat"/>
      </c:valAx>
      <c:valAx>
        <c:axId val="-2021527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21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1529184"/>
        <c:axId val="-2021522112"/>
      </c:scatterChart>
      <c:valAx>
        <c:axId val="-2021529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22112"/>
        <c:crosses val="autoZero"/>
        <c:crossBetween val="midCat"/>
      </c:valAx>
      <c:valAx>
        <c:axId val="-202152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29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1530816"/>
        <c:axId val="-2021530272"/>
      </c:scatterChart>
      <c:valAx>
        <c:axId val="-2021530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30272"/>
        <c:crosses val="autoZero"/>
        <c:crossBetween val="midCat"/>
      </c:valAx>
      <c:valAx>
        <c:axId val="-202153027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21530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70" t="s">
        <v>295</v>
      </c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</row>
    <row r="13" spans="2:13" ht="15" customHeight="1" x14ac:dyDescent="0.3"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</row>
    <row r="14" spans="2:13" ht="15" customHeight="1" x14ac:dyDescent="0.3"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</row>
    <row r="15" spans="2:13" ht="18.75" customHeight="1" x14ac:dyDescent="0.3">
      <c r="B15" s="270"/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</row>
    <row r="16" spans="2:13" ht="18.75" customHeight="1" x14ac:dyDescent="0.3">
      <c r="B16" s="270"/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</row>
    <row r="18" spans="2:13" ht="12" customHeight="1" x14ac:dyDescent="0.3">
      <c r="B18" s="270" t="s">
        <v>296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</row>
    <row r="19" spans="2:13" ht="12" customHeight="1" x14ac:dyDescent="0.3"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 spans="2:13" ht="12" customHeight="1" x14ac:dyDescent="0.3"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</row>
    <row r="21" spans="2:13" ht="12" customHeight="1" x14ac:dyDescent="0.3"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  <row r="22" spans="2:13" ht="12" customHeight="1" x14ac:dyDescent="0.3">
      <c r="B22" s="270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</row>
    <row r="23" spans="2:13" ht="12" customHeight="1" x14ac:dyDescent="0.3">
      <c r="B23" s="270"/>
      <c r="C23" s="270"/>
      <c r="D23" s="270"/>
      <c r="E23" s="270"/>
      <c r="F23" s="270"/>
      <c r="G23" s="270"/>
      <c r="H23" s="270"/>
      <c r="I23" s="270"/>
      <c r="J23" s="270"/>
      <c r="K23" s="270"/>
      <c r="L23" s="270"/>
      <c r="M23" s="270"/>
    </row>
    <row r="24" spans="2:13" ht="12" customHeight="1" x14ac:dyDescent="0.3"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3" ht="12" customHeight="1" x14ac:dyDescent="0.3">
      <c r="B25" s="270"/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</row>
    <row r="26" spans="2:13" ht="12" customHeight="1" x14ac:dyDescent="0.3">
      <c r="B26" s="270"/>
      <c r="C26" s="270"/>
      <c r="D26" s="270"/>
      <c r="E26" s="270"/>
      <c r="F26" s="270"/>
      <c r="G26" s="270"/>
      <c r="H26" s="270"/>
      <c r="I26" s="270"/>
      <c r="J26" s="270"/>
      <c r="K26" s="270"/>
      <c r="L26" s="270"/>
      <c r="M26" s="270"/>
    </row>
    <row r="27" spans="2:13" ht="12" customHeight="1" x14ac:dyDescent="0.3"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</row>
    <row r="28" spans="2:13" ht="12" customHeight="1" x14ac:dyDescent="0.3"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</row>
    <row r="29" spans="2:13" ht="12" customHeight="1" x14ac:dyDescent="0.3">
      <c r="B29" s="270"/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0"/>
    </row>
    <row r="30" spans="2:13" ht="12" customHeight="1" x14ac:dyDescent="0.3">
      <c r="B30" s="270"/>
      <c r="C30" s="270"/>
      <c r="D30" s="270"/>
      <c r="E30" s="270"/>
      <c r="F30" s="270"/>
      <c r="G30" s="270"/>
      <c r="H30" s="270"/>
      <c r="I30" s="270"/>
      <c r="J30" s="270"/>
      <c r="K30" s="270"/>
      <c r="L30" s="270"/>
      <c r="M30" s="270"/>
    </row>
    <row r="31" spans="2:13" ht="12" customHeight="1" x14ac:dyDescent="0.3"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06" zoomScaleNormal="100" workbookViewId="0">
      <selection activeCell="A115" sqref="A115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71" t="s">
        <v>190</v>
      </c>
      <c r="D1" s="271"/>
      <c r="E1" s="27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76" t="s">
        <v>192</v>
      </c>
      <c r="C3" s="277"/>
      <c r="D3" s="277"/>
      <c r="E3" s="277"/>
      <c r="F3" s="278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282" t="s">
        <v>231</v>
      </c>
      <c r="B5" s="282"/>
      <c r="C5" s="26">
        <v>2.5</v>
      </c>
      <c r="D5" s="283" t="s">
        <v>229</v>
      </c>
      <c r="E5" s="284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5.8" x14ac:dyDescent="0.3">
      <c r="A7" s="280" t="s">
        <v>226</v>
      </c>
      <c r="B7" s="280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</v>
      </c>
      <c r="C9" s="35">
        <v>0.158</v>
      </c>
      <c r="D9" s="36">
        <f t="shared" ref="D9:D18" si="0">C9*$C$5</f>
        <v>0.39500000000000002</v>
      </c>
      <c r="E9" s="37">
        <v>80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52</v>
      </c>
      <c r="C10" s="35">
        <v>0.105</v>
      </c>
      <c r="D10" s="36">
        <f t="shared" si="0"/>
        <v>0.26250000000000001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164</v>
      </c>
      <c r="C11" s="35">
        <v>0.21099999999999999</v>
      </c>
      <c r="D11" s="36">
        <f t="shared" si="0"/>
        <v>0.52749999999999997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40</v>
      </c>
      <c r="C12" s="35">
        <v>0.158</v>
      </c>
      <c r="D12" s="36">
        <f t="shared" si="0"/>
        <v>0.39500000000000002</v>
      </c>
      <c r="E12" s="37">
        <v>89</v>
      </c>
      <c r="F12" s="38" t="str">
        <f t="array" ref="F12">IF(E12="","",IF(INDEX(A:A,MAX(IF(ISNUMBER($A$114:$A$133),ROW($A$114:$A$133),"")))&lt;&gt;E12,"Corrigez : révolution incorrecte","OK"))</f>
        <v>OK</v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47</v>
      </c>
      <c r="C13" s="35">
        <v>8.4000000000000005E-2</v>
      </c>
      <c r="D13" s="36">
        <f t="shared" si="0"/>
        <v>0.21000000000000002</v>
      </c>
      <c r="E13" s="37">
        <v>110</v>
      </c>
      <c r="F13" s="38" t="str">
        <f t="array" ref="F13">IF(E13="","",IF(INDEX(A:A,MAX(IF(ISNUMBER($A$140:$A$159),ROW($A$140:$A$159),"")))&lt;&gt;E13,"Corrigez : révolution incorrecte","OK"))</f>
        <v>OK</v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1"/>
      <c r="B19" s="39" t="s">
        <v>175</v>
      </c>
      <c r="C19" s="40">
        <f>SUM(C9:C18)</f>
        <v>0.71599999999999997</v>
      </c>
      <c r="D19" s="41">
        <f>SUM(D9:D18)</f>
        <v>1.79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79" t="s">
        <v>232</v>
      </c>
      <c r="B22" s="279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3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281" t="s">
        <v>227</v>
      </c>
      <c r="B30" s="281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3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pubescent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72" t="s">
        <v>186</v>
      </c>
      <c r="D34" s="272"/>
      <c r="E34" s="273" t="s">
        <v>187</v>
      </c>
      <c r="F34" s="274"/>
      <c r="G34" s="274"/>
      <c r="H34" s="275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56</v>
      </c>
      <c r="C36" s="63"/>
      <c r="D36" s="63"/>
      <c r="E36" s="54"/>
      <c r="F36" s="54"/>
      <c r="G36" s="54"/>
      <c r="H36" s="54"/>
      <c r="I36" s="52">
        <f>IFERROR(B36/A36,"")</f>
        <v>2.8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v>72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3.2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87</v>
      </c>
      <c r="C38" s="63"/>
      <c r="D38" s="63"/>
      <c r="E38" s="54"/>
      <c r="F38" s="54"/>
      <c r="G38" s="54"/>
      <c r="H38" s="54"/>
      <c r="I38" s="56">
        <f t="shared" si="1"/>
        <v>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v>101</v>
      </c>
      <c r="C39" s="63"/>
      <c r="D39" s="63"/>
      <c r="E39" s="54"/>
      <c r="F39" s="54"/>
      <c r="G39" s="54"/>
      <c r="H39" s="54"/>
      <c r="I39" s="52">
        <f t="shared" si="1"/>
        <v>2.8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v>114</v>
      </c>
      <c r="C40" s="63"/>
      <c r="D40" s="63"/>
      <c r="E40" s="54"/>
      <c r="F40" s="54"/>
      <c r="G40" s="54"/>
      <c r="H40" s="54"/>
      <c r="I40" s="52">
        <f t="shared" si="1"/>
        <v>2.6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v>126</v>
      </c>
      <c r="C41" s="63"/>
      <c r="D41" s="63"/>
      <c r="E41" s="54"/>
      <c r="F41" s="54"/>
      <c r="G41" s="54"/>
      <c r="H41" s="54"/>
      <c r="I41" s="56">
        <f t="shared" si="1"/>
        <v>2.4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137</f>
        <v>137</v>
      </c>
      <c r="C42" s="63">
        <v>1</v>
      </c>
      <c r="D42" s="63">
        <v>40</v>
      </c>
      <c r="E42" s="54"/>
      <c r="F42" s="54"/>
      <c r="G42" s="54"/>
      <c r="H42" s="54"/>
      <c r="I42" s="56">
        <f t="shared" si="1"/>
        <v>2.2000000000000002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3">
        <f>147-40</f>
        <v>107</v>
      </c>
      <c r="C43" s="63"/>
      <c r="D43" s="63"/>
      <c r="E43" s="54"/>
      <c r="F43" s="54"/>
      <c r="G43" s="54"/>
      <c r="H43" s="54"/>
      <c r="I43" s="52">
        <f t="shared" si="1"/>
        <v>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63">
        <f>156-40</f>
        <v>116</v>
      </c>
      <c r="C44" s="63"/>
      <c r="D44" s="63"/>
      <c r="E44" s="54"/>
      <c r="F44" s="54"/>
      <c r="G44" s="54"/>
      <c r="H44" s="54"/>
      <c r="I44" s="52">
        <f t="shared" si="1"/>
        <v>1.8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63">
        <f>165-40</f>
        <v>125</v>
      </c>
      <c r="C45" s="63"/>
      <c r="D45" s="63"/>
      <c r="E45" s="54"/>
      <c r="F45" s="54"/>
      <c r="G45" s="54"/>
      <c r="H45" s="54"/>
      <c r="I45" s="52">
        <f t="shared" si="1"/>
        <v>1.8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63">
        <f>173-40</f>
        <v>133</v>
      </c>
      <c r="C46" s="63"/>
      <c r="D46" s="63"/>
      <c r="E46" s="54"/>
      <c r="F46" s="54"/>
      <c r="G46" s="54"/>
      <c r="H46" s="54"/>
      <c r="I46" s="52">
        <f t="shared" si="1"/>
        <v>1.6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63">
        <f>180-40</f>
        <v>140</v>
      </c>
      <c r="C47" s="63"/>
      <c r="D47" s="63"/>
      <c r="E47" s="54"/>
      <c r="F47" s="54"/>
      <c r="G47" s="54"/>
      <c r="H47" s="54"/>
      <c r="I47" s="52">
        <f t="shared" si="1"/>
        <v>1.4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63">
        <f>187-40</f>
        <v>147</v>
      </c>
      <c r="C48" s="63">
        <v>2</v>
      </c>
      <c r="D48" s="63">
        <f>B48</f>
        <v>147</v>
      </c>
      <c r="E48" s="54"/>
      <c r="F48" s="54"/>
      <c r="G48" s="54"/>
      <c r="H48" s="54"/>
      <c r="I48" s="52">
        <f t="shared" si="1"/>
        <v>1.4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Cormier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72" t="s">
        <v>186</v>
      </c>
      <c r="D60" s="272"/>
      <c r="E60" s="273" t="s">
        <v>187</v>
      </c>
      <c r="F60" s="274"/>
      <c r="G60" s="274"/>
      <c r="H60" s="275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53">
        <v>56</v>
      </c>
      <c r="C62" s="53"/>
      <c r="D62" s="53"/>
      <c r="E62" s="54"/>
      <c r="F62" s="54"/>
      <c r="G62" s="54"/>
      <c r="H62" s="54"/>
      <c r="I62" s="56">
        <f>IFERROR(B62/A62,"")</f>
        <v>2.8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53">
        <v>72</v>
      </c>
      <c r="C63" s="53"/>
      <c r="D63" s="53"/>
      <c r="E63" s="54"/>
      <c r="F63" s="54"/>
      <c r="G63" s="54"/>
      <c r="H63" s="54"/>
      <c r="I63" s="52">
        <f>IF(A63&lt;&gt;0,(B63-(B62-D62))/(A63-A62),"")</f>
        <v>3.2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53">
        <v>87</v>
      </c>
      <c r="C64" s="53"/>
      <c r="D64" s="53"/>
      <c r="E64" s="54"/>
      <c r="F64" s="54"/>
      <c r="G64" s="54"/>
      <c r="H64" s="54"/>
      <c r="I64" s="52">
        <f>IF(A64&lt;&gt;0,(B64-(B63-D63))/(A64-A63),"")</f>
        <v>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53">
        <v>101</v>
      </c>
      <c r="C65" s="53"/>
      <c r="D65" s="53"/>
      <c r="E65" s="54"/>
      <c r="F65" s="54"/>
      <c r="G65" s="54"/>
      <c r="H65" s="54"/>
      <c r="I65" s="52">
        <f>IF(A65&lt;&gt;0,(B65-(B64-D64))/(A65-A64),"")</f>
        <v>2.8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53">
        <v>114</v>
      </c>
      <c r="C66" s="53"/>
      <c r="D66" s="53"/>
      <c r="E66" s="54"/>
      <c r="F66" s="54"/>
      <c r="G66" s="54"/>
      <c r="H66" s="54"/>
      <c r="I66" s="52">
        <f t="shared" ref="I66:I81" si="2">IF(A66&lt;&gt;0,(B66-(B65-D65))/(A66-A65),"")</f>
        <v>2.6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53">
        <v>126</v>
      </c>
      <c r="C67" s="53"/>
      <c r="D67" s="53"/>
      <c r="E67" s="54"/>
      <c r="F67" s="54"/>
      <c r="G67" s="54"/>
      <c r="H67" s="54"/>
      <c r="I67" s="52">
        <f t="shared" si="2"/>
        <v>2.4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f>137</f>
        <v>137</v>
      </c>
      <c r="C68" s="63">
        <v>1</v>
      </c>
      <c r="D68" s="63">
        <v>40</v>
      </c>
      <c r="E68" s="54"/>
      <c r="F68" s="54"/>
      <c r="G68" s="54"/>
      <c r="H68" s="54"/>
      <c r="I68" s="52">
        <f t="shared" si="2"/>
        <v>2.2000000000000002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3">
        <f>147-40</f>
        <v>107</v>
      </c>
      <c r="C69" s="63"/>
      <c r="D69" s="63"/>
      <c r="E69" s="54"/>
      <c r="F69" s="54"/>
      <c r="G69" s="54"/>
      <c r="H69" s="54"/>
      <c r="I69" s="52">
        <f t="shared" si="2"/>
        <v>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63">
        <f>156-40</f>
        <v>116</v>
      </c>
      <c r="C70" s="63"/>
      <c r="D70" s="63"/>
      <c r="E70" s="54"/>
      <c r="F70" s="54"/>
      <c r="G70" s="54"/>
      <c r="H70" s="54"/>
      <c r="I70" s="52">
        <f t="shared" si="2"/>
        <v>1.8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63">
        <f>165-40</f>
        <v>125</v>
      </c>
      <c r="C71" s="63"/>
      <c r="D71" s="63"/>
      <c r="E71" s="54"/>
      <c r="F71" s="54"/>
      <c r="G71" s="54"/>
      <c r="H71" s="54"/>
      <c r="I71" s="52">
        <f t="shared" si="2"/>
        <v>1.8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63">
        <f>173-40</f>
        <v>133</v>
      </c>
      <c r="C72" s="63"/>
      <c r="D72" s="63"/>
      <c r="E72" s="54"/>
      <c r="F72" s="54"/>
      <c r="G72" s="54"/>
      <c r="H72" s="54"/>
      <c r="I72" s="52">
        <f t="shared" si="2"/>
        <v>1.6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63">
        <f>180-40</f>
        <v>140</v>
      </c>
      <c r="C73" s="63"/>
      <c r="D73" s="63"/>
      <c r="E73" s="54"/>
      <c r="F73" s="54"/>
      <c r="G73" s="54"/>
      <c r="H73" s="54"/>
      <c r="I73" s="52">
        <f t="shared" si="2"/>
        <v>1.4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63">
        <f>187-40</f>
        <v>147</v>
      </c>
      <c r="C74" s="63">
        <v>2</v>
      </c>
      <c r="D74" s="63">
        <f>B74</f>
        <v>147</v>
      </c>
      <c r="E74" s="54"/>
      <c r="F74" s="54"/>
      <c r="G74" s="54"/>
      <c r="H74" s="54"/>
      <c r="I74" s="52">
        <f t="shared" si="2"/>
        <v>1.4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Cèdre de l'Atlas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72" t="s">
        <v>186</v>
      </c>
      <c r="D86" s="272"/>
      <c r="E86" s="273" t="s">
        <v>187</v>
      </c>
      <c r="F86" s="274"/>
      <c r="G86" s="274"/>
      <c r="H86" s="275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63">
        <v>20</v>
      </c>
      <c r="B88" s="63">
        <v>28</v>
      </c>
      <c r="C88" s="63"/>
      <c r="D88" s="63"/>
      <c r="E88" s="54"/>
      <c r="F88" s="54"/>
      <c r="G88" s="54"/>
      <c r="H88" s="94"/>
      <c r="I88" s="56">
        <f>IFERROR(B88/A88,"")</f>
        <v>1.4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63">
        <v>30</v>
      </c>
      <c r="B89" s="63">
        <v>121</v>
      </c>
      <c r="C89" s="63"/>
      <c r="D89" s="63"/>
      <c r="E89" s="54"/>
      <c r="F89" s="54"/>
      <c r="G89" s="54"/>
      <c r="H89" s="94"/>
      <c r="I89" s="56">
        <f t="shared" ref="I89:I107" si="3">IF(A89&lt;&gt;0,(B89-(B88-D88))/(A89-A88),"")</f>
        <v>9.3000000000000007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63">
        <v>40</v>
      </c>
      <c r="B90" s="63">
        <v>267</v>
      </c>
      <c r="C90" s="63">
        <v>1</v>
      </c>
      <c r="D90" s="63">
        <v>91</v>
      </c>
      <c r="E90" s="94"/>
      <c r="F90" s="94"/>
      <c r="G90" s="94"/>
      <c r="H90" s="94"/>
      <c r="I90" s="56">
        <f t="shared" si="3"/>
        <v>14.6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63">
        <v>50</v>
      </c>
      <c r="B91" s="63">
        <v>380</v>
      </c>
      <c r="C91" s="63">
        <v>2</v>
      </c>
      <c r="D91" s="63">
        <v>91</v>
      </c>
      <c r="E91" s="94"/>
      <c r="F91" s="94"/>
      <c r="G91" s="94"/>
      <c r="H91" s="94"/>
      <c r="I91" s="56">
        <f t="shared" si="3"/>
        <v>20.399999999999999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63">
        <v>60</v>
      </c>
      <c r="B92" s="63">
        <v>516</v>
      </c>
      <c r="C92" s="63">
        <v>3</v>
      </c>
      <c r="D92" s="63">
        <v>112</v>
      </c>
      <c r="E92" s="94"/>
      <c r="F92" s="94"/>
      <c r="G92" s="94"/>
      <c r="H92" s="94"/>
      <c r="I92" s="56">
        <f t="shared" si="3"/>
        <v>22.7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63">
        <v>70</v>
      </c>
      <c r="B93" s="63">
        <v>631</v>
      </c>
      <c r="C93" s="63">
        <v>4</v>
      </c>
      <c r="D93" s="63">
        <v>109</v>
      </c>
      <c r="E93" s="94"/>
      <c r="F93" s="94"/>
      <c r="G93" s="94"/>
      <c r="H93" s="94"/>
      <c r="I93" s="56">
        <f t="shared" si="3"/>
        <v>22.7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>
        <v>80</v>
      </c>
      <c r="B94" s="63">
        <v>734</v>
      </c>
      <c r="C94" s="63">
        <v>5</v>
      </c>
      <c r="D94" s="63">
        <v>110</v>
      </c>
      <c r="E94" s="94"/>
      <c r="F94" s="94"/>
      <c r="G94" s="94"/>
      <c r="H94" s="94"/>
      <c r="I94" s="56">
        <f t="shared" si="3"/>
        <v>21.2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90</v>
      </c>
      <c r="B95" s="63">
        <v>802</v>
      </c>
      <c r="C95" s="63">
        <v>6</v>
      </c>
      <c r="D95" s="63">
        <v>97</v>
      </c>
      <c r="E95" s="94"/>
      <c r="F95" s="94"/>
      <c r="G95" s="94"/>
      <c r="H95" s="94"/>
      <c r="I95" s="56">
        <f t="shared" si="3"/>
        <v>17.8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100</v>
      </c>
      <c r="B96" s="63">
        <v>855</v>
      </c>
      <c r="C96" s="63">
        <v>7</v>
      </c>
      <c r="D96" s="63">
        <v>855</v>
      </c>
      <c r="E96" s="94"/>
      <c r="F96" s="94"/>
      <c r="G96" s="94"/>
      <c r="H96" s="94"/>
      <c r="I96" s="56">
        <f t="shared" si="3"/>
        <v>15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4"/>
      <c r="F97" s="94"/>
      <c r="G97" s="94"/>
      <c r="H97" s="9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4"/>
      <c r="F98" s="94"/>
      <c r="G98" s="94"/>
      <c r="H98" s="9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4"/>
      <c r="F99" s="94"/>
      <c r="G99" s="94"/>
      <c r="H99" s="9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Pin de Salzmann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72" t="s">
        <v>186</v>
      </c>
      <c r="D112" s="272"/>
      <c r="E112" s="273" t="s">
        <v>187</v>
      </c>
      <c r="F112" s="274"/>
      <c r="G112" s="274"/>
      <c r="H112" s="275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63">
        <v>32</v>
      </c>
      <c r="B114" s="63">
        <v>121</v>
      </c>
      <c r="C114" s="63">
        <v>1</v>
      </c>
      <c r="D114" s="63">
        <v>46</v>
      </c>
      <c r="E114" s="54"/>
      <c r="F114" s="54"/>
      <c r="G114" s="54"/>
      <c r="H114" s="54"/>
      <c r="I114" s="56">
        <f>IFERROR(B114/A114,"")</f>
        <v>3.78125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63">
        <v>40</v>
      </c>
      <c r="B115" s="63">
        <v>151</v>
      </c>
      <c r="C115" s="63">
        <v>2</v>
      </c>
      <c r="D115" s="63">
        <v>56</v>
      </c>
      <c r="E115" s="54"/>
      <c r="F115" s="54"/>
      <c r="G115" s="54"/>
      <c r="H115" s="54"/>
      <c r="I115" s="56">
        <f t="shared" ref="I115:I133" si="4">IF(A115&lt;&gt;0,(B115-(B114-D114))/(A115-A114),"")</f>
        <v>9.5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63">
        <v>49</v>
      </c>
      <c r="B116" s="63">
        <v>184</v>
      </c>
      <c r="C116" s="63">
        <v>3</v>
      </c>
      <c r="D116" s="63">
        <v>64</v>
      </c>
      <c r="E116" s="54"/>
      <c r="F116" s="54"/>
      <c r="G116" s="54"/>
      <c r="H116" s="54"/>
      <c r="I116" s="56">
        <f t="shared" si="4"/>
        <v>9.8888888888888893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63">
        <v>60</v>
      </c>
      <c r="B117" s="63">
        <v>216</v>
      </c>
      <c r="C117" s="63">
        <v>4</v>
      </c>
      <c r="D117" s="63">
        <v>71</v>
      </c>
      <c r="E117" s="54"/>
      <c r="F117" s="54"/>
      <c r="G117" s="54"/>
      <c r="H117" s="54"/>
      <c r="I117" s="56">
        <f t="shared" si="4"/>
        <v>8.7272727272727266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63">
        <v>73</v>
      </c>
      <c r="B118" s="63">
        <v>248</v>
      </c>
      <c r="C118" s="63">
        <v>5</v>
      </c>
      <c r="D118" s="63">
        <v>67</v>
      </c>
      <c r="E118" s="54"/>
      <c r="F118" s="54"/>
      <c r="G118" s="54"/>
      <c r="H118" s="54"/>
      <c r="I118" s="56">
        <f t="shared" si="4"/>
        <v>7.9230769230769234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63">
        <v>89</v>
      </c>
      <c r="B119" s="63">
        <v>281</v>
      </c>
      <c r="C119" s="63">
        <v>6</v>
      </c>
      <c r="D119" s="63">
        <v>281</v>
      </c>
      <c r="E119" s="54"/>
      <c r="F119" s="54"/>
      <c r="G119" s="54"/>
      <c r="H119" s="54"/>
      <c r="I119" s="56">
        <f t="shared" si="4"/>
        <v>6.25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4"/>
      <c r="F120" s="94"/>
      <c r="G120" s="94"/>
      <c r="H120" s="9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4"/>
      <c r="F121" s="94"/>
      <c r="G121" s="94"/>
      <c r="H121" s="9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4"/>
      <c r="F122" s="94"/>
      <c r="G122" s="94"/>
      <c r="H122" s="9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Sapin méditerranéen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72" t="s">
        <v>186</v>
      </c>
      <c r="D138" s="272"/>
      <c r="E138" s="273" t="s">
        <v>187</v>
      </c>
      <c r="F138" s="274"/>
      <c r="G138" s="274"/>
      <c r="H138" s="275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30</v>
      </c>
      <c r="B140" s="63">
        <v>112</v>
      </c>
      <c r="C140" s="53"/>
      <c r="D140" s="63"/>
      <c r="E140" s="54"/>
      <c r="F140" s="54"/>
      <c r="G140" s="54"/>
      <c r="H140" s="54"/>
      <c r="I140" s="60">
        <f>IFERROR(B140/A140,"")</f>
        <v>3.7333333333333334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40</v>
      </c>
      <c r="B141" s="63">
        <v>202</v>
      </c>
      <c r="C141" s="53">
        <v>1</v>
      </c>
      <c r="D141" s="63">
        <v>66</v>
      </c>
      <c r="E141" s="54"/>
      <c r="F141" s="54"/>
      <c r="G141" s="54"/>
      <c r="H141" s="54"/>
      <c r="I141" s="60">
        <f t="shared" ref="I141:I159" si="5">IF(A141&lt;&gt;0,(B141-(B140-D140))/(A141-A140),"")</f>
        <v>9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50</v>
      </c>
      <c r="B142" s="63">
        <v>225</v>
      </c>
      <c r="C142" s="53">
        <v>2</v>
      </c>
      <c r="D142" s="63">
        <v>58</v>
      </c>
      <c r="E142" s="54"/>
      <c r="F142" s="54"/>
      <c r="G142" s="54"/>
      <c r="H142" s="54"/>
      <c r="I142" s="60">
        <f t="shared" si="5"/>
        <v>8.9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60</v>
      </c>
      <c r="B143" s="63">
        <v>261</v>
      </c>
      <c r="C143" s="53">
        <v>3</v>
      </c>
      <c r="D143" s="63">
        <v>58</v>
      </c>
      <c r="E143" s="54"/>
      <c r="F143" s="54"/>
      <c r="G143" s="54"/>
      <c r="H143" s="54"/>
      <c r="I143" s="60">
        <f t="shared" si="5"/>
        <v>9.4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70</v>
      </c>
      <c r="B144" s="63">
        <v>310</v>
      </c>
      <c r="C144" s="53">
        <v>4</v>
      </c>
      <c r="D144" s="63">
        <v>62</v>
      </c>
      <c r="E144" s="54"/>
      <c r="F144" s="54"/>
      <c r="G144" s="54"/>
      <c r="H144" s="54"/>
      <c r="I144" s="60">
        <f t="shared" si="5"/>
        <v>10.7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80</v>
      </c>
      <c r="B145" s="63">
        <v>361</v>
      </c>
      <c r="C145" s="53">
        <v>5</v>
      </c>
      <c r="D145" s="63">
        <v>58</v>
      </c>
      <c r="E145" s="54"/>
      <c r="F145" s="54"/>
      <c r="G145" s="54"/>
      <c r="H145" s="54"/>
      <c r="I145" s="60">
        <f t="shared" si="5"/>
        <v>11.3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90</v>
      </c>
      <c r="B146" s="63">
        <v>421</v>
      </c>
      <c r="C146" s="53">
        <v>6</v>
      </c>
      <c r="D146" s="63">
        <v>50</v>
      </c>
      <c r="E146" s="54"/>
      <c r="F146" s="54"/>
      <c r="G146" s="54"/>
      <c r="H146" s="54"/>
      <c r="I146" s="60">
        <f t="shared" si="5"/>
        <v>11.8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100</v>
      </c>
      <c r="B147" s="63">
        <v>498</v>
      </c>
      <c r="C147" s="53">
        <v>7</v>
      </c>
      <c r="D147" s="63">
        <v>45</v>
      </c>
      <c r="E147" s="54"/>
      <c r="F147" s="54"/>
      <c r="G147" s="54"/>
      <c r="H147" s="54"/>
      <c r="I147" s="60">
        <f>IF(A147&lt;&gt;0,(B147-(B146-D146))/(A147-A146),"")</f>
        <v>12.7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110</v>
      </c>
      <c r="B148" s="63">
        <v>593</v>
      </c>
      <c r="C148" s="53">
        <v>8</v>
      </c>
      <c r="D148" s="63">
        <v>593</v>
      </c>
      <c r="E148" s="54"/>
      <c r="F148" s="54"/>
      <c r="G148" s="54"/>
      <c r="H148" s="54"/>
      <c r="I148" s="60">
        <f t="shared" si="5"/>
        <v>14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72" t="s">
        <v>186</v>
      </c>
      <c r="D164" s="272"/>
      <c r="E164" s="273" t="s">
        <v>187</v>
      </c>
      <c r="F164" s="274"/>
      <c r="G164" s="274"/>
      <c r="H164" s="275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72" t="s">
        <v>186</v>
      </c>
      <c r="D190" s="272"/>
      <c r="E190" s="273" t="s">
        <v>187</v>
      </c>
      <c r="F190" s="274"/>
      <c r="G190" s="274"/>
      <c r="H190" s="275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72" t="s">
        <v>186</v>
      </c>
      <c r="D216" s="272"/>
      <c r="E216" s="273" t="s">
        <v>187</v>
      </c>
      <c r="F216" s="274"/>
      <c r="G216" s="274"/>
      <c r="H216" s="275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72" t="s">
        <v>186</v>
      </c>
      <c r="D242" s="272"/>
      <c r="E242" s="273" t="s">
        <v>187</v>
      </c>
      <c r="F242" s="274"/>
      <c r="G242" s="274"/>
      <c r="H242" s="275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72" t="s">
        <v>186</v>
      </c>
      <c r="D268" s="272"/>
      <c r="E268" s="273" t="s">
        <v>187</v>
      </c>
      <c r="F268" s="274"/>
      <c r="G268" s="274"/>
      <c r="H268" s="275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286" t="s">
        <v>191</v>
      </c>
      <c r="C2" s="287"/>
      <c r="D2" s="287"/>
      <c r="E2" s="287"/>
      <c r="F2" s="287"/>
      <c r="G2" s="28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285"/>
      <c r="C4" s="285"/>
      <c r="D4" s="285"/>
      <c r="E4" s="285"/>
      <c r="F4" s="285"/>
      <c r="G4" s="28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3">
      <c r="A8" s="115">
        <v>1</v>
      </c>
      <c r="B8" s="64">
        <v>0</v>
      </c>
      <c r="C8" s="52" t="s">
        <v>177</v>
      </c>
      <c r="D8" s="25"/>
      <c r="E8" s="115">
        <v>4</v>
      </c>
      <c r="F8" s="64">
        <v>0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1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1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3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3">
      <c r="A15" s="25"/>
      <c r="B15" s="29" t="s">
        <v>300</v>
      </c>
      <c r="C15" s="5"/>
      <c r="D15" s="25"/>
      <c r="E15" s="5"/>
      <c r="F15" s="5"/>
      <c r="G15" s="2" t="s">
        <v>90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6">
        <f>SUM(B16:B18)</f>
        <v>0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292" t="s">
        <v>176</v>
      </c>
      <c r="C1" s="293"/>
      <c r="D1" s="293"/>
      <c r="E1" s="293"/>
      <c r="F1" s="293"/>
      <c r="G1" s="293"/>
      <c r="H1" s="294"/>
      <c r="I1" s="289" t="str">
        <f>IF('Données projet'!$B$9="","",'Données projet'!$B$9)</f>
        <v>Chêne pubescent</v>
      </c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1"/>
      <c r="AD1" s="290" t="str">
        <f>IF('Données projet'!$B$10="","",'Données projet'!$B$10)</f>
        <v>Cormier</v>
      </c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1"/>
      <c r="AY1" s="289" t="str">
        <f>IF('Données projet'!$B$11="","",'Données projet'!$B$11)</f>
        <v>Cèdre de l'Atlas</v>
      </c>
      <c r="AZ1" s="290"/>
      <c r="BA1" s="290"/>
      <c r="BB1" s="290"/>
      <c r="BC1" s="290"/>
      <c r="BD1" s="290"/>
      <c r="BE1" s="290"/>
      <c r="BF1" s="290"/>
      <c r="BG1" s="290"/>
      <c r="BH1" s="290"/>
      <c r="BI1" s="290"/>
      <c r="BJ1" s="290"/>
      <c r="BK1" s="290"/>
      <c r="BL1" s="290"/>
      <c r="BM1" s="290"/>
      <c r="BN1" s="290"/>
      <c r="BO1" s="290"/>
      <c r="BP1" s="290"/>
      <c r="BQ1" s="290"/>
      <c r="BR1" s="290"/>
      <c r="BS1" s="291"/>
      <c r="BT1" s="289" t="str">
        <f>IF('Données projet'!$B$12="","",'Données projet'!$B$12)</f>
        <v>Pin de Salzmann</v>
      </c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1"/>
      <c r="CO1" s="289" t="str">
        <f>IF('Données projet'!$B$13="","",'Données projet'!$B$13)</f>
        <v>Sapin méditerranéen</v>
      </c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1"/>
      <c r="DJ1" s="289" t="str">
        <f>IF('Données projet'!$B$14="","",'Données projet'!$B$14)</f>
        <v/>
      </c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1"/>
      <c r="EE1" s="289" t="str">
        <f>IF('Données projet'!$B$15="","",'Données projet'!$B$15)</f>
        <v/>
      </c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1"/>
      <c r="EZ1" s="289" t="str">
        <f>IF('Données projet'!$B$16="","",'Données projet'!$B$16)</f>
        <v/>
      </c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1"/>
      <c r="FU1" s="289" t="str">
        <f>IF('Données projet'!$B$17="","",'Données projet'!$B$17)</f>
        <v/>
      </c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1"/>
      <c r="GP1" s="289" t="str">
        <f>IF('Données projet'!$B$18="","",'Données projet'!$B$18)</f>
        <v/>
      </c>
      <c r="GQ1" s="290"/>
      <c r="GR1" s="290"/>
      <c r="GS1" s="290"/>
      <c r="GT1" s="290"/>
      <c r="GU1" s="290"/>
      <c r="GV1" s="290"/>
      <c r="GW1" s="290"/>
      <c r="GX1" s="290"/>
      <c r="GY1" s="290"/>
      <c r="GZ1" s="290"/>
      <c r="HA1" s="290"/>
      <c r="HB1" s="290"/>
      <c r="HC1" s="290"/>
      <c r="HD1" s="290"/>
      <c r="HE1" s="290"/>
      <c r="HF1" s="290"/>
      <c r="HG1" s="290"/>
      <c r="HH1" s="290"/>
      <c r="HI1" s="290"/>
      <c r="HJ1" s="291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167.90363814107491</v>
      </c>
      <c r="T3" s="62">
        <f>IF('Données projet'!E9&gt;30,$R$33-$H$33,LOOKUP('Données projet'!$E$9,$A$3:$A$203,R3:R203)-LOOKUP('Données projet'!$E$9,$A$3:$A$203,$H$3:$H$203))</f>
        <v>174.92847878212234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179.61236179838011</v>
      </c>
      <c r="AO3" s="62">
        <f>IF('Données projet'!E10&gt;30,$AM$33-$H$33,LOOKUP('Données projet'!$E$10,$A$3:$A$203,AM3:AM203)-LOOKUP('Données projet'!$E$10,$A$3:$A$203,$H$3:$H$203))</f>
        <v>186.66130555850333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335.00873408144395</v>
      </c>
      <c r="BJ3" s="62">
        <f>IF('Données projet'!E11&gt;30,$BH$33-$H$33,LOOKUP('Données projet'!$E$11,$A$3:$A$203,BH3:BH203)-LOOKUP('Données projet'!$E$11,$A$3:$A$203,$H$3:$H$203))</f>
        <v>106.28577694955948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136.47709057888358</v>
      </c>
      <c r="CE3" s="62">
        <f>IF('Données projet'!E12&gt;30,$CC$33-$H$33,LOOKUP('Données projet'!$E$12,$A$3:$A$203,CC3:CC203)-LOOKUP('Données projet'!$E$12,$A$3:$A$203,$H$3:$H$203))</f>
        <v>99.705248792886493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205.01234521498333</v>
      </c>
      <c r="CZ3" s="62">
        <f>IF('Données projet'!E13&gt;30,$CX$33-$H$33,LOOKUP('Données projet'!$E$13,$A$3:$A$203,CX3:CX203)-LOOKUP('Données projet'!$E$13,$A$3:$A$203,$H$3:$H$203))</f>
        <v>100.26042113972852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0.29250000000000004</v>
      </c>
      <c r="D4" s="12">
        <f>IFERROR(EXP(-1.0587+0.8836*LN(C4)+0.284),0)</f>
        <v>0.15553240371736005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3.4584957479936569</v>
      </c>
      <c r="H4" s="70">
        <f t="shared" ref="H4:H67" si="1">(B4+E4+F4)*44/12+(C4+D4)*0.475*44/12</f>
        <v>294.1136564364744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</v>
      </c>
      <c r="N4" s="14">
        <f>IF('Données projet'!$A$36&gt;35,N3+M4-V3,IF(A4&lt;'Données projet'!$A$36,$K$205^A4,IF(A4='Données projet'!$A$36,'Données projet'!$B$36,N3+M4-V3)))</f>
        <v>1.2229519710813024</v>
      </c>
      <c r="O4" s="14">
        <f>N4*VLOOKUP('Données projet'!$B$9,Paramètres!$A$1:$I$88,3,0)*VLOOKUP('Données projet'!$B$9,Paramètres!$A$1:$I$88,5,0)</f>
        <v>1.2400732986764407</v>
      </c>
      <c r="P4" s="14">
        <f>EXP(-1.0587+0.8836*LN(O4)+0.284)</f>
        <v>0.55734248410260534</v>
      </c>
      <c r="Q4" s="22">
        <f t="shared" ref="Q4:Q34" si="2">(O4+P4)*0.475*44/12</f>
        <v>3.1304991550068384</v>
      </c>
      <c r="R4" s="62">
        <f t="shared" si="0"/>
        <v>296.46383248834013</v>
      </c>
      <c r="S4" s="62">
        <f ca="1">AVERAGE(OFFSET($R$3,0,0,'Données projet'!$E$9+1,1))-AVERAGE(OFFSET($H$3,0,0,'Données projet'!$E$9+1,1))</f>
        <v>167.90363814107491</v>
      </c>
      <c r="T4" s="62">
        <f>$T$3</f>
        <v>174.92847878212234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</v>
      </c>
      <c r="AI4" s="14">
        <f>IF('Données projet'!$A$62&gt;35,AI3+AH4-AQ3,IF(A4&lt;'Données projet'!$A$62,$AF$205^A4,IF(A4='Données projet'!$A$62,'Données projet'!$B$62,AI3+AH4-AQ3)))</f>
        <v>1.2229519710813024</v>
      </c>
      <c r="AJ4" s="14">
        <f>AI4*VLOOKUP('Données projet'!$B$10,Paramètres!$A$1:$I$88,3,0)*VLOOKUP('Données projet'!$B$10,Paramètres!$A$1:$I$88,5,0)</f>
        <v>1.3163855016719139</v>
      </c>
      <c r="AK4" s="14">
        <f>EXP(-1.0587+0.8836*LN(AJ4)+0.284)</f>
        <v>0.58754206265766595</v>
      </c>
      <c r="AL4" s="22">
        <f t="shared" ref="AL4:AL67" si="4">(AJ4+AK4)*0.475*44/12</f>
        <v>3.3160071745406849</v>
      </c>
      <c r="AM4" s="62">
        <f t="shared" ref="AM4:AM67" si="5">AL4+(AD4+AE4)*44/12</f>
        <v>296.649340507874</v>
      </c>
      <c r="AN4" s="62">
        <f ca="1">AVERAGE(OFFSET($AM$3,0,0,'Données projet'!$E$10+1,1))-AVERAGE(OFFSET($H$3,0,0,'Données projet'!$E$10+1,1))</f>
        <v>179.61236179838011</v>
      </c>
      <c r="AO4" s="62">
        <f>$AO$3</f>
        <v>186.66130555850333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1.4</v>
      </c>
      <c r="BD4" s="13">
        <f>IF('Données projet'!$A$88&gt;35,BD3+BC4-BL3,IF(A4&lt;'Données projet'!$A$88,$BA$205^A4,IF(A4='Données projet'!$A$88,'Données projet'!$B$88,BD3+BC4-BL3)))</f>
        <v>1.1812937373976771</v>
      </c>
      <c r="BE4" s="14">
        <f>BD4*VLOOKUP('Données projet'!$B$11,Paramètres!$A$1:$I$88,3,0)*VLOOKUP('Données projet'!$B$11,Paramètres!$A$1:$I$88,5,0)</f>
        <v>0.55284546910211285</v>
      </c>
      <c r="BF4" s="14">
        <f>EXP(-1.0587+0.8836*LN(BE4)+0.284)</f>
        <v>0.27297114564908254</v>
      </c>
      <c r="BG4" s="22">
        <f t="shared" ref="BG4:BG67" si="7">(BE4+BF4)*0.475*44/12</f>
        <v>1.4382972706916652</v>
      </c>
      <c r="BH4" s="62">
        <f t="shared" ref="BH4:BH67" si="8">BG4+(AY4+AZ4)*44/12</f>
        <v>294.77163060402501</v>
      </c>
      <c r="BI4" s="62">
        <f ca="1">AVERAGE(OFFSET($BH$3,0,0,'Données projet'!$E$11+1,1))-AVERAGE(OFFSET($H$3,0,0,'Données projet'!$E$11+1,1))</f>
        <v>335.00873408144395</v>
      </c>
      <c r="BJ4" s="62">
        <f>$BJ$3</f>
        <v>106.28577694955948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3.78125</v>
      </c>
      <c r="BY4" s="13">
        <f>IF('Données projet'!$A$114&gt;35,BY3+BX4-CG3,IF(A4&lt;'Données projet'!$A$114,$BV$205^A4,IF(A4='Données projet'!$A$114,'Données projet'!$B$114,BY3+BX4-CG3)))</f>
        <v>1.1616814187717481</v>
      </c>
      <c r="BZ4" s="14">
        <f>BY4*VLOOKUP('Données projet'!$B$12,Paramètres!$A$1:$I$88,3,0)*VLOOKUP('Données projet'!$B$12,Paramètres!$A$1:$I$88,5,0)</f>
        <v>0.69468548842550537</v>
      </c>
      <c r="CA4" s="14">
        <f>EXP(-1.0587+0.8836*LN(BZ4)+0.284)</f>
        <v>0.33400744097760005</v>
      </c>
      <c r="CB4" s="22">
        <f t="shared" ref="CB4:CB67" si="10">(BZ4+CA4)*0.475*44/12</f>
        <v>1.7916401853770756</v>
      </c>
      <c r="CC4" s="62">
        <f t="shared" ref="CC4:CC67" si="11">CB4+(BT4+BU4)*44/12</f>
        <v>295.12497351871036</v>
      </c>
      <c r="CD4" s="62">
        <f ca="1">AVERAGE(OFFSET($CC$3,0,0,'Données projet'!$E$12+1,1))-AVERAGE(OFFSET($H$3,0,0,'Données projet'!$E$12+1,1))</f>
        <v>136.47709057888358</v>
      </c>
      <c r="CE4" s="62">
        <f>$CE$3</f>
        <v>99.705248792886493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3.7333333333333334</v>
      </c>
      <c r="CT4" s="13">
        <f>IF('Données projet'!$A$140&gt;35,CT3+CS4-DB3,IF(A4&lt;'Données projet'!$A$140,$CQ$205^A4,IF(A4='Données projet'!$A$140,'Données projet'!$B$140,CT3+CS4-DB3)))</f>
        <v>1.1703271155931456</v>
      </c>
      <c r="CU4" s="18">
        <f>CT4*VLOOKUP('Données projet'!$B$13,Paramètres!$A$1:$I$88,3,0)*VLOOKUP('Données projet'!$B$13,Paramètres!$A$1:$I$88,5,0)</f>
        <v>0.56292734260030308</v>
      </c>
      <c r="CV4" s="14">
        <f>EXP(-1.0587+0.8836*LN(CU4)+0.284)</f>
        <v>0.2773650627125453</v>
      </c>
      <c r="CW4" s="22">
        <f t="shared" ref="CW4:CW67" si="13">(CU4+CV4)*0.475*44/12</f>
        <v>1.4635092725865444</v>
      </c>
      <c r="CX4" s="62">
        <f t="shared" ref="CX4:CX67" si="14">CW4+(CO4+CP4)*44/12</f>
        <v>294.79684260591984</v>
      </c>
      <c r="CY4" s="62">
        <f ca="1">AVERAGE(OFFSET($CX$3,0,0,'Données projet'!$E$13+1,1))-AVERAGE(OFFSET($H$3,0,0,'Données projet'!$E$13+1,1))</f>
        <v>205.01234521498333</v>
      </c>
      <c r="CZ4" s="62">
        <f>$CZ$3</f>
        <v>100.26042113972852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projet'!$B$13,Paramètres!$A$1:$I$88,3,0)*0.475*44/12</f>
        <v>0</v>
      </c>
      <c r="DG4" s="23">
        <f>EXP(-LN(2)/25)*DG3+(1-EXP(-LN(2)/25))/(LN(2)/25)*Calculateur!DB4*Calculateur!DD4*VLOOKUP('Données projet'!$B$13,Paramètres!$A$1:$I$88,3,0)*0.475*44/12</f>
        <v>0</v>
      </c>
      <c r="DH4" s="23">
        <f>EXP(-LN(2)/2)*DH3+(1-EXP(-LN(2)/2))/(LN(2)/2)*DB4*DE4*VLOOKUP('Données projet'!$B$13,Paramètres!$A$1:$I$88,3,0)*0.475*44/12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0.58500000000000008</v>
      </c>
      <c r="D5" s="12">
        <f t="shared" ref="D5:D68" si="32">IFERROR(EXP(-1.0587+0.8836*LN(C5)+0.284),0)</f>
        <v>0.28695314445355541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6.7308663782379723</v>
      </c>
      <c r="H5" s="70">
        <f t="shared" si="1"/>
        <v>294.85198505992327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</v>
      </c>
      <c r="N5" s="14">
        <f>IF('Données projet'!$A$36&gt;35,N4+M5-V4,IF(A5&lt;'Données projet'!$A$36,$K$205^A5,IF(A5='Données projet'!$A$36,'Données projet'!$B$36,N4+M5-V4)))</f>
        <v>1.4956115235716427</v>
      </c>
      <c r="O5" s="14">
        <f>N5*VLOOKUP('Données projet'!$B$9,Paramètres!$A$1:$I$88,3,0)*VLOOKUP('Données projet'!$B$9,Paramètres!$A$1:$I$88,5,0)</f>
        <v>1.5165500849016458</v>
      </c>
      <c r="P5" s="14">
        <f t="shared" ref="P5:P68" si="33">EXP(-1.0587+0.8836*LN(O5)+0.284)</f>
        <v>0.66582039792230752</v>
      </c>
      <c r="Q5" s="22">
        <f t="shared" si="2"/>
        <v>3.8009619242517192</v>
      </c>
      <c r="R5" s="62">
        <f t="shared" si="0"/>
        <v>297.13429525758505</v>
      </c>
      <c r="S5" s="62">
        <f ca="1">AVERAGE(OFFSET($R$3,0,0,'Données projet'!$E$9+1,1))-AVERAGE(OFFSET($H$3,0,0,'Données projet'!$E$9+1,1))</f>
        <v>167.90363814107491</v>
      </c>
      <c r="T5" s="62">
        <f t="shared" ref="T5:T68" si="34">$T$3</f>
        <v>174.92847878212234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</v>
      </c>
      <c r="AI5" s="14">
        <f>IF('Données projet'!$A$62&gt;35,AI4+AH5-AQ4,IF(A5&lt;'Données projet'!$A$62,$AF$205^A5,IF(A5='Données projet'!$A$62,'Données projet'!$B$62,AI4+AH5-AQ4)))</f>
        <v>1.4956115235716427</v>
      </c>
      <c r="AJ5" s="14">
        <f>AI5*VLOOKUP('Données projet'!$B$10,Paramètres!$A$1:$I$88,3,0)*VLOOKUP('Données projet'!$B$10,Paramètres!$A$1:$I$88,5,0)</f>
        <v>1.6098762439725163</v>
      </c>
      <c r="AK5" s="14">
        <f t="shared" ref="AK5:AK68" si="35">EXP(-1.0587+0.8836*LN(AJ5)+0.284)</f>
        <v>0.70189784757697049</v>
      </c>
      <c r="AL5" s="22">
        <f t="shared" si="4"/>
        <v>4.0263398761153564</v>
      </c>
      <c r="AM5" s="62">
        <f t="shared" si="5"/>
        <v>297.35967320944866</v>
      </c>
      <c r="AN5" s="62">
        <f ca="1">AVERAGE(OFFSET($AM$3,0,0,'Données projet'!$E$10+1,1))-AVERAGE(OFFSET($H$3,0,0,'Données projet'!$E$10+1,1))</f>
        <v>179.61236179838011</v>
      </c>
      <c r="AO5" s="62">
        <f t="shared" ref="AO5:AO68" si="36">$AO$3</f>
        <v>186.66130555850333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1.4</v>
      </c>
      <c r="BD5" s="13">
        <f>IF('Données projet'!$A$88&gt;35,BD4+BC5-BL4,IF(A5&lt;'Données projet'!$A$88,$BA$205^A5,IF(A5='Données projet'!$A$88,'Données projet'!$B$88,BD4+BC5-BL4)))</f>
        <v>1.395454894014972</v>
      </c>
      <c r="BE5" s="14">
        <f>BD5*VLOOKUP('Données projet'!$B$11,Paramètres!$A$1:$I$88,3,0)*VLOOKUP('Données projet'!$B$11,Paramètres!$A$1:$I$88,5,0)</f>
        <v>0.65307289039900684</v>
      </c>
      <c r="BF5" s="14">
        <f t="shared" ref="BF5:BF68" si="37">EXP(-1.0587+0.8836*LN(BE5)+0.284)</f>
        <v>0.31626576584246652</v>
      </c>
      <c r="BG5" s="22">
        <f t="shared" si="7"/>
        <v>1.6882648262872328</v>
      </c>
      <c r="BH5" s="62">
        <f t="shared" si="8"/>
        <v>295.02159815962057</v>
      </c>
      <c r="BI5" s="62">
        <f ca="1">AVERAGE(OFFSET($BH$3,0,0,'Données projet'!$E$11+1,1))-AVERAGE(OFFSET($H$3,0,0,'Données projet'!$E$11+1,1))</f>
        <v>335.00873408144395</v>
      </c>
      <c r="BJ5" s="62">
        <f t="shared" ref="BJ5:BJ68" si="38">$BJ$3</f>
        <v>106.28577694955948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3.78125</v>
      </c>
      <c r="BY5" s="13">
        <f>IF('Données projet'!$A$114&gt;35,BY4+BX5-CG4,IF(A5&lt;'Données projet'!$A$114,$BV$205^A5,IF(A5='Données projet'!$A$114,'Données projet'!$B$114,BY4+BX5-CG4)))</f>
        <v>1.3495037187195416</v>
      </c>
      <c r="BZ5" s="14">
        <f>BY5*VLOOKUP('Données projet'!$B$12,Paramètres!$A$1:$I$88,3,0)*VLOOKUP('Données projet'!$B$12,Paramètres!$A$1:$I$88,5,0)</f>
        <v>0.80700322379428591</v>
      </c>
      <c r="CA5" s="14">
        <f t="shared" ref="CA5:CA68" si="39">EXP(-1.0587+0.8836*LN(BZ5)+0.284)</f>
        <v>0.38130021760086502</v>
      </c>
      <c r="CB5" s="22">
        <f t="shared" si="10"/>
        <v>2.0696284937632212</v>
      </c>
      <c r="CC5" s="62">
        <f t="shared" si="11"/>
        <v>295.40296182709653</v>
      </c>
      <c r="CD5" s="62">
        <f ca="1">AVERAGE(OFFSET($CC$3,0,0,'Données projet'!$E$12+1,1))-AVERAGE(OFFSET($H$3,0,0,'Données projet'!$E$12+1,1))</f>
        <v>136.47709057888358</v>
      </c>
      <c r="CE5" s="62">
        <f t="shared" ref="CE5:CE68" si="40">$CE$3</f>
        <v>99.705248792886493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3.7333333333333334</v>
      </c>
      <c r="CT5" s="13">
        <f>IF('Données projet'!$A$140&gt;35,CT4+CS5-DB4,IF(A5&lt;'Données projet'!$A$140,$CQ$205^A5,IF(A5='Données projet'!$A$140,'Données projet'!$B$140,CT4+CS5-DB4)))</f>
        <v>1.369665557492572</v>
      </c>
      <c r="CU5" s="18">
        <f>CT5*VLOOKUP('Données projet'!$B$13,Paramètres!$A$1:$I$88,3,0)*VLOOKUP('Données projet'!$B$13,Paramètres!$A$1:$I$88,5,0)</f>
        <v>0.6588091331539272</v>
      </c>
      <c r="CV5" s="14">
        <f t="shared" ref="CV5:CV68" si="41">EXP(-1.0587+0.8836*LN(CU5)+0.284)</f>
        <v>0.31871907575195652</v>
      </c>
      <c r="CW5" s="22">
        <f t="shared" si="13"/>
        <v>1.7025282971777473</v>
      </c>
      <c r="CX5" s="62">
        <f t="shared" si="14"/>
        <v>295.03586163051108</v>
      </c>
      <c r="CY5" s="62">
        <f ca="1">AVERAGE(OFFSET($CX$3,0,0,'Données projet'!$E$13+1,1))-AVERAGE(OFFSET($H$3,0,0,'Données projet'!$E$13+1,1))</f>
        <v>205.01234521498333</v>
      </c>
      <c r="CZ5" s="62">
        <f t="shared" ref="CZ5:CZ68" si="42">$CZ$3</f>
        <v>100.26042113972852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projet'!$B$13,Paramètres!$A$1:$I$88,3,0)*0.475*44/12</f>
        <v>0</v>
      </c>
      <c r="DG5" s="23">
        <f>EXP(-LN(2)/25)*DG4+(1-EXP(-LN(2)/25))/(LN(2)/25)*Calculateur!DB5*Calculateur!DD5*VLOOKUP('Données projet'!$B$13,Paramètres!$A$1:$I$88,3,0)*0.475*44/12</f>
        <v>0</v>
      </c>
      <c r="DH5" s="23">
        <f>EXP(-LN(2)/2)*DH4+(1-EXP(-LN(2)/2))/(LN(2)/2)*DB5*DE5*VLOOKUP('Données projet'!$B$13,Paramètres!$A$1:$I$88,3,0)*0.475*44/12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0.87750000000000017</v>
      </c>
      <c r="D6" s="12">
        <f t="shared" si="32"/>
        <v>0.41058702837660288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9.9431279383457074</v>
      </c>
      <c r="H6" s="70">
        <f t="shared" si="1"/>
        <v>295.57675157442259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</v>
      </c>
      <c r="N6" s="14">
        <f>IF('Données projet'!$A$36&gt;35,N5+M6-V5,IF(A6&lt;'Données projet'!$A$36,$K$205^A6,IF(A6='Données projet'!$A$36,'Données projet'!$B$36,N5+M6-V5)))</f>
        <v>1.8290610607238502</v>
      </c>
      <c r="O6" s="14">
        <f>N6*VLOOKUP('Données projet'!$B$9,Paramètres!$A$1:$I$88,3,0)*VLOOKUP('Données projet'!$B$9,Paramètres!$A$1:$I$88,5,0)</f>
        <v>1.8546679155739845</v>
      </c>
      <c r="P6" s="14">
        <f t="shared" si="33"/>
        <v>0.79541182474761163</v>
      </c>
      <c r="Q6" s="22">
        <f t="shared" si="2"/>
        <v>4.6155555477267791</v>
      </c>
      <c r="R6" s="62">
        <f t="shared" si="0"/>
        <v>297.9488888810601</v>
      </c>
      <c r="S6" s="62">
        <f ca="1">AVERAGE(OFFSET($R$3,0,0,'Données projet'!$E$9+1,1))-AVERAGE(OFFSET($H$3,0,0,'Données projet'!$E$9+1,1))</f>
        <v>167.90363814107491</v>
      </c>
      <c r="T6" s="62">
        <f t="shared" si="34"/>
        <v>174.92847878212234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</v>
      </c>
      <c r="AI6" s="14">
        <f>IF('Données projet'!$A$62&gt;35,AI5+AH6-AQ5,IF(A6&lt;'Données projet'!$A$62,$AF$205^A6,IF(A6='Données projet'!$A$62,'Données projet'!$B$62,AI5+AH6-AQ5)))</f>
        <v>1.8290610607238502</v>
      </c>
      <c r="AJ6" s="14">
        <f>AI6*VLOOKUP('Données projet'!$B$10,Paramètres!$A$1:$I$88,3,0)*VLOOKUP('Données projet'!$B$10,Paramètres!$A$1:$I$88,5,0)</f>
        <v>1.9688013257631525</v>
      </c>
      <c r="AK6" s="14">
        <f t="shared" si="35"/>
        <v>0.83851118029695004</v>
      </c>
      <c r="AL6" s="22">
        <f t="shared" si="4"/>
        <v>4.8894026147213454</v>
      </c>
      <c r="AM6" s="62">
        <f t="shared" si="5"/>
        <v>298.22273594805466</v>
      </c>
      <c r="AN6" s="62">
        <f ca="1">AVERAGE(OFFSET($AM$3,0,0,'Données projet'!$E$10+1,1))-AVERAGE(OFFSET($H$3,0,0,'Données projet'!$E$10+1,1))</f>
        <v>179.61236179838011</v>
      </c>
      <c r="AO6" s="62">
        <f t="shared" si="36"/>
        <v>186.66130555850333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1.4</v>
      </c>
      <c r="BD6" s="13">
        <f>IF('Données projet'!$A$88&gt;35,BD5+BC6-BL5,IF(A6&lt;'Données projet'!$A$88,$BA$205^A6,IF(A6='Données projet'!$A$88,'Données projet'!$B$88,BD5+BC6-BL5)))</f>
        <v>1.6484421271208256</v>
      </c>
      <c r="BE6" s="14">
        <f>BD6*VLOOKUP('Données projet'!$B$11,Paramètres!$A$1:$I$88,3,0)*VLOOKUP('Données projet'!$B$11,Paramètres!$A$1:$I$88,5,0)</f>
        <v>0.77147091549254643</v>
      </c>
      <c r="BF6" s="14">
        <f t="shared" si="37"/>
        <v>0.36642713428952517</v>
      </c>
      <c r="BG6" s="22">
        <f t="shared" si="7"/>
        <v>1.9818391033704412</v>
      </c>
      <c r="BH6" s="62">
        <f t="shared" si="8"/>
        <v>295.31517243670373</v>
      </c>
      <c r="BI6" s="62">
        <f ca="1">AVERAGE(OFFSET($BH$3,0,0,'Données projet'!$E$11+1,1))-AVERAGE(OFFSET($H$3,0,0,'Données projet'!$E$11+1,1))</f>
        <v>335.00873408144395</v>
      </c>
      <c r="BJ6" s="62">
        <f t="shared" si="38"/>
        <v>106.28577694955948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3.78125</v>
      </c>
      <c r="BY6" s="13">
        <f>IF('Données projet'!$A$114&gt;35,BY5+BX6-CG5,IF(A6&lt;'Données projet'!$A$114,$BV$205^A6,IF(A6='Données projet'!$A$114,'Données projet'!$B$114,BY5+BX6-CG5)))</f>
        <v>1.5676933945998672</v>
      </c>
      <c r="BZ6" s="14">
        <f>BY6*VLOOKUP('Données projet'!$B$12,Paramètres!$A$1:$I$88,3,0)*VLOOKUP('Données projet'!$B$12,Paramètres!$A$1:$I$88,5,0)</f>
        <v>0.93748064997072067</v>
      </c>
      <c r="CA6" s="14">
        <f t="shared" si="39"/>
        <v>0.4352892723495268</v>
      </c>
      <c r="CB6" s="22">
        <f t="shared" si="10"/>
        <v>2.3909076147077641</v>
      </c>
      <c r="CC6" s="62">
        <f t="shared" si="11"/>
        <v>295.72424094804109</v>
      </c>
      <c r="CD6" s="62">
        <f ca="1">AVERAGE(OFFSET($CC$3,0,0,'Données projet'!$E$12+1,1))-AVERAGE(OFFSET($H$3,0,0,'Données projet'!$E$12+1,1))</f>
        <v>136.47709057888358</v>
      </c>
      <c r="CE6" s="62">
        <f t="shared" si="40"/>
        <v>99.705248792886493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3.7333333333333334</v>
      </c>
      <c r="CT6" s="13">
        <f>IF('Données projet'!$A$140&gt;35,CT5+CS6-DB5,IF(A6&lt;'Données projet'!$A$140,$CQ$205^A6,IF(A6='Données projet'!$A$140,'Données projet'!$B$140,CT5+CS6-DB5)))</f>
        <v>1.6029567412275596</v>
      </c>
      <c r="CU6" s="18">
        <f>CT6*VLOOKUP('Données projet'!$B$13,Paramètres!$A$1:$I$88,3,0)*VLOOKUP('Données projet'!$B$13,Paramètres!$A$1:$I$88,5,0)</f>
        <v>0.77102219253045623</v>
      </c>
      <c r="CV6" s="14">
        <f t="shared" si="41"/>
        <v>0.36623880547442444</v>
      </c>
      <c r="CW6" s="22">
        <f t="shared" si="13"/>
        <v>1.9807295715251672</v>
      </c>
      <c r="CX6" s="62">
        <f t="shared" si="14"/>
        <v>295.31406290485847</v>
      </c>
      <c r="CY6" s="62">
        <f ca="1">AVERAGE(OFFSET($CX$3,0,0,'Données projet'!$E$13+1,1))-AVERAGE(OFFSET($H$3,0,0,'Données projet'!$E$13+1,1))</f>
        <v>205.01234521498333</v>
      </c>
      <c r="CZ6" s="62">
        <f t="shared" si="42"/>
        <v>100.26042113972852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projet'!$B$13,Paramètres!$A$1:$I$88,3,0)*0.475*44/12</f>
        <v>0</v>
      </c>
      <c r="DG6" s="23">
        <f>EXP(-LN(2)/25)*DG5+(1-EXP(-LN(2)/25))/(LN(2)/25)*Calculateur!DB6*Calculateur!DD6*VLOOKUP('Données projet'!$B$13,Paramètres!$A$1:$I$88,3,0)*0.475*44/12</f>
        <v>0</v>
      </c>
      <c r="DH6" s="23">
        <f>EXP(-LN(2)/2)*DH5+(1-EXP(-LN(2)/2))/(LN(2)/2)*DB6*DE6*VLOOKUP('Données projet'!$B$13,Paramètres!$A$1:$I$88,3,0)*0.475*44/12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1.1700000000000002</v>
      </c>
      <c r="D7" s="12">
        <f t="shared" si="32"/>
        <v>0.52942091257985413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13.118336869037472</v>
      </c>
      <c r="H7" s="70">
        <f t="shared" si="1"/>
        <v>296.29315808940987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</v>
      </c>
      <c r="N7" s="14">
        <f>IF('Données projet'!$A$36&gt;35,N6+M7-V6,IF(A7&lt;'Données projet'!$A$36,$K$205^A7,IF(A7='Données projet'!$A$36,'Données projet'!$B$36,N6+M7-V6)))</f>
        <v>2.2368538294402907</v>
      </c>
      <c r="O7" s="14">
        <f>N7*VLOOKUP('Données projet'!$B$9,Paramètres!$A$1:$I$88,3,0)*VLOOKUP('Données projet'!$B$9,Paramètres!$A$1:$I$88,5,0)</f>
        <v>2.2681697830524548</v>
      </c>
      <c r="P7" s="14">
        <f t="shared" si="33"/>
        <v>0.95022617649234364</v>
      </c>
      <c r="Q7" s="22">
        <f t="shared" si="2"/>
        <v>5.6053729628738571</v>
      </c>
      <c r="R7" s="62">
        <f t="shared" si="0"/>
        <v>298.93870629620716</v>
      </c>
      <c r="S7" s="62">
        <f ca="1">AVERAGE(OFFSET($R$3,0,0,'Données projet'!$E$9+1,1))-AVERAGE(OFFSET($H$3,0,0,'Données projet'!$E$9+1,1))</f>
        <v>167.90363814107491</v>
      </c>
      <c r="T7" s="62">
        <f t="shared" si="34"/>
        <v>174.92847878212234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</v>
      </c>
      <c r="AI7" s="14">
        <f>IF('Données projet'!$A$62&gt;35,AI6+AH7-AQ6,IF(A7&lt;'Données projet'!$A$62,$AF$205^A7,IF(A7='Données projet'!$A$62,'Données projet'!$B$62,AI6+AH7-AQ6)))</f>
        <v>2.2368538294402907</v>
      </c>
      <c r="AJ7" s="14">
        <f>AI7*VLOOKUP('Données projet'!$B$10,Paramètres!$A$1:$I$88,3,0)*VLOOKUP('Données projet'!$B$10,Paramètres!$A$1:$I$88,5,0)</f>
        <v>2.4077494620095288</v>
      </c>
      <c r="AK7" s="14">
        <f t="shared" si="35"/>
        <v>1.0017141410394221</v>
      </c>
      <c r="AL7" s="22">
        <f t="shared" si="4"/>
        <v>5.9381491086435894</v>
      </c>
      <c r="AM7" s="62">
        <f t="shared" si="5"/>
        <v>299.2714824419769</v>
      </c>
      <c r="AN7" s="62">
        <f ca="1">AVERAGE(OFFSET($AM$3,0,0,'Données projet'!$E$10+1,1))-AVERAGE(OFFSET($H$3,0,0,'Données projet'!$E$10+1,1))</f>
        <v>179.61236179838011</v>
      </c>
      <c r="AO7" s="62">
        <f t="shared" si="36"/>
        <v>186.66130555850333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1.4</v>
      </c>
      <c r="BD7" s="13">
        <f>IF('Données projet'!$A$88&gt;35,BD6+BC7-BL6,IF(A7&lt;'Données projet'!$A$88,$BA$205^A7,IF(A7='Données projet'!$A$88,'Données projet'!$B$88,BD6+BC7-BL6)))</f>
        <v>1.9472943612303368</v>
      </c>
      <c r="BE7" s="14">
        <f>BD7*VLOOKUP('Données projet'!$B$11,Paramètres!$A$1:$I$88,3,0)*VLOOKUP('Données projet'!$B$11,Paramètres!$A$1:$I$88,5,0)</f>
        <v>0.91133376105579766</v>
      </c>
      <c r="BF7" s="14">
        <f t="shared" si="37"/>
        <v>0.42454435239289751</v>
      </c>
      <c r="BG7" s="22">
        <f t="shared" si="7"/>
        <v>2.3266543809231437</v>
      </c>
      <c r="BH7" s="62">
        <f t="shared" si="8"/>
        <v>295.65998771425643</v>
      </c>
      <c r="BI7" s="62">
        <f ca="1">AVERAGE(OFFSET($BH$3,0,0,'Données projet'!$E$11+1,1))-AVERAGE(OFFSET($H$3,0,0,'Données projet'!$E$11+1,1))</f>
        <v>335.00873408144395</v>
      </c>
      <c r="BJ7" s="62">
        <f t="shared" si="38"/>
        <v>106.28577694955948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3.78125</v>
      </c>
      <c r="BY7" s="13">
        <f>IF('Données projet'!$A$114&gt;35,BY6+BX7-CG6,IF(A7&lt;'Données projet'!$A$114,$BV$205^A7,IF(A7='Données projet'!$A$114,'Données projet'!$B$114,BY6+BX7-CG6)))</f>
        <v>1.8211602868378716</v>
      </c>
      <c r="BZ7" s="14">
        <f>BY7*VLOOKUP('Données projet'!$B$12,Paramètres!$A$1:$I$88,3,0)*VLOOKUP('Données projet'!$B$12,Paramètres!$A$1:$I$88,5,0)</f>
        <v>1.0890538515290473</v>
      </c>
      <c r="CA7" s="14">
        <f t="shared" si="39"/>
        <v>0.49692274453648416</v>
      </c>
      <c r="CB7" s="22">
        <f t="shared" si="10"/>
        <v>2.7622425714808005</v>
      </c>
      <c r="CC7" s="62">
        <f t="shared" si="11"/>
        <v>296.0955759048141</v>
      </c>
      <c r="CD7" s="62">
        <f ca="1">AVERAGE(OFFSET($CC$3,0,0,'Données projet'!$E$12+1,1))-AVERAGE(OFFSET($H$3,0,0,'Données projet'!$E$12+1,1))</f>
        <v>136.47709057888358</v>
      </c>
      <c r="CE7" s="62">
        <f t="shared" si="40"/>
        <v>99.705248792886493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3.7333333333333334</v>
      </c>
      <c r="CT7" s="13">
        <f>IF('Données projet'!$A$140&gt;35,CT6+CS7-DB6,IF(A7&lt;'Données projet'!$A$140,$CQ$205^A7,IF(A7='Données projet'!$A$140,'Données projet'!$B$140,CT6+CS7-DB6)))</f>
        <v>1.875983739381438</v>
      </c>
      <c r="CU7" s="18">
        <f>CT7*VLOOKUP('Données projet'!$B$13,Paramètres!$A$1:$I$88,3,0)*VLOOKUP('Données projet'!$B$13,Paramètres!$A$1:$I$88,5,0)</f>
        <v>0.90234817864247174</v>
      </c>
      <c r="CV7" s="14">
        <f t="shared" si="41"/>
        <v>0.42084353538889141</v>
      </c>
      <c r="CW7" s="22">
        <f t="shared" si="13"/>
        <v>2.3045589019379573</v>
      </c>
      <c r="CX7" s="62">
        <f t="shared" si="14"/>
        <v>295.63789223527129</v>
      </c>
      <c r="CY7" s="62">
        <f ca="1">AVERAGE(OFFSET($CX$3,0,0,'Données projet'!$E$13+1,1))-AVERAGE(OFFSET($H$3,0,0,'Données projet'!$E$13+1,1))</f>
        <v>205.01234521498333</v>
      </c>
      <c r="CZ7" s="62">
        <f t="shared" si="42"/>
        <v>100.26042113972852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projet'!$B$13,Paramètres!$A$1:$I$88,3,0)*0.475*44/12</f>
        <v>0</v>
      </c>
      <c r="DG7" s="23">
        <f>EXP(-LN(2)/25)*DG6+(1-EXP(-LN(2)/25))/(LN(2)/25)*Calculateur!DB7*Calculateur!DD7*VLOOKUP('Données projet'!$B$13,Paramètres!$A$1:$I$88,3,0)*0.475*44/12</f>
        <v>0</v>
      </c>
      <c r="DH7" s="23">
        <f>EXP(-LN(2)/2)*DH6+(1-EXP(-LN(2)/2))/(LN(2)/2)*DB7*DE7*VLOOKUP('Données projet'!$B$13,Paramètres!$A$1:$I$88,3,0)*0.475*44/12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1.4625000000000001</v>
      </c>
      <c r="D8" s="12">
        <f t="shared" si="32"/>
        <v>0.64480853861366638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16.26694310508795</v>
      </c>
      <c r="H8" s="70">
        <f t="shared" si="1"/>
        <v>297.00356237141881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</v>
      </c>
      <c r="N8" s="14">
        <f>IF('Données projet'!$A$36&gt;35,N7+M8-V7,IF(A8&lt;'Données projet'!$A$36,$K$205^A8,IF(A8='Données projet'!$A$36,'Données projet'!$B$36,N7+M8-V7)))</f>
        <v>2.735564799734763</v>
      </c>
      <c r="O8" s="14">
        <f>N8*VLOOKUP('Données projet'!$B$9,Paramètres!$A$1:$I$88,3,0)*VLOOKUP('Données projet'!$B$9,Paramètres!$A$1:$I$88,5,0)</f>
        <v>2.77386270693105</v>
      </c>
      <c r="P8" s="14">
        <f t="shared" si="33"/>
        <v>1.1351726972097294</v>
      </c>
      <c r="Q8" s="22">
        <f t="shared" si="2"/>
        <v>6.8082366622118569</v>
      </c>
      <c r="R8" s="62">
        <f t="shared" si="0"/>
        <v>300.14156999554518</v>
      </c>
      <c r="S8" s="62">
        <f ca="1">AVERAGE(OFFSET($R$3,0,0,'Données projet'!$E$9+1,1))-AVERAGE(OFFSET($H$3,0,0,'Données projet'!$E$9+1,1))</f>
        <v>167.90363814107491</v>
      </c>
      <c r="T8" s="62">
        <f t="shared" si="34"/>
        <v>174.92847878212234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</v>
      </c>
      <c r="AI8" s="14">
        <f>IF('Données projet'!$A$62&gt;35,AI7+AH8-AQ7,IF(A8&lt;'Données projet'!$A$62,$AF$205^A8,IF(A8='Données projet'!$A$62,'Données projet'!$B$62,AI7+AH8-AQ7)))</f>
        <v>2.735564799734763</v>
      </c>
      <c r="AJ8" s="14">
        <f>AI8*VLOOKUP('Données projet'!$B$10,Paramètres!$A$1:$I$88,3,0)*VLOOKUP('Données projet'!$B$10,Paramètres!$A$1:$I$88,5,0)</f>
        <v>2.9445619504344989</v>
      </c>
      <c r="AK8" s="14">
        <f t="shared" si="35"/>
        <v>1.1966819810357121</v>
      </c>
      <c r="AL8" s="22">
        <f t="shared" si="4"/>
        <v>7.2126665139772825</v>
      </c>
      <c r="AM8" s="62">
        <f t="shared" si="5"/>
        <v>300.54599984731061</v>
      </c>
      <c r="AN8" s="62">
        <f ca="1">AVERAGE(OFFSET($AM$3,0,0,'Données projet'!$E$10+1,1))-AVERAGE(OFFSET($H$3,0,0,'Données projet'!$E$10+1,1))</f>
        <v>179.61236179838011</v>
      </c>
      <c r="AO8" s="62">
        <f t="shared" si="36"/>
        <v>186.66130555850333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1.4</v>
      </c>
      <c r="BD8" s="13">
        <f>IF('Données projet'!$A$88&gt;35,BD7+BC8-BL7,IF(A8&lt;'Données projet'!$A$88,$BA$205^A8,IF(A8='Données projet'!$A$88,'Données projet'!$B$88,BD7+BC8-BL7)))</f>
        <v>2.3003266337912067</v>
      </c>
      <c r="BE8" s="14">
        <f>BD8*VLOOKUP('Données projet'!$B$11,Paramètres!$A$1:$I$88,3,0)*VLOOKUP('Données projet'!$B$11,Paramètres!$A$1:$I$88,5,0)</f>
        <v>1.0765528646142848</v>
      </c>
      <c r="BF8" s="14">
        <f t="shared" si="37"/>
        <v>0.49187925860941634</v>
      </c>
      <c r="BG8" s="22">
        <f t="shared" si="7"/>
        <v>2.7316859479479461</v>
      </c>
      <c r="BH8" s="62">
        <f t="shared" si="8"/>
        <v>296.06501928128125</v>
      </c>
      <c r="BI8" s="62">
        <f ca="1">AVERAGE(OFFSET($BH$3,0,0,'Données projet'!$E$11+1,1))-AVERAGE(OFFSET($H$3,0,0,'Données projet'!$E$11+1,1))</f>
        <v>335.00873408144395</v>
      </c>
      <c r="BJ8" s="62">
        <f t="shared" si="38"/>
        <v>106.28577694955948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3.78125</v>
      </c>
      <c r="BY8" s="13">
        <f>IF('Données projet'!$A$114&gt;35,BY7+BX8-CG7,IF(A8&lt;'Données projet'!$A$114,$BV$205^A8,IF(A8='Données projet'!$A$114,'Données projet'!$B$114,BY7+BX8-CG7)))</f>
        <v>2.1156080658245826</v>
      </c>
      <c r="BZ8" s="14">
        <f>BY8*VLOOKUP('Données projet'!$B$12,Paramètres!$A$1:$I$88,3,0)*VLOOKUP('Données projet'!$B$12,Paramètres!$A$1:$I$88,5,0)</f>
        <v>1.2651336233631005</v>
      </c>
      <c r="CA8" s="14">
        <f t="shared" si="39"/>
        <v>0.56728302240214945</v>
      </c>
      <c r="CB8" s="22">
        <f t="shared" si="10"/>
        <v>3.1914589913744771</v>
      </c>
      <c r="CC8" s="62">
        <f t="shared" si="11"/>
        <v>296.52479232470779</v>
      </c>
      <c r="CD8" s="62">
        <f ca="1">AVERAGE(OFFSET($CC$3,0,0,'Données projet'!$E$12+1,1))-AVERAGE(OFFSET($H$3,0,0,'Données projet'!$E$12+1,1))</f>
        <v>136.47709057888358</v>
      </c>
      <c r="CE8" s="62">
        <f t="shared" si="40"/>
        <v>99.705248792886493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3.7333333333333334</v>
      </c>
      <c r="CT8" s="13">
        <f>IF('Données projet'!$A$140&gt;35,CT7+CS8-DB7,IF(A8&lt;'Données projet'!$A$140,$CQ$205^A8,IF(A8='Données projet'!$A$140,'Données projet'!$B$140,CT7+CS8-DB7)))</f>
        <v>2.1955146386099216</v>
      </c>
      <c r="CU8" s="18">
        <f>CT8*VLOOKUP('Données projet'!$B$13,Paramètres!$A$1:$I$88,3,0)*VLOOKUP('Données projet'!$B$13,Paramètres!$A$1:$I$88,5,0)</f>
        <v>1.0560425411713723</v>
      </c>
      <c r="CV8" s="14">
        <f t="shared" si="41"/>
        <v>0.48358961047067195</v>
      </c>
      <c r="CW8" s="22">
        <f t="shared" si="13"/>
        <v>2.6815259974432273</v>
      </c>
      <c r="CX8" s="62">
        <f t="shared" si="14"/>
        <v>296.01485933077652</v>
      </c>
      <c r="CY8" s="62">
        <f ca="1">AVERAGE(OFFSET($CX$3,0,0,'Données projet'!$E$13+1,1))-AVERAGE(OFFSET($H$3,0,0,'Données projet'!$E$13+1,1))</f>
        <v>205.01234521498333</v>
      </c>
      <c r="CZ8" s="62">
        <f t="shared" si="42"/>
        <v>100.26042113972852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projet'!$B$13,Paramètres!$A$1:$I$88,3,0)*0.475*44/12</f>
        <v>0</v>
      </c>
      <c r="DG8" s="23">
        <f>EXP(-LN(2)/25)*DG7+(1-EXP(-LN(2)/25))/(LN(2)/25)*Calculateur!DB8*Calculateur!DD8*VLOOKUP('Données projet'!$B$13,Paramètres!$A$1:$I$88,3,0)*0.475*44/12</f>
        <v>0</v>
      </c>
      <c r="DH8" s="23">
        <f>EXP(-LN(2)/2)*DH7+(1-EXP(-LN(2)/2))/(LN(2)/2)*DB8*DE8*VLOOKUP('Données projet'!$B$13,Paramètres!$A$1:$I$88,3,0)*0.475*44/12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1.7550000000000001</v>
      </c>
      <c r="D9" s="12">
        <f t="shared" si="32"/>
        <v>0.75752213717865124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19.39490772558959</v>
      </c>
      <c r="H9" s="70">
        <f t="shared" si="1"/>
        <v>297.70930938891945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</v>
      </c>
      <c r="N9" s="14">
        <f>IF('Données projet'!$A$36&gt;35,N8+M9-V8,IF(A9&lt;'Données projet'!$A$36,$K$205^A9,IF(A9='Données projet'!$A$36,'Données projet'!$B$36,N8+M9-V8)))</f>
        <v>3.3454643638562565</v>
      </c>
      <c r="O9" s="14">
        <f>N9*VLOOKUP('Données projet'!$B$9,Paramètres!$A$1:$I$88,3,0)*VLOOKUP('Données projet'!$B$9,Paramètres!$A$1:$I$88,5,0)</f>
        <v>3.3923008649502444</v>
      </c>
      <c r="P9" s="14">
        <f t="shared" si="33"/>
        <v>1.3561161377885855</v>
      </c>
      <c r="Q9" s="22">
        <f t="shared" si="2"/>
        <v>8.2701596131034609</v>
      </c>
      <c r="R9" s="62">
        <f t="shared" si="0"/>
        <v>301.6034929464368</v>
      </c>
      <c r="S9" s="62">
        <f ca="1">AVERAGE(OFFSET($R$3,0,0,'Données projet'!$E$9+1,1))-AVERAGE(OFFSET($H$3,0,0,'Données projet'!$E$9+1,1))</f>
        <v>167.90363814107491</v>
      </c>
      <c r="T9" s="62">
        <f t="shared" si="34"/>
        <v>174.92847878212234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</v>
      </c>
      <c r="AI9" s="14">
        <f>IF('Données projet'!$A$62&gt;35,AI8+AH9-AQ8,IF(A9&lt;'Données projet'!$A$62,$AF$205^A9,IF(A9='Données projet'!$A$62,'Données projet'!$B$62,AI8+AH9-AQ8)))</f>
        <v>3.3454643638562565</v>
      </c>
      <c r="AJ9" s="14">
        <f>AI9*VLOOKUP('Données projet'!$B$10,Paramètres!$A$1:$I$88,3,0)*VLOOKUP('Données projet'!$B$10,Paramètres!$A$1:$I$88,5,0)</f>
        <v>3.6010578412548746</v>
      </c>
      <c r="AK9" s="14">
        <f t="shared" si="35"/>
        <v>1.42959723244957</v>
      </c>
      <c r="AL9" s="22">
        <f t="shared" si="4"/>
        <v>8.7617242533685733</v>
      </c>
      <c r="AM9" s="62">
        <f t="shared" si="5"/>
        <v>302.0950575867019</v>
      </c>
      <c r="AN9" s="62">
        <f ca="1">AVERAGE(OFFSET($AM$3,0,0,'Données projet'!$E$10+1,1))-AVERAGE(OFFSET($H$3,0,0,'Données projet'!$E$10+1,1))</f>
        <v>179.61236179838011</v>
      </c>
      <c r="AO9" s="62">
        <f t="shared" si="36"/>
        <v>186.66130555850333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1.4</v>
      </c>
      <c r="BD9" s="13">
        <f>IF('Données projet'!$A$88&gt;35,BD8+BC9-BL8,IF(A9&lt;'Données projet'!$A$88,$BA$205^A9,IF(A9='Données projet'!$A$88,'Données projet'!$B$88,BD8+BC9-BL8)))</f>
        <v>2.7173614464666325</v>
      </c>
      <c r="BE9" s="14">
        <f>BD9*VLOOKUP('Données projet'!$B$11,Paramètres!$A$1:$I$88,3,0)*VLOOKUP('Données projet'!$B$11,Paramètres!$A$1:$I$88,5,0)</f>
        <v>1.2717251569463841</v>
      </c>
      <c r="BF9" s="14">
        <f t="shared" si="37"/>
        <v>0.56989382543060962</v>
      </c>
      <c r="BG9" s="22">
        <f t="shared" si="7"/>
        <v>3.2074863943065974</v>
      </c>
      <c r="BH9" s="62">
        <f t="shared" si="8"/>
        <v>296.54081972763993</v>
      </c>
      <c r="BI9" s="62">
        <f ca="1">AVERAGE(OFFSET($BH$3,0,0,'Données projet'!$E$11+1,1))-AVERAGE(OFFSET($H$3,0,0,'Données projet'!$E$11+1,1))</f>
        <v>335.00873408144395</v>
      </c>
      <c r="BJ9" s="62">
        <f t="shared" si="38"/>
        <v>106.28577694955948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3.78125</v>
      </c>
      <c r="BY9" s="13">
        <f>IF('Données projet'!$A$114&gt;35,BY8+BX9-CG8,IF(A9&lt;'Données projet'!$A$114,$BV$205^A9,IF(A9='Données projet'!$A$114,'Données projet'!$B$114,BY8+BX9-CG8)))</f>
        <v>2.4576625794720548</v>
      </c>
      <c r="BZ9" s="14">
        <f>BY9*VLOOKUP('Données projet'!$B$12,Paramètres!$A$1:$I$88,3,0)*VLOOKUP('Données projet'!$B$12,Paramètres!$A$1:$I$88,5,0)</f>
        <v>1.4696822225242889</v>
      </c>
      <c r="CA9" s="14">
        <f t="shared" si="39"/>
        <v>0.64760575168659895</v>
      </c>
      <c r="CB9" s="22">
        <f t="shared" si="10"/>
        <v>3.6876098884172968</v>
      </c>
      <c r="CC9" s="62">
        <f t="shared" si="11"/>
        <v>297.0209432217506</v>
      </c>
      <c r="CD9" s="62">
        <f ca="1">AVERAGE(OFFSET($CC$3,0,0,'Données projet'!$E$12+1,1))-AVERAGE(OFFSET($H$3,0,0,'Données projet'!$E$12+1,1))</f>
        <v>136.47709057888358</v>
      </c>
      <c r="CE9" s="62">
        <f t="shared" si="40"/>
        <v>99.705248792886493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3.7333333333333334</v>
      </c>
      <c r="CT9" s="13">
        <f>IF('Données projet'!$A$140&gt;35,CT8+CS9-DB8,IF(A9&lt;'Données projet'!$A$140,$CQ$205^A9,IF(A9='Données projet'!$A$140,'Données projet'!$B$140,CT8+CS9-DB8)))</f>
        <v>2.5694703142468773</v>
      </c>
      <c r="CU9" s="18">
        <f>CT9*VLOOKUP('Données projet'!$B$13,Paramètres!$A$1:$I$88,3,0)*VLOOKUP('Données projet'!$B$13,Paramètres!$A$1:$I$88,5,0)</f>
        <v>1.235915221152748</v>
      </c>
      <c r="CV9" s="14">
        <f t="shared" si="41"/>
        <v>0.55569087247371607</v>
      </c>
      <c r="CW9" s="22">
        <f t="shared" si="13"/>
        <v>3.1203806130660916</v>
      </c>
      <c r="CX9" s="62">
        <f t="shared" si="14"/>
        <v>296.45371394639943</v>
      </c>
      <c r="CY9" s="62">
        <f ca="1">AVERAGE(OFFSET($CX$3,0,0,'Données projet'!$E$13+1,1))-AVERAGE(OFFSET($H$3,0,0,'Données projet'!$E$13+1,1))</f>
        <v>205.01234521498333</v>
      </c>
      <c r="CZ9" s="62">
        <f t="shared" si="42"/>
        <v>100.26042113972852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projet'!$B$13,Paramètres!$A$1:$I$88,3,0)*0.475*44/12</f>
        <v>0</v>
      </c>
      <c r="DG9" s="23">
        <f>EXP(-LN(2)/25)*DG8+(1-EXP(-LN(2)/25))/(LN(2)/25)*Calculateur!DB9*Calculateur!DD9*VLOOKUP('Données projet'!$B$13,Paramètres!$A$1:$I$88,3,0)*0.475*44/12</f>
        <v>0</v>
      </c>
      <c r="DH9" s="23">
        <f>EXP(-LN(2)/2)*DH8+(1-EXP(-LN(2)/2))/(LN(2)/2)*DB9*DE9*VLOOKUP('Données projet'!$B$13,Paramètres!$A$1:$I$88,3,0)*0.475*44/12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2.0475000000000003</v>
      </c>
      <c r="D10" s="12">
        <f t="shared" si="32"/>
        <v>0.86805953554875848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22.506073607744806</v>
      </c>
      <c r="H10" s="70">
        <f t="shared" si="1"/>
        <v>298.41126619108076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</v>
      </c>
      <c r="N10" s="14">
        <f>IF('Données projet'!$A$36&gt;35,N9+M10-V9,IF(A10&lt;'Données projet'!$A$36,$K$205^A10,IF(A10='Données projet'!$A$36,'Données projet'!$B$36,N9+M10-V9)))</f>
        <v>4.091342237960264</v>
      </c>
      <c r="O10" s="14">
        <f>N10*VLOOKUP('Données projet'!$B$9,Paramètres!$A$1:$I$88,3,0)*VLOOKUP('Données projet'!$B$9,Paramètres!$A$1:$I$88,5,0)</f>
        <v>4.1486210292917081</v>
      </c>
      <c r="P10" s="14">
        <f t="shared" si="33"/>
        <v>1.6200627302709472</v>
      </c>
      <c r="Q10" s="22">
        <f t="shared" si="2"/>
        <v>10.047124214571625</v>
      </c>
      <c r="R10" s="62">
        <f t="shared" si="0"/>
        <v>303.38045754790494</v>
      </c>
      <c r="S10" s="62">
        <f ca="1">AVERAGE(OFFSET($R$3,0,0,'Données projet'!$E$9+1,1))-AVERAGE(OFFSET($H$3,0,0,'Données projet'!$E$9+1,1))</f>
        <v>167.90363814107491</v>
      </c>
      <c r="T10" s="62">
        <f t="shared" si="34"/>
        <v>174.92847878212234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</v>
      </c>
      <c r="AI10" s="14">
        <f>IF('Données projet'!$A$62&gt;35,AI9+AH10-AQ9,IF(A10&lt;'Données projet'!$A$62,$AF$205^A10,IF(A10='Données projet'!$A$62,'Données projet'!$B$62,AI9+AH10-AQ9)))</f>
        <v>4.091342237960264</v>
      </c>
      <c r="AJ10" s="14">
        <f>AI10*VLOOKUP('Données projet'!$B$10,Paramètres!$A$1:$I$88,3,0)*VLOOKUP('Données projet'!$B$10,Paramètres!$A$1:$I$88,5,0)</f>
        <v>4.4039207849404276</v>
      </c>
      <c r="AK10" s="14">
        <f t="shared" si="35"/>
        <v>1.707845759705209</v>
      </c>
      <c r="AL10" s="22">
        <f t="shared" si="4"/>
        <v>10.644660065257815</v>
      </c>
      <c r="AM10" s="62">
        <f t="shared" si="5"/>
        <v>303.97799339859114</v>
      </c>
      <c r="AN10" s="62">
        <f ca="1">AVERAGE(OFFSET($AM$3,0,0,'Données projet'!$E$10+1,1))-AVERAGE(OFFSET($H$3,0,0,'Données projet'!$E$10+1,1))</f>
        <v>179.61236179838011</v>
      </c>
      <c r="AO10" s="62">
        <f t="shared" si="36"/>
        <v>186.66130555850333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1.4</v>
      </c>
      <c r="BD10" s="13">
        <f>IF('Données projet'!$A$88&gt;35,BD9+BC10-BL9,IF(A10&lt;'Données projet'!$A$88,$BA$205^A10,IF(A10='Données projet'!$A$88,'Données projet'!$B$88,BD9+BC10-BL9)))</f>
        <v>3.2100020589569258</v>
      </c>
      <c r="BE10" s="14">
        <f>BD10*VLOOKUP('Données projet'!$B$11,Paramètres!$A$1:$I$88,3,0)*VLOOKUP('Données projet'!$B$11,Paramètres!$A$1:$I$88,5,0)</f>
        <v>1.5022809635918413</v>
      </c>
      <c r="BF10" s="14">
        <f t="shared" si="37"/>
        <v>0.66028190166446799</v>
      </c>
      <c r="BG10" s="22">
        <f t="shared" si="7"/>
        <v>3.7664636569880714</v>
      </c>
      <c r="BH10" s="62">
        <f t="shared" si="8"/>
        <v>297.09979699032141</v>
      </c>
      <c r="BI10" s="62">
        <f ca="1">AVERAGE(OFFSET($BH$3,0,0,'Données projet'!$E$11+1,1))-AVERAGE(OFFSET($H$3,0,0,'Données projet'!$E$11+1,1))</f>
        <v>335.00873408144395</v>
      </c>
      <c r="BJ10" s="62">
        <f t="shared" si="38"/>
        <v>106.28577694955948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3.78125</v>
      </c>
      <c r="BY10" s="13">
        <f>IF('Données projet'!$A$114&gt;35,BY9+BX10-CG9,IF(A10&lt;'Données projet'!$A$114,$BV$205^A10,IF(A10='Données projet'!$A$114,'Données projet'!$B$114,BY9+BX10-CG9)))</f>
        <v>2.855020952183331</v>
      </c>
      <c r="BZ10" s="14">
        <f>BY10*VLOOKUP('Données projet'!$B$12,Paramètres!$A$1:$I$88,3,0)*VLOOKUP('Données projet'!$B$12,Paramètres!$A$1:$I$88,5,0)</f>
        <v>1.7073025294056321</v>
      </c>
      <c r="CA10" s="14">
        <f t="shared" si="39"/>
        <v>0.7393015356631899</v>
      </c>
      <c r="CB10" s="22">
        <f t="shared" si="10"/>
        <v>4.2611687466615322</v>
      </c>
      <c r="CC10" s="62">
        <f t="shared" si="11"/>
        <v>297.59450207999487</v>
      </c>
      <c r="CD10" s="62">
        <f ca="1">AVERAGE(OFFSET($CC$3,0,0,'Données projet'!$E$12+1,1))-AVERAGE(OFFSET($H$3,0,0,'Données projet'!$E$12+1,1))</f>
        <v>136.47709057888358</v>
      </c>
      <c r="CE10" s="62">
        <f t="shared" si="40"/>
        <v>99.705248792886493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3.7333333333333334</v>
      </c>
      <c r="CT10" s="13">
        <f>IF('Données projet'!$A$140&gt;35,CT9+CS10-DB9,IF(A10&lt;'Données projet'!$A$140,$CQ$205^A10,IF(A10='Données projet'!$A$140,'Données projet'!$B$140,CT9+CS10-DB9)))</f>
        <v>3.0071207814747614</v>
      </c>
      <c r="CU10" s="18">
        <f>CT10*VLOOKUP('Données projet'!$B$13,Paramètres!$A$1:$I$88,3,0)*VLOOKUP('Données projet'!$B$13,Paramètres!$A$1:$I$88,5,0)</f>
        <v>1.4464250958893603</v>
      </c>
      <c r="CV10" s="14">
        <f t="shared" si="41"/>
        <v>0.63854214206557469</v>
      </c>
      <c r="CW10" s="22">
        <f t="shared" si="13"/>
        <v>3.6313179394381785</v>
      </c>
      <c r="CX10" s="62">
        <f t="shared" si="14"/>
        <v>296.9646512727715</v>
      </c>
      <c r="CY10" s="62">
        <f ca="1">AVERAGE(OFFSET($CX$3,0,0,'Données projet'!$E$13+1,1))-AVERAGE(OFFSET($H$3,0,0,'Données projet'!$E$13+1,1))</f>
        <v>205.01234521498333</v>
      </c>
      <c r="CZ10" s="62">
        <f t="shared" si="42"/>
        <v>100.26042113972852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projet'!$B$13,Paramètres!$A$1:$I$88,3,0)*0.475*44/12</f>
        <v>0</v>
      </c>
      <c r="DG10" s="23">
        <f>EXP(-LN(2)/25)*DG9+(1-EXP(-LN(2)/25))/(LN(2)/25)*Calculateur!DB10*Calculateur!DD10*VLOOKUP('Données projet'!$B$13,Paramètres!$A$1:$I$88,3,0)*0.475*44/12</f>
        <v>0</v>
      </c>
      <c r="DH10" s="23">
        <f>EXP(-LN(2)/2)*DH9+(1-EXP(-LN(2)/2))/(LN(2)/2)*DB10*DE10*VLOOKUP('Données projet'!$B$13,Paramètres!$A$1:$I$88,3,0)*0.475*44/12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2.3400000000000003</v>
      </c>
      <c r="D11" s="12">
        <f t="shared" si="32"/>
        <v>0.97676749007450281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25.603117467241784</v>
      </c>
      <c r="H11" s="70">
        <f t="shared" si="1"/>
        <v>299.11003671187973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</v>
      </c>
      <c r="N11" s="14">
        <f>IF('Données projet'!$A$36&gt;35,N10+M11-V10,IF(A11&lt;'Données projet'!$A$36,$K$205^A11,IF(A11='Données projet'!$A$36,'Données projet'!$B$36,N10+M11-V10)))</f>
        <v>5.0035150542816931</v>
      </c>
      <c r="O11" s="14">
        <f>N11*VLOOKUP('Données projet'!$B$9,Paramètres!$A$1:$I$88,3,0)*VLOOKUP('Données projet'!$B$9,Paramètres!$A$1:$I$88,5,0)</f>
        <v>5.0735642650416377</v>
      </c>
      <c r="P11" s="14">
        <f t="shared" si="33"/>
        <v>1.9353823591339971</v>
      </c>
      <c r="Q11" s="22">
        <f t="shared" si="2"/>
        <v>12.207248703772564</v>
      </c>
      <c r="R11" s="62">
        <f t="shared" si="0"/>
        <v>305.54058203710588</v>
      </c>
      <c r="S11" s="62">
        <f ca="1">AVERAGE(OFFSET($R$3,0,0,'Données projet'!$E$9+1,1))-AVERAGE(OFFSET($H$3,0,0,'Données projet'!$E$9+1,1))</f>
        <v>167.90363814107491</v>
      </c>
      <c r="T11" s="62">
        <f t="shared" si="34"/>
        <v>174.92847878212234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</v>
      </c>
      <c r="AI11" s="14">
        <f>IF('Données projet'!$A$62&gt;35,AI10+AH11-AQ10,IF(A11&lt;'Données projet'!$A$62,$AF$205^A11,IF(A11='Données projet'!$A$62,'Données projet'!$B$62,AI10+AH11-AQ10)))</f>
        <v>5.0035150542816931</v>
      </c>
      <c r="AJ11" s="14">
        <f>AI11*VLOOKUP('Données projet'!$B$10,Paramètres!$A$1:$I$88,3,0)*VLOOKUP('Données projet'!$B$10,Paramètres!$A$1:$I$88,5,0)</f>
        <v>5.3857836044288145</v>
      </c>
      <c r="AK11" s="14">
        <f t="shared" si="35"/>
        <v>2.0402509691105979</v>
      </c>
      <c r="AL11" s="22">
        <f t="shared" si="4"/>
        <v>12.933676882247809</v>
      </c>
      <c r="AM11" s="62">
        <f t="shared" si="5"/>
        <v>306.26701021558114</v>
      </c>
      <c r="AN11" s="62">
        <f ca="1">AVERAGE(OFFSET($AM$3,0,0,'Données projet'!$E$10+1,1))-AVERAGE(OFFSET($H$3,0,0,'Données projet'!$E$10+1,1))</f>
        <v>179.61236179838011</v>
      </c>
      <c r="AO11" s="62">
        <f t="shared" si="36"/>
        <v>186.66130555850333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1.4</v>
      </c>
      <c r="BD11" s="13">
        <f>IF('Données projet'!$A$88&gt;35,BD10+BC11-BL10,IF(A11&lt;'Données projet'!$A$88,$BA$205^A11,IF(A11='Données projet'!$A$88,'Données projet'!$B$88,BD10+BC11-BL10)))</f>
        <v>3.7919553292794657</v>
      </c>
      <c r="BE11" s="14">
        <f>BD11*VLOOKUP('Données projet'!$B$11,Paramètres!$A$1:$I$88,3,0)*VLOOKUP('Données projet'!$B$11,Paramètres!$A$1:$I$88,5,0)</f>
        <v>1.7746350941027897</v>
      </c>
      <c r="BF11" s="14">
        <f t="shared" si="37"/>
        <v>0.76500598920549345</v>
      </c>
      <c r="BG11" s="22">
        <f t="shared" si="7"/>
        <v>4.42320822009526</v>
      </c>
      <c r="BH11" s="62">
        <f t="shared" si="8"/>
        <v>297.75654155342858</v>
      </c>
      <c r="BI11" s="62">
        <f ca="1">AVERAGE(OFFSET($BH$3,0,0,'Données projet'!$E$11+1,1))-AVERAGE(OFFSET($H$3,0,0,'Données projet'!$E$11+1,1))</f>
        <v>335.00873408144395</v>
      </c>
      <c r="BJ11" s="62">
        <f t="shared" si="38"/>
        <v>106.28577694955948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3.78125</v>
      </c>
      <c r="BY11" s="13">
        <f>IF('Données projet'!$A$114&gt;35,BY10+BX11-CG10,IF(A11&lt;'Données projet'!$A$114,$BV$205^A11,IF(A11='Données projet'!$A$114,'Données projet'!$B$114,BY10+BX11-CG10)))</f>
        <v>3.3166247903553985</v>
      </c>
      <c r="BZ11" s="14">
        <f>BY11*VLOOKUP('Données projet'!$B$12,Paramètres!$A$1:$I$88,3,0)*VLOOKUP('Données projet'!$B$12,Paramètres!$A$1:$I$88,5,0)</f>
        <v>1.9833416246325284</v>
      </c>
      <c r="CA11" s="14">
        <f t="shared" si="39"/>
        <v>0.84398070772301459</v>
      </c>
      <c r="CB11" s="22">
        <f t="shared" si="10"/>
        <v>4.9242530621859038</v>
      </c>
      <c r="CC11" s="62">
        <f t="shared" si="11"/>
        <v>298.25758639551924</v>
      </c>
      <c r="CD11" s="62">
        <f ca="1">AVERAGE(OFFSET($CC$3,0,0,'Données projet'!$E$12+1,1))-AVERAGE(OFFSET($H$3,0,0,'Données projet'!$E$12+1,1))</f>
        <v>136.47709057888358</v>
      </c>
      <c r="CE11" s="62">
        <f t="shared" si="40"/>
        <v>99.705248792886493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3.7333333333333334</v>
      </c>
      <c r="CT11" s="13">
        <f>IF('Données projet'!$A$140&gt;35,CT10+CS11-DB10,IF(A11&lt;'Données projet'!$A$140,$CQ$205^A11,IF(A11='Données projet'!$A$140,'Données projet'!$B$140,CT10+CS11-DB10)))</f>
        <v>3.5193149904235632</v>
      </c>
      <c r="CU11" s="18">
        <f>CT11*VLOOKUP('Données projet'!$B$13,Paramètres!$A$1:$I$88,3,0)*VLOOKUP('Données projet'!$B$13,Paramètres!$A$1:$I$88,5,0)</f>
        <v>1.692790510393734</v>
      </c>
      <c r="CV11" s="14">
        <f t="shared" si="41"/>
        <v>0.7337462020540535</v>
      </c>
      <c r="CW11" s="22">
        <f t="shared" si="13"/>
        <v>4.2262181075132297</v>
      </c>
      <c r="CX11" s="62">
        <f t="shared" si="14"/>
        <v>297.55955144084652</v>
      </c>
      <c r="CY11" s="62">
        <f ca="1">AVERAGE(OFFSET($CX$3,0,0,'Données projet'!$E$13+1,1))-AVERAGE(OFFSET($H$3,0,0,'Données projet'!$E$13+1,1))</f>
        <v>205.01234521498333</v>
      </c>
      <c r="CZ11" s="62">
        <f t="shared" si="42"/>
        <v>100.26042113972852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projet'!$B$13,Paramètres!$A$1:$I$88,3,0)*0.475*44/12</f>
        <v>0</v>
      </c>
      <c r="DG11" s="23">
        <f>EXP(-LN(2)/25)*DG10+(1-EXP(-LN(2)/25))/(LN(2)/25)*Calculateur!DB11*Calculateur!DD11*VLOOKUP('Données projet'!$B$13,Paramètres!$A$1:$I$88,3,0)*0.475*44/12</f>
        <v>0</v>
      </c>
      <c r="DH11" s="23">
        <f>EXP(-LN(2)/2)*DH10+(1-EXP(-LN(2)/2))/(LN(2)/2)*DB11*DE11*VLOOKUP('Données projet'!$B$13,Paramètres!$A$1:$I$88,3,0)*0.475*44/12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2.6325000000000003</v>
      </c>
      <c r="D12" s="12">
        <f t="shared" si="32"/>
        <v>1.0839008710846068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28.68800672416188</v>
      </c>
      <c r="H12" s="70">
        <f t="shared" si="1"/>
        <v>299.80606485047235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</v>
      </c>
      <c r="N12" s="14">
        <f>IF('Données projet'!$A$36&gt;35,N11+M12-V11,IF(A12&lt;'Données projet'!$A$36,$K$205^A12,IF(A12='Données projet'!$A$36,'Données projet'!$B$36,N11+M12-V11)))</f>
        <v>6.1190585979687659</v>
      </c>
      <c r="O12" s="14">
        <f>N12*VLOOKUP('Données projet'!$B$9,Paramètres!$A$1:$I$88,3,0)*VLOOKUP('Données projet'!$B$9,Paramètres!$A$1:$I$88,5,0)</f>
        <v>6.2047254183403293</v>
      </c>
      <c r="P12" s="14">
        <f t="shared" si="33"/>
        <v>2.3120739747038215</v>
      </c>
      <c r="Q12" s="22">
        <f t="shared" si="2"/>
        <v>14.833425609551895</v>
      </c>
      <c r="R12" s="62">
        <f t="shared" si="0"/>
        <v>308.16675894288522</v>
      </c>
      <c r="S12" s="62">
        <f ca="1">AVERAGE(OFFSET($R$3,0,0,'Données projet'!$E$9+1,1))-AVERAGE(OFFSET($H$3,0,0,'Données projet'!$E$9+1,1))</f>
        <v>167.90363814107491</v>
      </c>
      <c r="T12" s="62">
        <f t="shared" si="34"/>
        <v>174.92847878212234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</v>
      </c>
      <c r="AI12" s="14">
        <f>IF('Données projet'!$A$62&gt;35,AI11+AH12-AQ11,IF(A12&lt;'Données projet'!$A$62,$AF$205^A12,IF(A12='Données projet'!$A$62,'Données projet'!$B$62,AI11+AH12-AQ11)))</f>
        <v>6.1190585979687659</v>
      </c>
      <c r="AJ12" s="14">
        <f>AI12*VLOOKUP('Données projet'!$B$10,Paramètres!$A$1:$I$88,3,0)*VLOOKUP('Données projet'!$B$10,Paramètres!$A$1:$I$88,5,0)</f>
        <v>6.5865546748535788</v>
      </c>
      <c r="AK12" s="14">
        <f t="shared" si="35"/>
        <v>2.43735360368564</v>
      </c>
      <c r="AL12" s="22">
        <f t="shared" si="4"/>
        <v>15.716640251789139</v>
      </c>
      <c r="AM12" s="62">
        <f t="shared" si="5"/>
        <v>309.04997358512247</v>
      </c>
      <c r="AN12" s="62">
        <f ca="1">AVERAGE(OFFSET($AM$3,0,0,'Données projet'!$E$10+1,1))-AVERAGE(OFFSET($H$3,0,0,'Données projet'!$E$10+1,1))</f>
        <v>179.61236179838011</v>
      </c>
      <c r="AO12" s="62">
        <f t="shared" si="36"/>
        <v>186.66130555850333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1.4</v>
      </c>
      <c r="BD12" s="13">
        <f>IF('Données projet'!$A$88&gt;35,BD11+BC12-BL11,IF(A12&lt;'Données projet'!$A$88,$BA$205^A12,IF(A12='Données projet'!$A$88,'Données projet'!$B$88,BD11+BC12-BL11)))</f>
        <v>4.4794130829695789</v>
      </c>
      <c r="BE12" s="14">
        <f>BD12*VLOOKUP('Données projet'!$B$11,Paramètres!$A$1:$I$88,3,0)*VLOOKUP('Données projet'!$B$11,Paramètres!$A$1:$I$88,5,0)</f>
        <v>2.096365322829763</v>
      </c>
      <c r="BF12" s="14">
        <f t="shared" si="37"/>
        <v>0.88633985278862137</v>
      </c>
      <c r="BG12" s="22">
        <f t="shared" si="7"/>
        <v>5.1948781808686864</v>
      </c>
      <c r="BH12" s="62">
        <f t="shared" si="8"/>
        <v>298.52821151420198</v>
      </c>
      <c r="BI12" s="62">
        <f ca="1">AVERAGE(OFFSET($BH$3,0,0,'Données projet'!$E$11+1,1))-AVERAGE(OFFSET($H$3,0,0,'Données projet'!$E$11+1,1))</f>
        <v>335.00873408144395</v>
      </c>
      <c r="BJ12" s="62">
        <f t="shared" si="38"/>
        <v>106.28577694955948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3.78125</v>
      </c>
      <c r="BY12" s="13">
        <f>IF('Données projet'!$A$114&gt;35,BY11+BX12-CG11,IF(A12&lt;'Données projet'!$A$114,$BV$205^A12,IF(A12='Données projet'!$A$114,'Données projet'!$B$114,BY11+BX12-CG11)))</f>
        <v>3.8528613919936112</v>
      </c>
      <c r="BZ12" s="14">
        <f>BY12*VLOOKUP('Données projet'!$B$12,Paramètres!$A$1:$I$88,3,0)*VLOOKUP('Données projet'!$B$12,Paramètres!$A$1:$I$88,5,0)</f>
        <v>2.3040111124121796</v>
      </c>
      <c r="CA12" s="14">
        <f t="shared" si="39"/>
        <v>0.96348161155876633</v>
      </c>
      <c r="CB12" s="22">
        <f t="shared" si="10"/>
        <v>5.6908831609160648</v>
      </c>
      <c r="CC12" s="62">
        <f t="shared" si="11"/>
        <v>299.0242164942494</v>
      </c>
      <c r="CD12" s="62">
        <f ca="1">AVERAGE(OFFSET($CC$3,0,0,'Données projet'!$E$12+1,1))-AVERAGE(OFFSET($H$3,0,0,'Données projet'!$E$12+1,1))</f>
        <v>136.47709057888358</v>
      </c>
      <c r="CE12" s="62">
        <f t="shared" si="40"/>
        <v>99.705248792886493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3.7333333333333334</v>
      </c>
      <c r="CT12" s="13">
        <f>IF('Données projet'!$A$140&gt;35,CT11+CS12-DB11,IF(A12&lt;'Données projet'!$A$140,$CQ$205^A12,IF(A12='Données projet'!$A$140,'Données projet'!$B$140,CT11+CS12-DB11)))</f>
        <v>4.1187497616061277</v>
      </c>
      <c r="CU12" s="18">
        <f>CT12*VLOOKUP('Données projet'!$B$13,Paramètres!$A$1:$I$88,3,0)*VLOOKUP('Données projet'!$B$13,Paramètres!$A$1:$I$88,5,0)</f>
        <v>1.9811186353325474</v>
      </c>
      <c r="CV12" s="14">
        <f t="shared" si="41"/>
        <v>0.84314480370421485</v>
      </c>
      <c r="CW12" s="22">
        <f t="shared" si="13"/>
        <v>4.9189254896556944</v>
      </c>
      <c r="CX12" s="62">
        <f t="shared" si="14"/>
        <v>298.25225882298901</v>
      </c>
      <c r="CY12" s="62">
        <f ca="1">AVERAGE(OFFSET($CX$3,0,0,'Données projet'!$E$13+1,1))-AVERAGE(OFFSET($H$3,0,0,'Données projet'!$E$13+1,1))</f>
        <v>205.01234521498333</v>
      </c>
      <c r="CZ12" s="62">
        <f t="shared" si="42"/>
        <v>100.26042113972852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projet'!$B$13,Paramètres!$A$1:$I$88,3,0)*0.475*44/12</f>
        <v>0</v>
      </c>
      <c r="DG12" s="23">
        <f>EXP(-LN(2)/25)*DG11+(1-EXP(-LN(2)/25))/(LN(2)/25)*Calculateur!DB12*Calculateur!DD12*VLOOKUP('Données projet'!$B$13,Paramètres!$A$1:$I$88,3,0)*0.475*44/12</f>
        <v>0</v>
      </c>
      <c r="DH12" s="23">
        <f>EXP(-LN(2)/2)*DH11+(1-EXP(-LN(2)/2))/(LN(2)/2)*DB12*DE12*VLOOKUP('Données projet'!$B$13,Paramètres!$A$1:$I$88,3,0)*0.475*44/12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2.9250000000000003</v>
      </c>
      <c r="D13" s="12">
        <f t="shared" si="32"/>
        <v>1.1896545883900647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31.762245945467171</v>
      </c>
      <c r="H13" s="70">
        <f t="shared" si="1"/>
        <v>300.49969007477932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2.8</v>
      </c>
      <c r="N13" s="14">
        <f>IF('Données projet'!$A$36&gt;35,N12+M13-V12,IF(A13&lt;'Données projet'!$A$36,$K$205^A13,IF(A13='Données projet'!$A$36,'Données projet'!$B$36,N12+M13-V12)))</f>
        <v>7.4833147735478933</v>
      </c>
      <c r="O13" s="14">
        <f>N13*VLOOKUP('Données projet'!$B$9,Paramètres!$A$1:$I$88,3,0)*VLOOKUP('Données projet'!$B$9,Paramètres!$A$1:$I$88,5,0)</f>
        <v>7.5880811803775634</v>
      </c>
      <c r="P13" s="14">
        <f t="shared" si="33"/>
        <v>2.7620826650991588</v>
      </c>
      <c r="Q13" s="22">
        <f t="shared" si="2"/>
        <v>18.026535364205287</v>
      </c>
      <c r="R13" s="62">
        <f t="shared" si="0"/>
        <v>311.35986869753862</v>
      </c>
      <c r="S13" s="62">
        <f ca="1">AVERAGE(OFFSET($R$3,0,0,'Données projet'!$E$9+1,1))-AVERAGE(OFFSET($H$3,0,0,'Données projet'!$E$9+1,1))</f>
        <v>167.90363814107491</v>
      </c>
      <c r="T13" s="62">
        <f t="shared" si="34"/>
        <v>174.92847878212234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</v>
      </c>
      <c r="AI13" s="14">
        <f>IF('Données projet'!$A$62&gt;35,AI12+AH13-AQ12,IF(A13&lt;'Données projet'!$A$62,$AF$205^A13,IF(A13='Données projet'!$A$62,'Données projet'!$B$62,AI12+AH13-AQ12)))</f>
        <v>7.4833147735478933</v>
      </c>
      <c r="AJ13" s="14">
        <f>AI13*VLOOKUP('Données projet'!$B$10,Paramètres!$A$1:$I$88,3,0)*VLOOKUP('Données projet'!$B$10,Paramètres!$A$1:$I$88,5,0)</f>
        <v>8.0550400222469527</v>
      </c>
      <c r="AK13" s="14">
        <f t="shared" si="35"/>
        <v>2.9117459956355716</v>
      </c>
      <c r="AL13" s="22">
        <f t="shared" si="4"/>
        <v>19.100485647812064</v>
      </c>
      <c r="AM13" s="62">
        <f t="shared" si="5"/>
        <v>312.43381898114535</v>
      </c>
      <c r="AN13" s="62">
        <f ca="1">AVERAGE(OFFSET($AM$3,0,0,'Données projet'!$E$10+1,1))-AVERAGE(OFFSET($H$3,0,0,'Données projet'!$E$10+1,1))</f>
        <v>179.61236179838011</v>
      </c>
      <c r="AO13" s="62">
        <f t="shared" si="36"/>
        <v>186.66130555850333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1.4</v>
      </c>
      <c r="BD13" s="13">
        <f>IF('Données projet'!$A$88&gt;35,BD12+BC13-BL12,IF(A13&lt;'Données projet'!$A$88,$BA$205^A13,IF(A13='Données projet'!$A$88,'Données projet'!$B$88,BD12+BC13-BL12)))</f>
        <v>5.291502622129185</v>
      </c>
      <c r="BE13" s="14">
        <f>BD13*VLOOKUP('Données projet'!$B$11,Paramètres!$A$1:$I$88,3,0)*VLOOKUP('Données projet'!$B$11,Paramètres!$A$1:$I$88,5,0)</f>
        <v>2.4764232271564586</v>
      </c>
      <c r="BF13" s="14">
        <f t="shared" si="37"/>
        <v>1.026917887868104</v>
      </c>
      <c r="BG13" s="22">
        <f t="shared" si="7"/>
        <v>6.1016524420011136</v>
      </c>
      <c r="BH13" s="62">
        <f t="shared" si="8"/>
        <v>299.43498577533444</v>
      </c>
      <c r="BI13" s="62">
        <f ca="1">AVERAGE(OFFSET($BH$3,0,0,'Données projet'!$E$11+1,1))-AVERAGE(OFFSET($H$3,0,0,'Données projet'!$E$11+1,1))</f>
        <v>335.00873408144395</v>
      </c>
      <c r="BJ13" s="62">
        <f t="shared" si="38"/>
        <v>106.28577694955948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3.78125</v>
      </c>
      <c r="BY13" s="13">
        <f>IF('Données projet'!$A$114&gt;35,BY12+BX13-CG12,IF(A13&lt;'Données projet'!$A$114,$BV$205^A13,IF(A13='Données projet'!$A$114,'Données projet'!$B$114,BY12+BX13-CG12)))</f>
        <v>4.4757974881820299</v>
      </c>
      <c r="BZ13" s="14">
        <f>BY13*VLOOKUP('Données projet'!$B$12,Paramètres!$A$1:$I$88,3,0)*VLOOKUP('Données projet'!$B$12,Paramètres!$A$1:$I$88,5,0)</f>
        <v>2.6765268979328538</v>
      </c>
      <c r="CA13" s="14">
        <f t="shared" si="39"/>
        <v>1.0999028855959752</v>
      </c>
      <c r="CB13" s="22">
        <f t="shared" si="10"/>
        <v>6.5772818729793769</v>
      </c>
      <c r="CC13" s="62">
        <f t="shared" si="11"/>
        <v>299.91061520631268</v>
      </c>
      <c r="CD13" s="62">
        <f ca="1">AVERAGE(OFFSET($CC$3,0,0,'Données projet'!$E$12+1,1))-AVERAGE(OFFSET($H$3,0,0,'Données projet'!$E$12+1,1))</f>
        <v>136.47709057888358</v>
      </c>
      <c r="CE13" s="62">
        <f t="shared" si="40"/>
        <v>99.705248792886493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3.7333333333333334</v>
      </c>
      <c r="CT13" s="13">
        <f>IF('Données projet'!$A$140&gt;35,CT12+CS13-DB12,IF(A13&lt;'Données projet'!$A$140,$CQ$205^A13,IF(A13='Données projet'!$A$140,'Données projet'!$B$140,CT12+CS13-DB12)))</f>
        <v>4.8202845283504558</v>
      </c>
      <c r="CU13" s="18">
        <f>CT13*VLOOKUP('Données projet'!$B$13,Paramètres!$A$1:$I$88,3,0)*VLOOKUP('Données projet'!$B$13,Paramètres!$A$1:$I$88,5,0)</f>
        <v>2.3185568581365694</v>
      </c>
      <c r="CV13" s="14">
        <f t="shared" si="41"/>
        <v>0.96885429597228678</v>
      </c>
      <c r="CW13" s="22">
        <f t="shared" si="13"/>
        <v>5.7255744267395903</v>
      </c>
      <c r="CX13" s="62">
        <f t="shared" si="14"/>
        <v>299.05890776007288</v>
      </c>
      <c r="CY13" s="62">
        <f ca="1">AVERAGE(OFFSET($CX$3,0,0,'Données projet'!$E$13+1,1))-AVERAGE(OFFSET($H$3,0,0,'Données projet'!$E$13+1,1))</f>
        <v>205.01234521498333</v>
      </c>
      <c r="CZ13" s="62">
        <f t="shared" si="42"/>
        <v>100.26042113972852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projet'!$B$13,Paramètres!$A$1:$I$88,3,0)*0.475*44/12</f>
        <v>0</v>
      </c>
      <c r="DG13" s="23">
        <f>EXP(-LN(2)/25)*DG12+(1-EXP(-LN(2)/25))/(LN(2)/25)*Calculateur!DB13*Calculateur!DD13*VLOOKUP('Données projet'!$B$13,Paramètres!$A$1:$I$88,3,0)*0.475*44/12</f>
        <v>0</v>
      </c>
      <c r="DH13" s="23">
        <f>EXP(-LN(2)/2)*DH12+(1-EXP(-LN(2)/2))/(LN(2)/2)*DB13*DE13*VLOOKUP('Données projet'!$B$13,Paramètres!$A$1:$I$88,3,0)*0.475*44/12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3.2175000000000002</v>
      </c>
      <c r="D14" s="12">
        <f t="shared" si="32"/>
        <v>1.2941823140577056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34.827021371673517</v>
      </c>
      <c r="H14" s="70">
        <f t="shared" si="1"/>
        <v>301.19118003031713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2.8</v>
      </c>
      <c r="N14" s="14">
        <f>IF('Données projet'!$A$36&gt;35,N13+M14-V13,IF(A14&lt;'Données projet'!$A$36,$K$205^A14,IF(A14='Données projet'!$A$36,'Données projet'!$B$36,N13+M14-V13)))</f>
        <v>9.1517345525322273</v>
      </c>
      <c r="O14" s="14">
        <f>N14*VLOOKUP('Données projet'!$B$9,Paramètres!$A$1:$I$88,3,0)*VLOOKUP('Données projet'!$B$9,Paramètres!$A$1:$I$88,5,0)</f>
        <v>9.2798588362676799</v>
      </c>
      <c r="P14" s="14">
        <f t="shared" si="33"/>
        <v>3.2996784412222651</v>
      </c>
      <c r="Q14" s="22">
        <f t="shared" si="2"/>
        <v>21.909360758294984</v>
      </c>
      <c r="R14" s="62">
        <f t="shared" si="0"/>
        <v>315.24269409162832</v>
      </c>
      <c r="S14" s="62">
        <f ca="1">AVERAGE(OFFSET($R$3,0,0,'Données projet'!$E$9+1,1))-AVERAGE(OFFSET($H$3,0,0,'Données projet'!$E$9+1,1))</f>
        <v>167.90363814107491</v>
      </c>
      <c r="T14" s="62">
        <f t="shared" si="34"/>
        <v>174.92847878212234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</v>
      </c>
      <c r="AI14" s="14">
        <f>IF('Données projet'!$A$62&gt;35,AI13+AH14-AQ13,IF(A14&lt;'Données projet'!$A$62,$AF$205^A14,IF(A14='Données projet'!$A$62,'Données projet'!$B$62,AI13+AH14-AQ13)))</f>
        <v>9.1517345525322273</v>
      </c>
      <c r="AJ14" s="14">
        <f>AI14*VLOOKUP('Données projet'!$B$10,Paramètres!$A$1:$I$88,3,0)*VLOOKUP('Données projet'!$B$10,Paramètres!$A$1:$I$88,5,0)</f>
        <v>9.850927072345689</v>
      </c>
      <c r="AK14" s="14">
        <f t="shared" si="35"/>
        <v>3.4784713757902819</v>
      </c>
      <c r="AL14" s="22">
        <f t="shared" si="4"/>
        <v>23.215368963836813</v>
      </c>
      <c r="AM14" s="62">
        <f t="shared" si="5"/>
        <v>316.54870229717011</v>
      </c>
      <c r="AN14" s="62">
        <f ca="1">AVERAGE(OFFSET($AM$3,0,0,'Données projet'!$E$10+1,1))-AVERAGE(OFFSET($H$3,0,0,'Données projet'!$E$10+1,1))</f>
        <v>179.61236179838011</v>
      </c>
      <c r="AO14" s="62">
        <f t="shared" si="36"/>
        <v>186.66130555850333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1.4</v>
      </c>
      <c r="BD14" s="13">
        <f>IF('Données projet'!$A$88&gt;35,BD13+BC14-BL13,IF(A14&lt;'Données projet'!$A$88,$BA$205^A14,IF(A14='Données projet'!$A$88,'Données projet'!$B$88,BD13+BC14-BL13)))</f>
        <v>6.2508189089445931</v>
      </c>
      <c r="BE14" s="14">
        <f>BD14*VLOOKUP('Données projet'!$B$11,Paramètres!$A$1:$I$88,3,0)*VLOOKUP('Données projet'!$B$11,Paramètres!$A$1:$I$88,5,0)</f>
        <v>2.9253832493860692</v>
      </c>
      <c r="BF14" s="14">
        <f t="shared" si="37"/>
        <v>1.1897923184945451</v>
      </c>
      <c r="BG14" s="22">
        <f t="shared" si="7"/>
        <v>7.1672641140587361</v>
      </c>
      <c r="BH14" s="62">
        <f t="shared" si="8"/>
        <v>300.50059744739207</v>
      </c>
      <c r="BI14" s="62">
        <f ca="1">AVERAGE(OFFSET($BH$3,0,0,'Données projet'!$E$11+1,1))-AVERAGE(OFFSET($H$3,0,0,'Données projet'!$E$11+1,1))</f>
        <v>335.00873408144395</v>
      </c>
      <c r="BJ14" s="62">
        <f t="shared" si="38"/>
        <v>106.28577694955948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3.78125</v>
      </c>
      <c r="BY14" s="13">
        <f>IF('Données projet'!$A$114&gt;35,BY13+BX14-CG13,IF(A14&lt;'Données projet'!$A$114,$BV$205^A14,IF(A14='Données projet'!$A$114,'Données projet'!$B$114,BY13+BX14-CG13)))</f>
        <v>5.1994507762063273</v>
      </c>
      <c r="BZ14" s="14">
        <f>BY14*VLOOKUP('Données projet'!$B$12,Paramètres!$A$1:$I$88,3,0)*VLOOKUP('Données projet'!$B$12,Paramètres!$A$1:$I$88,5,0)</f>
        <v>3.109271564171384</v>
      </c>
      <c r="CA14" s="14">
        <f t="shared" si="39"/>
        <v>1.2556403186409584</v>
      </c>
      <c r="CB14" s="22">
        <f t="shared" si="10"/>
        <v>7.6022215292314961</v>
      </c>
      <c r="CC14" s="62">
        <f t="shared" si="11"/>
        <v>300.9355548625648</v>
      </c>
      <c r="CD14" s="62">
        <f ca="1">AVERAGE(OFFSET($CC$3,0,0,'Données projet'!$E$12+1,1))-AVERAGE(OFFSET($H$3,0,0,'Données projet'!$E$12+1,1))</f>
        <v>136.47709057888358</v>
      </c>
      <c r="CE14" s="62">
        <f t="shared" si="40"/>
        <v>99.705248792886493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3.7333333333333334</v>
      </c>
      <c r="CT14" s="13">
        <f>IF('Données projet'!$A$140&gt;35,CT13+CS14-DB13,IF(A14&lt;'Données projet'!$A$140,$CQ$205^A14,IF(A14='Données projet'!$A$140,'Données projet'!$B$140,CT13+CS14-DB13)))</f>
        <v>5.6413096884026555</v>
      </c>
      <c r="CU14" s="18">
        <f>CT14*VLOOKUP('Données projet'!$B$13,Paramètres!$A$1:$I$88,3,0)*VLOOKUP('Données projet'!$B$13,Paramètres!$A$1:$I$88,5,0)</f>
        <v>2.7134699601216772</v>
      </c>
      <c r="CV14" s="14">
        <f t="shared" si="41"/>
        <v>1.1133065669147559</v>
      </c>
      <c r="CW14" s="22">
        <f t="shared" si="13"/>
        <v>6.664969117921788</v>
      </c>
      <c r="CX14" s="62">
        <f t="shared" si="14"/>
        <v>299.99830245125509</v>
      </c>
      <c r="CY14" s="62">
        <f ca="1">AVERAGE(OFFSET($CX$3,0,0,'Données projet'!$E$13+1,1))-AVERAGE(OFFSET($H$3,0,0,'Données projet'!$E$13+1,1))</f>
        <v>205.01234521498333</v>
      </c>
      <c r="CZ14" s="62">
        <f t="shared" si="42"/>
        <v>100.26042113972852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projet'!$B$13,Paramètres!$A$1:$I$88,3,0)*0.475*44/12</f>
        <v>0</v>
      </c>
      <c r="DG14" s="23">
        <f>EXP(-LN(2)/25)*DG13+(1-EXP(-LN(2)/25))/(LN(2)/25)*Calculateur!DB14*Calculateur!DD14*VLOOKUP('Données projet'!$B$13,Paramètres!$A$1:$I$88,3,0)*0.475*44/12</f>
        <v>0</v>
      </c>
      <c r="DH14" s="23">
        <f>EXP(-LN(2)/2)*DH13+(1-EXP(-LN(2)/2))/(LN(2)/2)*DB14*DE14*VLOOKUP('Données projet'!$B$13,Paramètres!$A$1:$I$88,3,0)*0.475*44/12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3.5100000000000002</v>
      </c>
      <c r="D15" s="12">
        <f t="shared" si="32"/>
        <v>1.3976081772105282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37.883291192502327</v>
      </c>
      <c r="H15" s="70">
        <f t="shared" si="1"/>
        <v>301.88075090864163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2.8</v>
      </c>
      <c r="N15" s="14">
        <f>IF('Données projet'!$A$36&gt;35,N14+M15-V14,IF(A15&lt;'Données projet'!$A$36,$K$205^A15,IF(A15='Données projet'!$A$36,'Données projet'!$B$36,N14+M15-V14)))</f>
        <v>11.19213180983215</v>
      </c>
      <c r="O15" s="14">
        <f>N15*VLOOKUP('Données projet'!$B$9,Paramètres!$A$1:$I$88,3,0)*VLOOKUP('Données projet'!$B$9,Paramètres!$A$1:$I$88,5,0)</f>
        <v>11.3488216551698</v>
      </c>
      <c r="P15" s="14">
        <f t="shared" si="33"/>
        <v>3.9419087462670586</v>
      </c>
      <c r="Q15" s="22">
        <f t="shared" si="2"/>
        <v>26.631355449169195</v>
      </c>
      <c r="R15" s="62">
        <f t="shared" si="0"/>
        <v>319.96468878250249</v>
      </c>
      <c r="S15" s="62">
        <f ca="1">AVERAGE(OFFSET($R$3,0,0,'Données projet'!$E$9+1,1))-AVERAGE(OFFSET($H$3,0,0,'Données projet'!$E$9+1,1))</f>
        <v>167.90363814107491</v>
      </c>
      <c r="T15" s="62">
        <f t="shared" si="34"/>
        <v>174.92847878212234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</v>
      </c>
      <c r="AI15" s="14">
        <f>IF('Données projet'!$A$62&gt;35,AI14+AH15-AQ14,IF(A15&lt;'Données projet'!$A$62,$AF$205^A15,IF(A15='Données projet'!$A$62,'Données projet'!$B$62,AI14+AH15-AQ14)))</f>
        <v>11.19213180983215</v>
      </c>
      <c r="AJ15" s="14">
        <f>AI15*VLOOKUP('Données projet'!$B$10,Paramètres!$A$1:$I$88,3,0)*VLOOKUP('Données projet'!$B$10,Paramètres!$A$1:$I$88,5,0)</f>
        <v>12.047210680103326</v>
      </c>
      <c r="AK15" s="14">
        <f t="shared" si="35"/>
        <v>4.1555009023207088</v>
      </c>
      <c r="AL15" s="22">
        <f t="shared" si="4"/>
        <v>28.219722672721861</v>
      </c>
      <c r="AM15" s="62">
        <f t="shared" si="5"/>
        <v>321.55305600605516</v>
      </c>
      <c r="AN15" s="62">
        <f ca="1">AVERAGE(OFFSET($AM$3,0,0,'Données projet'!$E$10+1,1))-AVERAGE(OFFSET($H$3,0,0,'Données projet'!$E$10+1,1))</f>
        <v>179.61236179838011</v>
      </c>
      <c r="AO15" s="62">
        <f t="shared" si="36"/>
        <v>186.66130555850333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1.4</v>
      </c>
      <c r="BD15" s="13">
        <f>IF('Données projet'!$A$88&gt;35,BD14+BC15-BL14,IF(A15&lt;'Données projet'!$A$88,$BA$205^A15,IF(A15='Données projet'!$A$88,'Données projet'!$B$88,BD14+BC15-BL14)))</f>
        <v>7.3840532307432287</v>
      </c>
      <c r="BE15" s="14">
        <f>BD15*VLOOKUP('Données projet'!$B$11,Paramètres!$A$1:$I$88,3,0)*VLOOKUP('Données projet'!$B$11,Paramètres!$A$1:$I$88,5,0)</f>
        <v>3.455736911987831</v>
      </c>
      <c r="BF15" s="14">
        <f t="shared" si="37"/>
        <v>1.3784994670678521</v>
      </c>
      <c r="BG15" s="22">
        <f t="shared" si="7"/>
        <v>8.4196283601886481</v>
      </c>
      <c r="BH15" s="62">
        <f t="shared" si="8"/>
        <v>301.75296169352197</v>
      </c>
      <c r="BI15" s="62">
        <f ca="1">AVERAGE(OFFSET($BH$3,0,0,'Données projet'!$E$11+1,1))-AVERAGE(OFFSET($H$3,0,0,'Données projet'!$E$11+1,1))</f>
        <v>335.00873408144395</v>
      </c>
      <c r="BJ15" s="62">
        <f t="shared" si="38"/>
        <v>106.28577694955948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3.78125</v>
      </c>
      <c r="BY15" s="13">
        <f>IF('Données projet'!$A$114&gt;35,BY14+BX15-CG14,IF(A15&lt;'Données projet'!$A$114,$BV$205^A15,IF(A15='Données projet'!$A$114,'Données projet'!$B$114,BY14+BX15-CG14)))</f>
        <v>6.040105354537233</v>
      </c>
      <c r="BZ15" s="14">
        <f>BY15*VLOOKUP('Données projet'!$B$12,Paramètres!$A$1:$I$88,3,0)*VLOOKUP('Données projet'!$B$12,Paramètres!$A$1:$I$88,5,0)</f>
        <v>3.6119830020132655</v>
      </c>
      <c r="CA15" s="14">
        <f t="shared" si="39"/>
        <v>1.4334289239931206</v>
      </c>
      <c r="CB15" s="22">
        <f t="shared" si="10"/>
        <v>8.7874257711277881</v>
      </c>
      <c r="CC15" s="62">
        <f t="shared" si="11"/>
        <v>302.12075910446111</v>
      </c>
      <c r="CD15" s="62">
        <f ca="1">AVERAGE(OFFSET($CC$3,0,0,'Données projet'!$E$12+1,1))-AVERAGE(OFFSET($H$3,0,0,'Données projet'!$E$12+1,1))</f>
        <v>136.47709057888358</v>
      </c>
      <c r="CE15" s="62">
        <f t="shared" si="40"/>
        <v>99.705248792886493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3.7333333333333334</v>
      </c>
      <c r="CT15" s="13">
        <f>IF('Données projet'!$A$140&gt;35,CT14+CS15-DB14,IF(A15&lt;'Données projet'!$A$140,$CQ$205^A15,IF(A15='Données projet'!$A$140,'Données projet'!$B$140,CT14+CS15-DB14)))</f>
        <v>6.6021776957959455</v>
      </c>
      <c r="CU15" s="18">
        <f>CT15*VLOOKUP('Données projet'!$B$13,Paramètres!$A$1:$I$88,3,0)*VLOOKUP('Données projet'!$B$13,Paramètres!$A$1:$I$88,5,0)</f>
        <v>3.1756474716778502</v>
      </c>
      <c r="CV15" s="14">
        <f t="shared" si="41"/>
        <v>1.2792960892965615</v>
      </c>
      <c r="CW15" s="22">
        <f t="shared" si="13"/>
        <v>7.7590267020304333</v>
      </c>
      <c r="CX15" s="62">
        <f t="shared" si="14"/>
        <v>301.09236003536375</v>
      </c>
      <c r="CY15" s="62">
        <f ca="1">AVERAGE(OFFSET($CX$3,0,0,'Données projet'!$E$13+1,1))-AVERAGE(OFFSET($H$3,0,0,'Données projet'!$E$13+1,1))</f>
        <v>205.01234521498333</v>
      </c>
      <c r="CZ15" s="62">
        <f t="shared" si="42"/>
        <v>100.26042113972852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projet'!$B$13,Paramètres!$A$1:$I$88,3,0)*0.475*44/12</f>
        <v>0</v>
      </c>
      <c r="DG15" s="23">
        <f>EXP(-LN(2)/25)*DG14+(1-EXP(-LN(2)/25))/(LN(2)/25)*Calculateur!DB15*Calculateur!DD15*VLOOKUP('Données projet'!$B$13,Paramètres!$A$1:$I$88,3,0)*0.475*44/12</f>
        <v>0</v>
      </c>
      <c r="DH15" s="23">
        <f>EXP(-LN(2)/2)*DH14+(1-EXP(-LN(2)/2))/(LN(2)/2)*DB15*DE15*VLOOKUP('Données projet'!$B$13,Paramètres!$A$1:$I$88,3,0)*0.475*44/12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3.8025000000000002</v>
      </c>
      <c r="D16" s="12">
        <f t="shared" si="32"/>
        <v>1.5000344390566445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40.931844792717961</v>
      </c>
      <c r="H16" s="70">
        <f t="shared" si="1"/>
        <v>302.56858081469028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2.8</v>
      </c>
      <c r="N16" s="14">
        <f>IF('Données projet'!$A$36&gt;35,N15+M16-V15,IF(A16&lt;'Données projet'!$A$36,$K$205^A16,IF(A16='Données projet'!$A$36,'Données projet'!$B$36,N15+M16-V15)))</f>
        <v>13.687439657435972</v>
      </c>
      <c r="O16" s="14">
        <f>N16*VLOOKUP('Données projet'!$B$9,Paramètres!$A$1:$I$88,3,0)*VLOOKUP('Données projet'!$B$9,Paramètres!$A$1:$I$88,5,0)</f>
        <v>13.879063812640078</v>
      </c>
      <c r="P16" s="14">
        <f t="shared" si="33"/>
        <v>4.7091390390576695</v>
      </c>
      <c r="Q16" s="22">
        <f t="shared" si="2"/>
        <v>32.374453300040244</v>
      </c>
      <c r="R16" s="62">
        <f t="shared" si="0"/>
        <v>325.70778663337353</v>
      </c>
      <c r="S16" s="62">
        <f ca="1">AVERAGE(OFFSET($R$3,0,0,'Données projet'!$E$9+1,1))-AVERAGE(OFFSET($H$3,0,0,'Données projet'!$E$9+1,1))</f>
        <v>167.90363814107491</v>
      </c>
      <c r="T16" s="62">
        <f t="shared" si="34"/>
        <v>174.92847878212234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</v>
      </c>
      <c r="AI16" s="14">
        <f>IF('Données projet'!$A$62&gt;35,AI15+AH16-AQ15,IF(A16&lt;'Données projet'!$A$62,$AF$205^A16,IF(A16='Données projet'!$A$62,'Données projet'!$B$62,AI15+AH16-AQ15)))</f>
        <v>13.687439657435972</v>
      </c>
      <c r="AJ16" s="14">
        <f>AI16*VLOOKUP('Données projet'!$B$10,Paramètres!$A$1:$I$88,3,0)*VLOOKUP('Données projet'!$B$10,Paramètres!$A$1:$I$88,5,0)</f>
        <v>14.73316004726408</v>
      </c>
      <c r="AK16" s="14">
        <f t="shared" si="35"/>
        <v>4.9643035355623786</v>
      </c>
      <c r="AL16" s="22">
        <f t="shared" si="4"/>
        <v>34.306415740089413</v>
      </c>
      <c r="AM16" s="62">
        <f t="shared" si="5"/>
        <v>327.63974907342271</v>
      </c>
      <c r="AN16" s="62">
        <f ca="1">AVERAGE(OFFSET($AM$3,0,0,'Données projet'!$E$10+1,1))-AVERAGE(OFFSET($H$3,0,0,'Données projet'!$E$10+1,1))</f>
        <v>179.61236179838011</v>
      </c>
      <c r="AO16" s="62">
        <f t="shared" si="36"/>
        <v>186.66130555850333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1.4</v>
      </c>
      <c r="BD16" s="13">
        <f>IF('Données projet'!$A$88&gt;35,BD15+BC16-BL15,IF(A16&lt;'Données projet'!$A$88,$BA$205^A16,IF(A16='Données projet'!$A$88,'Données projet'!$B$88,BD15+BC16-BL15)))</f>
        <v>8.7227358380880595</v>
      </c>
      <c r="BE16" s="14">
        <f>BD16*VLOOKUP('Données projet'!$B$11,Paramètres!$A$1:$I$88,3,0)*VLOOKUP('Données projet'!$B$11,Paramètres!$A$1:$I$88,5,0)</f>
        <v>4.0822403722252121</v>
      </c>
      <c r="BF16" s="14">
        <f t="shared" si="37"/>
        <v>1.5971365348120328</v>
      </c>
      <c r="BG16" s="22">
        <f t="shared" si="7"/>
        <v>9.891581446423201</v>
      </c>
      <c r="BH16" s="62">
        <f t="shared" si="8"/>
        <v>303.22491477975649</v>
      </c>
      <c r="BI16" s="62">
        <f ca="1">AVERAGE(OFFSET($BH$3,0,0,'Données projet'!$E$11+1,1))-AVERAGE(OFFSET($H$3,0,0,'Données projet'!$E$11+1,1))</f>
        <v>335.00873408144395</v>
      </c>
      <c r="BJ16" s="62">
        <f t="shared" si="38"/>
        <v>106.28577694955948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3.78125</v>
      </c>
      <c r="BY16" s="13">
        <f>IF('Données projet'!$A$114&gt;35,BY15+BX16-CG15,IF(A16&lt;'Données projet'!$A$114,$BV$205^A16,IF(A16='Données projet'!$A$114,'Données projet'!$B$114,BY15+BX16-CG15)))</f>
        <v>7.016678157789646</v>
      </c>
      <c r="BZ16" s="14">
        <f>BY16*VLOOKUP('Données projet'!$B$12,Paramètres!$A$1:$I$88,3,0)*VLOOKUP('Données projet'!$B$12,Paramètres!$A$1:$I$88,5,0)</f>
        <v>4.1959735383582082</v>
      </c>
      <c r="CA16" s="14">
        <f t="shared" si="39"/>
        <v>1.6363909709143449</v>
      </c>
      <c r="CB16" s="22">
        <f t="shared" si="10"/>
        <v>10.158034853649696</v>
      </c>
      <c r="CC16" s="62">
        <f t="shared" si="11"/>
        <v>303.49136818698298</v>
      </c>
      <c r="CD16" s="62">
        <f ca="1">AVERAGE(OFFSET($CC$3,0,0,'Données projet'!$E$12+1,1))-AVERAGE(OFFSET($H$3,0,0,'Données projet'!$E$12+1,1))</f>
        <v>136.47709057888358</v>
      </c>
      <c r="CE16" s="62">
        <f t="shared" si="40"/>
        <v>99.705248792886493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3.7333333333333334</v>
      </c>
      <c r="CT16" s="13">
        <f>IF('Données projet'!$A$140&gt;35,CT15+CS16-DB15,IF(A16&lt;'Données projet'!$A$140,$CQ$205^A16,IF(A16='Données projet'!$A$140,'Données projet'!$B$140,CT15+CS16-DB15)))</f>
        <v>7.7267075793542688</v>
      </c>
      <c r="CU16" s="18">
        <f>CT16*VLOOKUP('Données projet'!$B$13,Paramètres!$A$1:$I$88,3,0)*VLOOKUP('Données projet'!$B$13,Paramètres!$A$1:$I$88,5,0)</f>
        <v>3.716546345669403</v>
      </c>
      <c r="CV16" s="14">
        <f t="shared" si="41"/>
        <v>1.4700339805098694</v>
      </c>
      <c r="CW16" s="22">
        <f t="shared" si="13"/>
        <v>9.0332940680955645</v>
      </c>
      <c r="CX16" s="62">
        <f t="shared" si="14"/>
        <v>302.3666274014289</v>
      </c>
      <c r="CY16" s="62">
        <f ca="1">AVERAGE(OFFSET($CX$3,0,0,'Données projet'!$E$13+1,1))-AVERAGE(OFFSET($H$3,0,0,'Données projet'!$E$13+1,1))</f>
        <v>205.01234521498333</v>
      </c>
      <c r="CZ16" s="62">
        <f t="shared" si="42"/>
        <v>100.26042113972852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projet'!$B$13,Paramètres!$A$1:$I$88,3,0)*0.475*44/12</f>
        <v>0</v>
      </c>
      <c r="DG16" s="23">
        <f>EXP(-LN(2)/25)*DG15+(1-EXP(-LN(2)/25))/(LN(2)/25)*Calculateur!DB16*Calculateur!DD16*VLOOKUP('Données projet'!$B$13,Paramètres!$A$1:$I$88,3,0)*0.475*44/12</f>
        <v>0</v>
      </c>
      <c r="DH16" s="23">
        <f>EXP(-LN(2)/2)*DH15+(1-EXP(-LN(2)/2))/(LN(2)/2)*DB16*DE16*VLOOKUP('Données projet'!$B$13,Paramètres!$A$1:$I$88,3,0)*0.475*44/12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4.0950000000000006</v>
      </c>
      <c r="D17" s="12">
        <f t="shared" si="32"/>
        <v>1.6015467346037437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43.973343214485048</v>
      </c>
      <c r="H17" s="70">
        <f t="shared" si="1"/>
        <v>303.25481889610148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2.8</v>
      </c>
      <c r="N17" s="14">
        <f>IF('Données projet'!$A$36&gt;35,N16+M17-V16,IF(A17&lt;'Données projet'!$A$36,$K$205^A17,IF(A17='Données projet'!$A$36,'Données projet'!$B$36,N16+M17-V16)))</f>
        <v>16.739081308117708</v>
      </c>
      <c r="O17" s="14">
        <f>N17*VLOOKUP('Données projet'!$B$9,Paramètres!$A$1:$I$88,3,0)*VLOOKUP('Données projet'!$B$9,Paramètres!$A$1:$I$88,5,0)</f>
        <v>16.973428446431356</v>
      </c>
      <c r="P17" s="14">
        <f t="shared" si="33"/>
        <v>5.6256985933977779</v>
      </c>
      <c r="Q17" s="22">
        <f t="shared" si="2"/>
        <v>39.360146261035744</v>
      </c>
      <c r="R17" s="62">
        <f t="shared" si="0"/>
        <v>332.69347959436908</v>
      </c>
      <c r="S17" s="62">
        <f ca="1">AVERAGE(OFFSET($R$3,0,0,'Données projet'!$E$9+1,1))-AVERAGE(OFFSET($H$3,0,0,'Données projet'!$E$9+1,1))</f>
        <v>167.90363814107491</v>
      </c>
      <c r="T17" s="62">
        <f t="shared" si="34"/>
        <v>174.92847878212234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</v>
      </c>
      <c r="AI17" s="14">
        <f>IF('Données projet'!$A$62&gt;35,AI16+AH17-AQ16,IF(A17&lt;'Données projet'!$A$62,$AF$205^A17,IF(A17='Données projet'!$A$62,'Données projet'!$B$62,AI16+AH17-AQ16)))</f>
        <v>16.739081308117708</v>
      </c>
      <c r="AJ17" s="14">
        <f>AI17*VLOOKUP('Données projet'!$B$10,Paramètres!$A$1:$I$88,3,0)*VLOOKUP('Données projet'!$B$10,Paramètres!$A$1:$I$88,5,0)</f>
        <v>18.017947120057901</v>
      </c>
      <c r="AK17" s="14">
        <f t="shared" si="35"/>
        <v>5.9305268299747249</v>
      </c>
      <c r="AL17" s="22">
        <f t="shared" si="4"/>
        <v>41.710258796306817</v>
      </c>
      <c r="AM17" s="62">
        <f t="shared" si="5"/>
        <v>335.04359212964016</v>
      </c>
      <c r="AN17" s="62">
        <f ca="1">AVERAGE(OFFSET($AM$3,0,0,'Données projet'!$E$10+1,1))-AVERAGE(OFFSET($H$3,0,0,'Données projet'!$E$10+1,1))</f>
        <v>179.61236179838011</v>
      </c>
      <c r="AO17" s="62">
        <f t="shared" si="36"/>
        <v>186.66130555850333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1.4</v>
      </c>
      <c r="BD17" s="13">
        <f>IF('Données projet'!$A$88&gt;35,BD16+BC17-BL16,IF(A17&lt;'Données projet'!$A$88,$BA$205^A17,IF(A17='Données projet'!$A$88,'Données projet'!$B$88,BD16+BC17-BL16)))</f>
        <v>10.304113218507704</v>
      </c>
      <c r="BE17" s="14">
        <f>BD17*VLOOKUP('Données projet'!$B$11,Paramètres!$A$1:$I$88,3,0)*VLOOKUP('Données projet'!$B$11,Paramètres!$A$1:$I$88,5,0)</f>
        <v>4.8223249862616049</v>
      </c>
      <c r="BF17" s="14">
        <f t="shared" si="37"/>
        <v>1.8504505600260996</v>
      </c>
      <c r="BG17" s="22">
        <f t="shared" si="7"/>
        <v>11.621750743117751</v>
      </c>
      <c r="BH17" s="62">
        <f t="shared" si="8"/>
        <v>304.95508407645104</v>
      </c>
      <c r="BI17" s="62">
        <f ca="1">AVERAGE(OFFSET($BH$3,0,0,'Données projet'!$E$11+1,1))-AVERAGE(OFFSET($H$3,0,0,'Données projet'!$E$11+1,1))</f>
        <v>335.00873408144395</v>
      </c>
      <c r="BJ17" s="62">
        <f t="shared" si="38"/>
        <v>106.28577694955948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3.78125</v>
      </c>
      <c r="BY17" s="13">
        <f>IF('Données projet'!$A$114&gt;35,BY16+BX17-CG16,IF(A17&lt;'Données projet'!$A$114,$BV$205^A17,IF(A17='Données projet'!$A$114,'Données projet'!$B$114,BY16+BX17-CG16)))</f>
        <v>8.1511446374058121</v>
      </c>
      <c r="BZ17" s="14">
        <f>BY17*VLOOKUP('Données projet'!$B$12,Paramètres!$A$1:$I$88,3,0)*VLOOKUP('Données projet'!$B$12,Paramètres!$A$1:$I$88,5,0)</f>
        <v>4.8743844931686757</v>
      </c>
      <c r="CA17" s="14">
        <f t="shared" si="39"/>
        <v>1.8680908169694812</v>
      </c>
      <c r="CB17" s="22">
        <f t="shared" si="10"/>
        <v>11.743144498490622</v>
      </c>
      <c r="CC17" s="62">
        <f t="shared" si="11"/>
        <v>305.07647783182392</v>
      </c>
      <c r="CD17" s="62">
        <f ca="1">AVERAGE(OFFSET($CC$3,0,0,'Données projet'!$E$12+1,1))-AVERAGE(OFFSET($H$3,0,0,'Données projet'!$E$12+1,1))</f>
        <v>136.47709057888358</v>
      </c>
      <c r="CE17" s="62">
        <f t="shared" si="40"/>
        <v>99.705248792886493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3.7333333333333334</v>
      </c>
      <c r="CT17" s="13">
        <f>IF('Données projet'!$A$140&gt;35,CT16+CS17-DB16,IF(A17&lt;'Données projet'!$A$140,$CQ$205^A17,IF(A17='Données projet'!$A$140,'Données projet'!$B$140,CT16+CS17-DB16)))</f>
        <v>9.0427753943773794</v>
      </c>
      <c r="CU17" s="18">
        <f>CT17*VLOOKUP('Données projet'!$B$13,Paramètres!$A$1:$I$88,3,0)*VLOOKUP('Données projet'!$B$13,Paramètres!$A$1:$I$88,5,0)</f>
        <v>4.3495749646955195</v>
      </c>
      <c r="CV17" s="14">
        <f t="shared" si="41"/>
        <v>1.6892101226088696</v>
      </c>
      <c r="CW17" s="22">
        <f t="shared" si="13"/>
        <v>10.517550693721811</v>
      </c>
      <c r="CX17" s="62">
        <f t="shared" si="14"/>
        <v>303.85088402705514</v>
      </c>
      <c r="CY17" s="62">
        <f ca="1">AVERAGE(OFFSET($CX$3,0,0,'Données projet'!$E$13+1,1))-AVERAGE(OFFSET($H$3,0,0,'Données projet'!$E$13+1,1))</f>
        <v>205.01234521498333</v>
      </c>
      <c r="CZ17" s="62">
        <f t="shared" si="42"/>
        <v>100.26042113972852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projet'!$B$13,Paramètres!$A$1:$I$88,3,0)*0.475*44/12</f>
        <v>0</v>
      </c>
      <c r="DG17" s="23">
        <f>EXP(-LN(2)/25)*DG16+(1-EXP(-LN(2)/25))/(LN(2)/25)*Calculateur!DB17*Calculateur!DD17*VLOOKUP('Données projet'!$B$13,Paramètres!$A$1:$I$88,3,0)*0.475*44/12</f>
        <v>0</v>
      </c>
      <c r="DH17" s="23">
        <f>EXP(-LN(2)/2)*DH16+(1-EXP(-LN(2)/2))/(LN(2)/2)*DB17*DE17*VLOOKUP('Données projet'!$B$13,Paramètres!$A$1:$I$88,3,0)*0.475*44/12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4.3875000000000011</v>
      </c>
      <c r="D18" s="12">
        <f t="shared" si="32"/>
        <v>1.7022177720750722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47.008347714263728</v>
      </c>
      <c r="H18" s="70">
        <f t="shared" si="1"/>
        <v>303.93959178636408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2.8</v>
      </c>
      <c r="N18" s="14">
        <f>IF('Données projet'!$A$36&gt;35,N17+M18-V17,IF(A18&lt;'Données projet'!$A$36,$K$205^A18,IF(A18='Données projet'!$A$36,'Données projet'!$B$36,N17+M18-V17)))</f>
        <v>20.471092479852732</v>
      </c>
      <c r="O18" s="14">
        <f>N18*VLOOKUP('Données projet'!$B$9,Paramètres!$A$1:$I$88,3,0)*VLOOKUP('Données projet'!$B$9,Paramètres!$A$1:$I$88,5,0)</f>
        <v>20.757687774570673</v>
      </c>
      <c r="P18" s="14">
        <f t="shared" si="33"/>
        <v>6.7206519920658003</v>
      </c>
      <c r="Q18" s="22">
        <f t="shared" si="2"/>
        <v>47.858108426891853</v>
      </c>
      <c r="R18" s="62">
        <f t="shared" si="0"/>
        <v>341.19144176022519</v>
      </c>
      <c r="S18" s="62">
        <f ca="1">AVERAGE(OFFSET($R$3,0,0,'Données projet'!$E$9+1,1))-AVERAGE(OFFSET($H$3,0,0,'Données projet'!$E$9+1,1))</f>
        <v>167.90363814107491</v>
      </c>
      <c r="T18" s="62">
        <f t="shared" si="34"/>
        <v>174.92847878212234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</v>
      </c>
      <c r="AI18" s="14">
        <f>IF('Données projet'!$A$62&gt;35,AI17+AH18-AQ17,IF(A18&lt;'Données projet'!$A$62,$AF$205^A18,IF(A18='Données projet'!$A$62,'Données projet'!$B$62,AI17+AH18-AQ17)))</f>
        <v>20.471092479852732</v>
      </c>
      <c r="AJ18" s="14">
        <f>AI18*VLOOKUP('Données projet'!$B$10,Paramètres!$A$1:$I$88,3,0)*VLOOKUP('Données projet'!$B$10,Paramètres!$A$1:$I$88,5,0)</f>
        <v>22.035083945313481</v>
      </c>
      <c r="AK18" s="14">
        <f t="shared" si="35"/>
        <v>7.0848102315052497</v>
      </c>
      <c r="AL18" s="22">
        <f t="shared" si="4"/>
        <v>50.717149024625961</v>
      </c>
      <c r="AM18" s="62">
        <f t="shared" si="5"/>
        <v>344.05048235795925</v>
      </c>
      <c r="AN18" s="62">
        <f ca="1">AVERAGE(OFFSET($AM$3,0,0,'Données projet'!$E$10+1,1))-AVERAGE(OFFSET($H$3,0,0,'Données projet'!$E$10+1,1))</f>
        <v>179.61236179838011</v>
      </c>
      <c r="AO18" s="62">
        <f t="shared" si="36"/>
        <v>186.66130555850333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1.4</v>
      </c>
      <c r="BD18" s="13">
        <f>IF('Données projet'!$A$88&gt;35,BD17+BC18-BL17,IF(A18&lt;'Données projet'!$A$88,$BA$205^A18,IF(A18='Données projet'!$A$88,'Données projet'!$B$88,BD17+BC18-BL17)))</f>
        <v>12.172184414459773</v>
      </c>
      <c r="BE18" s="14">
        <f>BD18*VLOOKUP('Données projet'!$B$11,Paramètres!$A$1:$I$88,3,0)*VLOOKUP('Données projet'!$B$11,Paramètres!$A$1:$I$88,5,0)</f>
        <v>5.6965823059671736</v>
      </c>
      <c r="BF18" s="14">
        <f t="shared" si="37"/>
        <v>2.1439414855686696</v>
      </c>
      <c r="BG18" s="22">
        <f t="shared" si="7"/>
        <v>13.655578936924925</v>
      </c>
      <c r="BH18" s="62">
        <f t="shared" si="8"/>
        <v>306.98891227025825</v>
      </c>
      <c r="BI18" s="62">
        <f ca="1">AVERAGE(OFFSET($BH$3,0,0,'Données projet'!$E$11+1,1))-AVERAGE(OFFSET($H$3,0,0,'Données projet'!$E$11+1,1))</f>
        <v>335.00873408144395</v>
      </c>
      <c r="BJ18" s="62">
        <f t="shared" si="38"/>
        <v>106.28577694955948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3.78125</v>
      </c>
      <c r="BY18" s="13">
        <f>IF('Données projet'!$A$114&gt;35,BY17+BX18-CG17,IF(A18&lt;'Données projet'!$A$114,$BV$205^A18,IF(A18='Données projet'!$A$114,'Données projet'!$B$114,BY17+BX18-CG17)))</f>
        <v>9.4690332669953108</v>
      </c>
      <c r="BZ18" s="14">
        <f>BY18*VLOOKUP('Données projet'!$B$12,Paramètres!$A$1:$I$88,3,0)*VLOOKUP('Données projet'!$B$12,Paramètres!$A$1:$I$88,5,0)</f>
        <v>5.6624818936631964</v>
      </c>
      <c r="CA18" s="14">
        <f t="shared" si="39"/>
        <v>2.1325975041867737</v>
      </c>
      <c r="CB18" s="22">
        <f t="shared" si="10"/>
        <v>13.576429951255363</v>
      </c>
      <c r="CC18" s="62">
        <f t="shared" si="11"/>
        <v>306.90976328458868</v>
      </c>
      <c r="CD18" s="62">
        <f ca="1">AVERAGE(OFFSET($CC$3,0,0,'Données projet'!$E$12+1,1))-AVERAGE(OFFSET($H$3,0,0,'Données projet'!$E$12+1,1))</f>
        <v>136.47709057888358</v>
      </c>
      <c r="CE18" s="62">
        <f t="shared" si="40"/>
        <v>99.705248792886493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3.7333333333333334</v>
      </c>
      <c r="CT18" s="13">
        <f>IF('Données projet'!$A$140&gt;35,CT17+CS18-DB17,IF(A18&lt;'Données projet'!$A$140,$CQ$205^A18,IF(A18='Données projet'!$A$140,'Données projet'!$B$140,CT17+CS18-DB17)))</f>
        <v>10.583005244258347</v>
      </c>
      <c r="CU18" s="18">
        <f>CT18*VLOOKUP('Données projet'!$B$13,Paramètres!$A$1:$I$88,3,0)*VLOOKUP('Données projet'!$B$13,Paramètres!$A$1:$I$88,5,0)</f>
        <v>5.0904255224882649</v>
      </c>
      <c r="CV18" s="14">
        <f t="shared" si="41"/>
        <v>1.9410645441914081</v>
      </c>
      <c r="CW18" s="22">
        <f t="shared" si="13"/>
        <v>12.246511866133764</v>
      </c>
      <c r="CX18" s="62">
        <f t="shared" si="14"/>
        <v>305.57984519946706</v>
      </c>
      <c r="CY18" s="62">
        <f ca="1">AVERAGE(OFFSET($CX$3,0,0,'Données projet'!$E$13+1,1))-AVERAGE(OFFSET($H$3,0,0,'Données projet'!$E$13+1,1))</f>
        <v>205.01234521498333</v>
      </c>
      <c r="CZ18" s="62">
        <f t="shared" si="42"/>
        <v>100.26042113972852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projet'!$B$13,Paramètres!$A$1:$I$88,3,0)*0.475*44/12</f>
        <v>0</v>
      </c>
      <c r="DG18" s="23">
        <f>EXP(-LN(2)/25)*DG17+(1-EXP(-LN(2)/25))/(LN(2)/25)*Calculateur!DB18*Calculateur!DD18*VLOOKUP('Données projet'!$B$13,Paramètres!$A$1:$I$88,3,0)*0.475*44/12</f>
        <v>0</v>
      </c>
      <c r="DH18" s="23">
        <f>EXP(-LN(2)/2)*DH17+(1-EXP(-LN(2)/2))/(LN(2)/2)*DB18*DE18*VLOOKUP('Données projet'!$B$13,Paramètres!$A$1:$I$88,3,0)*0.475*44/12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4.6800000000000015</v>
      </c>
      <c r="D19" s="12">
        <f t="shared" si="32"/>
        <v>1.802110016805462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50.037340480603582</v>
      </c>
      <c r="H19" s="70">
        <f t="shared" si="1"/>
        <v>304.62300827926947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2.8</v>
      </c>
      <c r="N19" s="14">
        <f>IF('Données projet'!$A$36&gt;35,N18+M19-V18,IF(A19&lt;'Données projet'!$A$36,$K$205^A19,IF(A19='Données projet'!$A$36,'Données projet'!$B$36,N18+M19-V18)))</f>
        <v>25.035162898423533</v>
      </c>
      <c r="O19" s="14">
        <f>N19*VLOOKUP('Données projet'!$B$9,Paramètres!$A$1:$I$88,3,0)*VLOOKUP('Données projet'!$B$9,Paramètres!$A$1:$I$88,5,0)</f>
        <v>25.385655179001464</v>
      </c>
      <c r="P19" s="14">
        <f t="shared" si="33"/>
        <v>8.0287207799339573</v>
      </c>
      <c r="Q19" s="22">
        <f t="shared" si="2"/>
        <v>58.196704795145855</v>
      </c>
      <c r="R19" s="62">
        <f t="shared" si="0"/>
        <v>351.53003812847919</v>
      </c>
      <c r="S19" s="62">
        <f ca="1">AVERAGE(OFFSET($R$3,0,0,'Données projet'!$E$9+1,1))-AVERAGE(OFFSET($H$3,0,0,'Données projet'!$E$9+1,1))</f>
        <v>167.90363814107491</v>
      </c>
      <c r="T19" s="62">
        <f t="shared" si="34"/>
        <v>174.92847878212234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</v>
      </c>
      <c r="AI19" s="14">
        <f>IF('Données projet'!$A$62&gt;35,AI18+AH19-AQ18,IF(A19&lt;'Données projet'!$A$62,$AF$205^A19,IF(A19='Données projet'!$A$62,'Données projet'!$B$62,AI18+AH19-AQ18)))</f>
        <v>25.035162898423533</v>
      </c>
      <c r="AJ19" s="14">
        <f>AI19*VLOOKUP('Données projet'!$B$10,Paramètres!$A$1:$I$88,3,0)*VLOOKUP('Données projet'!$B$10,Paramètres!$A$1:$I$88,5,0)</f>
        <v>26.947849343863087</v>
      </c>
      <c r="AK19" s="14">
        <f t="shared" si="35"/>
        <v>8.4637566704432956</v>
      </c>
      <c r="AL19" s="22">
        <f t="shared" si="4"/>
        <v>61.675213808250284</v>
      </c>
      <c r="AM19" s="62">
        <f t="shared" si="5"/>
        <v>355.00854714158362</v>
      </c>
      <c r="AN19" s="62">
        <f ca="1">AVERAGE(OFFSET($AM$3,0,0,'Données projet'!$E$10+1,1))-AVERAGE(OFFSET($H$3,0,0,'Données projet'!$E$10+1,1))</f>
        <v>179.61236179838011</v>
      </c>
      <c r="AO19" s="62">
        <f t="shared" si="36"/>
        <v>186.66130555850333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1.4</v>
      </c>
      <c r="BD19" s="13">
        <f>IF('Données projet'!$A$88&gt;35,BD18+BC19-BL18,IF(A19&lt;'Données projet'!$A$88,$BA$205^A19,IF(A19='Données projet'!$A$88,'Données projet'!$B$88,BD18+BC19-BL18)))</f>
        <v>14.378925219250942</v>
      </c>
      <c r="BE19" s="14">
        <f>BD19*VLOOKUP('Données projet'!$B$11,Paramètres!$A$1:$I$88,3,0)*VLOOKUP('Données projet'!$B$11,Paramètres!$A$1:$I$88,5,0)</f>
        <v>6.7293370026094408</v>
      </c>
      <c r="BF19" s="14">
        <f t="shared" si="37"/>
        <v>2.4839815733728994</v>
      </c>
      <c r="BG19" s="22">
        <f t="shared" si="7"/>
        <v>16.04652985316924</v>
      </c>
      <c r="BH19" s="62">
        <f t="shared" si="8"/>
        <v>309.37986318650258</v>
      </c>
      <c r="BI19" s="62">
        <f ca="1">AVERAGE(OFFSET($BH$3,0,0,'Données projet'!$E$11+1,1))-AVERAGE(OFFSET($H$3,0,0,'Données projet'!$E$11+1,1))</f>
        <v>335.00873408144395</v>
      </c>
      <c r="BJ19" s="62">
        <f t="shared" si="38"/>
        <v>106.28577694955948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3.78125</v>
      </c>
      <c r="BY19" s="13">
        <f>IF('Données projet'!$A$114&gt;35,BY18+BX19-CG18,IF(A19&lt;'Données projet'!$A$114,$BV$205^A19,IF(A19='Données projet'!$A$114,'Données projet'!$B$114,BY18+BX19-CG18)))</f>
        <v>10.999999999999991</v>
      </c>
      <c r="BZ19" s="14">
        <f>BY19*VLOOKUP('Données projet'!$B$12,Paramètres!$A$1:$I$88,3,0)*VLOOKUP('Données projet'!$B$12,Paramètres!$A$1:$I$88,5,0)</f>
        <v>6.577999999999995</v>
      </c>
      <c r="CA19" s="14">
        <f t="shared" si="39"/>
        <v>2.4345562183329097</v>
      </c>
      <c r="CB19" s="22">
        <f t="shared" si="10"/>
        <v>15.696868746929809</v>
      </c>
      <c r="CC19" s="62">
        <f t="shared" si="11"/>
        <v>309.03020208026311</v>
      </c>
      <c r="CD19" s="62">
        <f ca="1">AVERAGE(OFFSET($CC$3,0,0,'Données projet'!$E$12+1,1))-AVERAGE(OFFSET($H$3,0,0,'Données projet'!$E$12+1,1))</f>
        <v>136.47709057888358</v>
      </c>
      <c r="CE19" s="62">
        <f t="shared" si="40"/>
        <v>99.705248792886493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3.7333333333333334</v>
      </c>
      <c r="CT19" s="13">
        <f>IF('Données projet'!$A$140&gt;35,CT18+CS19-DB18,IF(A19&lt;'Données projet'!$A$140,$CQ$205^A19,IF(A19='Données projet'!$A$140,'Données projet'!$B$140,CT18+CS19-DB18)))</f>
        <v>12.385578001820004</v>
      </c>
      <c r="CU19" s="18">
        <f>CT19*VLOOKUP('Données projet'!$B$13,Paramètres!$A$1:$I$88,3,0)*VLOOKUP('Données projet'!$B$13,Paramètres!$A$1:$I$88,5,0)</f>
        <v>5.9574630188754218</v>
      </c>
      <c r="CV19" s="14">
        <f t="shared" si="41"/>
        <v>2.2304694450315008</v>
      </c>
      <c r="CW19" s="22">
        <f t="shared" si="13"/>
        <v>14.260649041304555</v>
      </c>
      <c r="CX19" s="62">
        <f t="shared" si="14"/>
        <v>307.59398237463785</v>
      </c>
      <c r="CY19" s="62">
        <f ca="1">AVERAGE(OFFSET($CX$3,0,0,'Données projet'!$E$13+1,1))-AVERAGE(OFFSET($H$3,0,0,'Données projet'!$E$13+1,1))</f>
        <v>205.01234521498333</v>
      </c>
      <c r="CZ19" s="62">
        <f t="shared" si="42"/>
        <v>100.26042113972852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projet'!$B$13,Paramètres!$A$1:$I$88,3,0)*0.475*44/12</f>
        <v>0</v>
      </c>
      <c r="DG19" s="23">
        <f>EXP(-LN(2)/25)*DG18+(1-EXP(-LN(2)/25))/(LN(2)/25)*Calculateur!DB19*Calculateur!DD19*VLOOKUP('Données projet'!$B$13,Paramètres!$A$1:$I$88,3,0)*0.475*44/12</f>
        <v>0</v>
      </c>
      <c r="DH19" s="23">
        <f>EXP(-LN(2)/2)*DH18+(1-EXP(-LN(2)/2))/(LN(2)/2)*DB19*DE19*VLOOKUP('Données projet'!$B$13,Paramètres!$A$1:$I$88,3,0)*0.475*44/12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4.9725000000000019</v>
      </c>
      <c r="D20" s="12">
        <f t="shared" si="32"/>
        <v>1.9012776846438786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53.060740021812421</v>
      </c>
      <c r="H20" s="70">
        <f t="shared" si="1"/>
        <v>305.30516280075472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2.8</v>
      </c>
      <c r="N20" s="14">
        <f>IF('Données projet'!$A$36&gt;35,N19+M20-V19,IF(A20&lt;'Données projet'!$A$36,$K$205^A20,IF(A20='Données projet'!$A$36,'Données projet'!$B$36,N19+M20-V19)))</f>
        <v>30.61680181296855</v>
      </c>
      <c r="O20" s="14">
        <f>N20*VLOOKUP('Données projet'!$B$9,Paramètres!$A$1:$I$88,3,0)*VLOOKUP('Données projet'!$B$9,Paramètres!$A$1:$I$88,5,0)</f>
        <v>31.045437038350112</v>
      </c>
      <c r="P20" s="14">
        <f t="shared" si="33"/>
        <v>9.5913845023136606</v>
      </c>
      <c r="Q20" s="22">
        <f t="shared" si="2"/>
        <v>70.77579751665607</v>
      </c>
      <c r="R20" s="62">
        <f t="shared" si="0"/>
        <v>364.10913084998936</v>
      </c>
      <c r="S20" s="62">
        <f ca="1">AVERAGE(OFFSET($R$3,0,0,'Données projet'!$E$9+1,1))-AVERAGE(OFFSET($H$3,0,0,'Données projet'!$E$9+1,1))</f>
        <v>167.90363814107491</v>
      </c>
      <c r="T20" s="62">
        <f t="shared" si="34"/>
        <v>174.92847878212234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</v>
      </c>
      <c r="AI20" s="14">
        <f>IF('Données projet'!$A$62&gt;35,AI19+AH20-AQ19,IF(A20&lt;'Données projet'!$A$62,$AF$205^A20,IF(A20='Données projet'!$A$62,'Données projet'!$B$62,AI19+AH20-AQ19)))</f>
        <v>30.61680181296855</v>
      </c>
      <c r="AJ20" s="14">
        <f>AI20*VLOOKUP('Données projet'!$B$10,Paramètres!$A$1:$I$88,3,0)*VLOOKUP('Données projet'!$B$10,Paramètres!$A$1:$I$88,5,0)</f>
        <v>32.955925471479347</v>
      </c>
      <c r="AK20" s="14">
        <f t="shared" si="35"/>
        <v>10.111093259480809</v>
      </c>
      <c r="AL20" s="22">
        <f t="shared" si="4"/>
        <v>75.008390956422275</v>
      </c>
      <c r="AM20" s="62">
        <f t="shared" si="5"/>
        <v>368.34172428975558</v>
      </c>
      <c r="AN20" s="62">
        <f ca="1">AVERAGE(OFFSET($AM$3,0,0,'Données projet'!$E$10+1,1))-AVERAGE(OFFSET($H$3,0,0,'Données projet'!$E$10+1,1))</f>
        <v>179.61236179838011</v>
      </c>
      <c r="AO20" s="62">
        <f t="shared" si="36"/>
        <v>186.66130555850333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1.4</v>
      </c>
      <c r="BD20" s="13">
        <f>IF('Données projet'!$A$88&gt;35,BD19+BC20-BL19,IF(A20&lt;'Données projet'!$A$88,$BA$205^A20,IF(A20='Données projet'!$A$88,'Données projet'!$B$88,BD19+BC20-BL19)))</f>
        <v>16.985734312010656</v>
      </c>
      <c r="BE20" s="14">
        <f>BD20*VLOOKUP('Données projet'!$B$11,Paramètres!$A$1:$I$88,3,0)*VLOOKUP('Données projet'!$B$11,Paramètres!$A$1:$I$88,5,0)</f>
        <v>7.9493236580209867</v>
      </c>
      <c r="BF20" s="14">
        <f t="shared" si="37"/>
        <v>2.8779537587144066</v>
      </c>
      <c r="BG20" s="22">
        <f t="shared" si="7"/>
        <v>18.857508167480809</v>
      </c>
      <c r="BH20" s="62">
        <f t="shared" si="8"/>
        <v>312.19084150081414</v>
      </c>
      <c r="BI20" s="62">
        <f ca="1">AVERAGE(OFFSET($BH$3,0,0,'Données projet'!$E$11+1,1))-AVERAGE(OFFSET($H$3,0,0,'Données projet'!$E$11+1,1))</f>
        <v>335.00873408144395</v>
      </c>
      <c r="BJ20" s="62">
        <f t="shared" si="38"/>
        <v>106.28577694955948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3.78125</v>
      </c>
      <c r="BY20" s="13">
        <f>IF('Données projet'!$A$114&gt;35,BY19+BX20-CG19,IF(A20&lt;'Données projet'!$A$114,$BV$205^A20,IF(A20='Données projet'!$A$114,'Données projet'!$B$114,BY19+BX20-CG19)))</f>
        <v>12.778495606489219</v>
      </c>
      <c r="BZ20" s="14">
        <f>BY20*VLOOKUP('Données projet'!$B$12,Paramètres!$A$1:$I$88,3,0)*VLOOKUP('Données projet'!$B$12,Paramètres!$A$1:$I$88,5,0)</f>
        <v>7.641540372680554</v>
      </c>
      <c r="CA20" s="14">
        <f t="shared" si="39"/>
        <v>2.7792698662486774</v>
      </c>
      <c r="CB20" s="22">
        <f t="shared" si="10"/>
        <v>18.149577832801743</v>
      </c>
      <c r="CC20" s="62">
        <f t="shared" si="11"/>
        <v>311.48291116613507</v>
      </c>
      <c r="CD20" s="62">
        <f ca="1">AVERAGE(OFFSET($CC$3,0,0,'Données projet'!$E$12+1,1))-AVERAGE(OFFSET($H$3,0,0,'Données projet'!$E$12+1,1))</f>
        <v>136.47709057888358</v>
      </c>
      <c r="CE20" s="62">
        <f t="shared" si="40"/>
        <v>99.705248792886493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3.7333333333333334</v>
      </c>
      <c r="CT20" s="13">
        <f>IF('Données projet'!$A$140&gt;35,CT19+CS20-DB19,IF(A20&lt;'Données projet'!$A$140,$CQ$205^A20,IF(A20='Données projet'!$A$140,'Données projet'!$B$140,CT19+CS20-DB19)))</f>
        <v>14.495177777823923</v>
      </c>
      <c r="CU20" s="18">
        <f>CT20*VLOOKUP('Données projet'!$B$13,Paramètres!$A$1:$I$88,3,0)*VLOOKUP('Données projet'!$B$13,Paramètres!$A$1:$I$88,5,0)</f>
        <v>6.9721805111333062</v>
      </c>
      <c r="CV20" s="14">
        <f t="shared" si="41"/>
        <v>2.5630234502539797</v>
      </c>
      <c r="CW20" s="22">
        <f t="shared" si="13"/>
        <v>16.60714689941619</v>
      </c>
      <c r="CX20" s="62">
        <f t="shared" si="14"/>
        <v>309.94048023274951</v>
      </c>
      <c r="CY20" s="62">
        <f ca="1">AVERAGE(OFFSET($CX$3,0,0,'Données projet'!$E$13+1,1))-AVERAGE(OFFSET($H$3,0,0,'Données projet'!$E$13+1,1))</f>
        <v>205.01234521498333</v>
      </c>
      <c r="CZ20" s="62">
        <f t="shared" si="42"/>
        <v>100.26042113972852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projet'!$B$13,Paramètres!$A$1:$I$88,3,0)*0.475*44/12</f>
        <v>0</v>
      </c>
      <c r="DG20" s="23">
        <f>EXP(-LN(2)/25)*DG19+(1-EXP(-LN(2)/25))/(LN(2)/25)*Calculateur!DB20*Calculateur!DD20*VLOOKUP('Données projet'!$B$13,Paramètres!$A$1:$I$88,3,0)*0.475*44/12</f>
        <v>0</v>
      </c>
      <c r="DH20" s="23">
        <f>EXP(-LN(2)/2)*DH19+(1-EXP(-LN(2)/2))/(LN(2)/2)*DB20*DE20*VLOOKUP('Données projet'!$B$13,Paramètres!$A$1:$I$88,3,0)*0.475*44/12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5.2650000000000023</v>
      </c>
      <c r="D21" s="12">
        <f t="shared" si="32"/>
        <v>1.9997682527873115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56.078912828533653</v>
      </c>
      <c r="H21" s="70">
        <f t="shared" si="1"/>
        <v>305.98613804027121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2.8</v>
      </c>
      <c r="N21" s="14">
        <f>IF('Données projet'!$A$36&gt;35,N20+M21-V20,IF(A21&lt;'Données projet'!$A$36,$K$205^A21,IF(A21='Données projet'!$A$36,'Données projet'!$B$36,N20+M21-V20)))</f>
        <v>37.442878125375486</v>
      </c>
      <c r="O21" s="14">
        <f>N21*VLOOKUP('Données projet'!$B$9,Paramètres!$A$1:$I$88,3,0)*VLOOKUP('Données projet'!$B$9,Paramètres!$A$1:$I$88,5,0)</f>
        <v>37.96707841913075</v>
      </c>
      <c r="P21" s="14">
        <f t="shared" si="33"/>
        <v>11.458196043028842</v>
      </c>
      <c r="Q21" s="22">
        <f t="shared" si="2"/>
        <v>86.082353021594614</v>
      </c>
      <c r="R21" s="62">
        <f t="shared" si="0"/>
        <v>379.41568635492791</v>
      </c>
      <c r="S21" s="62">
        <f ca="1">AVERAGE(OFFSET($R$3,0,0,'Données projet'!$E$9+1,1))-AVERAGE(OFFSET($H$3,0,0,'Données projet'!$E$9+1,1))</f>
        <v>167.90363814107491</v>
      </c>
      <c r="T21" s="62">
        <f t="shared" si="34"/>
        <v>174.92847878212234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</v>
      </c>
      <c r="AI21" s="14">
        <f>IF('Données projet'!$A$62&gt;35,AI20+AH21-AQ20,IF(A21&lt;'Données projet'!$A$62,$AF$205^A21,IF(A21='Données projet'!$A$62,'Données projet'!$B$62,AI20+AH21-AQ20)))</f>
        <v>37.442878125375486</v>
      </c>
      <c r="AJ21" s="14">
        <f>AI21*VLOOKUP('Données projet'!$B$10,Paramètres!$A$1:$I$88,3,0)*VLOOKUP('Données projet'!$B$10,Paramètres!$A$1:$I$88,5,0)</f>
        <v>40.303514014154175</v>
      </c>
      <c r="AK21" s="14">
        <f t="shared" si="35"/>
        <v>12.079057903322685</v>
      </c>
      <c r="AL21" s="22">
        <f t="shared" si="4"/>
        <v>91.232979422938854</v>
      </c>
      <c r="AM21" s="62">
        <f t="shared" si="5"/>
        <v>384.56631275627217</v>
      </c>
      <c r="AN21" s="62">
        <f ca="1">AVERAGE(OFFSET($AM$3,0,0,'Données projet'!$E$10+1,1))-AVERAGE(OFFSET($H$3,0,0,'Données projet'!$E$10+1,1))</f>
        <v>179.61236179838011</v>
      </c>
      <c r="AO21" s="62">
        <f t="shared" si="36"/>
        <v>186.66130555850333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1.4</v>
      </c>
      <c r="BD21" s="13">
        <f>IF('Données projet'!$A$88&gt;35,BD20+BC21-BL20,IF(A21&lt;'Données projet'!$A$88,$BA$205^A21,IF(A21='Données projet'!$A$88,'Données projet'!$B$88,BD20+BC21-BL20)))</f>
        <v>20.065141567879031</v>
      </c>
      <c r="BE21" s="14">
        <f>BD21*VLOOKUP('Données projet'!$B$11,Paramètres!$A$1:$I$88,3,0)*VLOOKUP('Données projet'!$B$11,Paramètres!$A$1:$I$88,5,0)</f>
        <v>9.3904862537673868</v>
      </c>
      <c r="BF21" s="14">
        <f t="shared" si="37"/>
        <v>3.3344119481738947</v>
      </c>
      <c r="BG21" s="22">
        <f t="shared" si="7"/>
        <v>22.162531035047731</v>
      </c>
      <c r="BH21" s="62">
        <f t="shared" si="8"/>
        <v>315.49586436838104</v>
      </c>
      <c r="BI21" s="62">
        <f ca="1">AVERAGE(OFFSET($BH$3,0,0,'Données projet'!$E$11+1,1))-AVERAGE(OFFSET($H$3,0,0,'Données projet'!$E$11+1,1))</f>
        <v>335.00873408144395</v>
      </c>
      <c r="BJ21" s="62">
        <f t="shared" si="38"/>
        <v>106.28577694955948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3.78125</v>
      </c>
      <c r="BY21" s="13">
        <f>IF('Données projet'!$A$114&gt;35,BY20+BX21-CG20,IF(A21&lt;'Données projet'!$A$114,$BV$205^A21,IF(A21='Données projet'!$A$114,'Données projet'!$B$114,BY20+BX21-CG20)))</f>
        <v>14.844540905914945</v>
      </c>
      <c r="BZ21" s="14">
        <f>BY21*VLOOKUP('Données projet'!$B$12,Paramètres!$A$1:$I$88,3,0)*VLOOKUP('Données projet'!$B$12,Paramètres!$A$1:$I$88,5,0)</f>
        <v>8.8770354617371385</v>
      </c>
      <c r="CA21" s="14">
        <f t="shared" si="39"/>
        <v>3.1727922038815248</v>
      </c>
      <c r="CB21" s="22">
        <f t="shared" si="10"/>
        <v>20.986783184285837</v>
      </c>
      <c r="CC21" s="62">
        <f t="shared" si="11"/>
        <v>314.32011651761917</v>
      </c>
      <c r="CD21" s="62">
        <f ca="1">AVERAGE(OFFSET($CC$3,0,0,'Données projet'!$E$12+1,1))-AVERAGE(OFFSET($H$3,0,0,'Données projet'!$E$12+1,1))</f>
        <v>136.47709057888358</v>
      </c>
      <c r="CE21" s="62">
        <f t="shared" si="40"/>
        <v>99.705248792886493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3.7333333333333334</v>
      </c>
      <c r="CT21" s="13">
        <f>IF('Données projet'!$A$140&gt;35,CT20+CS21-DB20,IF(A21&lt;'Données projet'!$A$140,$CQ$205^A21,IF(A21='Données projet'!$A$140,'Données projet'!$B$140,CT20+CS21-DB20)))</f>
        <v>16.964099598730531</v>
      </c>
      <c r="CU21" s="18">
        <f>CT21*VLOOKUP('Données projet'!$B$13,Paramètres!$A$1:$I$88,3,0)*VLOOKUP('Données projet'!$B$13,Paramètres!$A$1:$I$88,5,0)</f>
        <v>8.1597319069893857</v>
      </c>
      <c r="CV21" s="14">
        <f t="shared" si="41"/>
        <v>2.9451599174267282</v>
      </c>
      <c r="CW21" s="22">
        <f t="shared" si="13"/>
        <v>19.34101992752473</v>
      </c>
      <c r="CX21" s="62">
        <f t="shared" si="14"/>
        <v>312.67435326085803</v>
      </c>
      <c r="CY21" s="62">
        <f ca="1">AVERAGE(OFFSET($CX$3,0,0,'Données projet'!$E$13+1,1))-AVERAGE(OFFSET($H$3,0,0,'Données projet'!$E$13+1,1))</f>
        <v>205.01234521498333</v>
      </c>
      <c r="CZ21" s="62">
        <f t="shared" si="42"/>
        <v>100.26042113972852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projet'!$B$13,Paramètres!$A$1:$I$88,3,0)*0.475*44/12</f>
        <v>0</v>
      </c>
      <c r="DG21" s="23">
        <f>EXP(-LN(2)/25)*DG20+(1-EXP(-LN(2)/25))/(LN(2)/25)*Calculateur!DB21*Calculateur!DD21*VLOOKUP('Données projet'!$B$13,Paramètres!$A$1:$I$88,3,0)*0.475*44/12</f>
        <v>0</v>
      </c>
      <c r="DH21" s="23">
        <f>EXP(-LN(2)/2)*DH20+(1-EXP(-LN(2)/2))/(LN(2)/2)*DB21*DE21*VLOOKUP('Données projet'!$B$13,Paramètres!$A$1:$I$88,3,0)*0.475*44/12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5.5575000000000028</v>
      </c>
      <c r="D22" s="12">
        <f t="shared" si="32"/>
        <v>2.0976236252484122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59.092182370338641</v>
      </c>
      <c r="H22" s="70">
        <f t="shared" si="1"/>
        <v>306.66600698064099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2.8</v>
      </c>
      <c r="N22" s="14">
        <f>IF('Données projet'!$A$36&gt;35,N21+M22-V21,IF(A22&lt;'Données projet'!$A$36,$K$205^A22,IF(A22='Données projet'!$A$36,'Données projet'!$B$36,N21+M22-V21)))</f>
        <v>45.79084160638493</v>
      </c>
      <c r="O22" s="14">
        <f>N22*VLOOKUP('Données projet'!$B$9,Paramètres!$A$1:$I$88,3,0)*VLOOKUP('Données projet'!$B$9,Paramètres!$A$1:$I$88,5,0)</f>
        <v>46.431913388874321</v>
      </c>
      <c r="P22" s="14">
        <f t="shared" si="33"/>
        <v>13.688352972275437</v>
      </c>
      <c r="Q22" s="22">
        <f t="shared" si="2"/>
        <v>104.70946391233582</v>
      </c>
      <c r="R22" s="62">
        <f t="shared" si="0"/>
        <v>398.04279724566914</v>
      </c>
      <c r="S22" s="62">
        <f ca="1">AVERAGE(OFFSET($R$3,0,0,'Données projet'!$E$9+1,1))-AVERAGE(OFFSET($H$3,0,0,'Données projet'!$E$9+1,1))</f>
        <v>167.90363814107491</v>
      </c>
      <c r="T22" s="62">
        <f t="shared" si="34"/>
        <v>174.92847878212234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</v>
      </c>
      <c r="AI22" s="14">
        <f>IF('Données projet'!$A$62&gt;35,AI21+AH22-AQ21,IF(A22&lt;'Données projet'!$A$62,$AF$205^A22,IF(A22='Données projet'!$A$62,'Données projet'!$B$62,AI21+AH22-AQ21)))</f>
        <v>45.79084160638493</v>
      </c>
      <c r="AJ22" s="14">
        <f>AI22*VLOOKUP('Données projet'!$B$10,Paramètres!$A$1:$I$88,3,0)*VLOOKUP('Données projet'!$B$10,Paramètres!$A$1:$I$88,5,0)</f>
        <v>49.289261905112738</v>
      </c>
      <c r="AK22" s="14">
        <f t="shared" si="35"/>
        <v>14.430055789962537</v>
      </c>
      <c r="AL22" s="22">
        <f t="shared" si="4"/>
        <v>110.97781165225611</v>
      </c>
      <c r="AM22" s="62">
        <f t="shared" si="5"/>
        <v>404.31114498558941</v>
      </c>
      <c r="AN22" s="62">
        <f ca="1">AVERAGE(OFFSET($AM$3,0,0,'Données projet'!$E$10+1,1))-AVERAGE(OFFSET($H$3,0,0,'Données projet'!$E$10+1,1))</f>
        <v>179.61236179838011</v>
      </c>
      <c r="AO22" s="62">
        <f t="shared" si="36"/>
        <v>186.66130555850333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1.4</v>
      </c>
      <c r="BD22" s="13">
        <f>IF('Données projet'!$A$88&gt;35,BD21+BC22-BL21,IF(A22&lt;'Données projet'!$A$88,$BA$205^A22,IF(A22='Données projet'!$A$88,'Données projet'!$B$88,BD21+BC22-BL21)))</f>
        <v>23.702826074133306</v>
      </c>
      <c r="BE22" s="14">
        <f>BD22*VLOOKUP('Données projet'!$B$11,Paramètres!$A$1:$I$88,3,0)*VLOOKUP('Données projet'!$B$11,Paramètres!$A$1:$I$88,5,0)</f>
        <v>11.092922602694387</v>
      </c>
      <c r="BF22" s="14">
        <f t="shared" si="37"/>
        <v>3.8632667416767035</v>
      </c>
      <c r="BG22" s="22">
        <f t="shared" si="7"/>
        <v>26.048696441446314</v>
      </c>
      <c r="BH22" s="62">
        <f t="shared" si="8"/>
        <v>319.38202977477965</v>
      </c>
      <c r="BI22" s="62">
        <f ca="1">AVERAGE(OFFSET($BH$3,0,0,'Données projet'!$E$11+1,1))-AVERAGE(OFFSET($H$3,0,0,'Données projet'!$E$11+1,1))</f>
        <v>335.00873408144395</v>
      </c>
      <c r="BJ22" s="62">
        <f t="shared" si="38"/>
        <v>106.28577694955948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3.78125</v>
      </c>
      <c r="BY22" s="13">
        <f>IF('Données projet'!$A$114&gt;35,BY21+BX22-CG21,IF(A22&lt;'Données projet'!$A$114,$BV$205^A22,IF(A22='Données projet'!$A$114,'Données projet'!$B$114,BY21+BX22-CG21)))</f>
        <v>17.244627340598527</v>
      </c>
      <c r="BZ22" s="14">
        <f>BY22*VLOOKUP('Données projet'!$B$12,Paramètres!$A$1:$I$88,3,0)*VLOOKUP('Données projet'!$B$12,Paramètres!$A$1:$I$88,5,0)</f>
        <v>10.312287149677919</v>
      </c>
      <c r="CA22" s="14">
        <f t="shared" si="39"/>
        <v>3.6220341505011158</v>
      </c>
      <c r="CB22" s="22">
        <f t="shared" si="10"/>
        <v>24.268942931145151</v>
      </c>
      <c r="CC22" s="62">
        <f t="shared" si="11"/>
        <v>317.60227626447846</v>
      </c>
      <c r="CD22" s="62">
        <f ca="1">AVERAGE(OFFSET($CC$3,0,0,'Données projet'!$E$12+1,1))-AVERAGE(OFFSET($H$3,0,0,'Données projet'!$E$12+1,1))</f>
        <v>136.47709057888358</v>
      </c>
      <c r="CE22" s="62">
        <f t="shared" si="40"/>
        <v>99.705248792886493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3.7333333333333334</v>
      </c>
      <c r="CT22" s="13">
        <f>IF('Données projet'!$A$140&gt;35,CT21+CS22-DB21,IF(A22&lt;'Données projet'!$A$140,$CQ$205^A22,IF(A22='Données projet'!$A$140,'Données projet'!$B$140,CT21+CS22-DB21)))</f>
        <v>19.853545752017144</v>
      </c>
      <c r="CU22" s="18">
        <f>CT22*VLOOKUP('Données projet'!$B$13,Paramètres!$A$1:$I$88,3,0)*VLOOKUP('Données projet'!$B$13,Paramètres!$A$1:$I$88,5,0)</f>
        <v>9.549555506720246</v>
      </c>
      <c r="CV22" s="14">
        <f t="shared" si="41"/>
        <v>3.3842713918038774</v>
      </c>
      <c r="CW22" s="22">
        <f t="shared" si="13"/>
        <v>22.526415181596182</v>
      </c>
      <c r="CX22" s="62">
        <f t="shared" si="14"/>
        <v>315.85974851492949</v>
      </c>
      <c r="CY22" s="62">
        <f ca="1">AVERAGE(OFFSET($CX$3,0,0,'Données projet'!$E$13+1,1))-AVERAGE(OFFSET($H$3,0,0,'Données projet'!$E$13+1,1))</f>
        <v>205.01234521498333</v>
      </c>
      <c r="CZ22" s="62">
        <f t="shared" si="42"/>
        <v>100.26042113972852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projet'!$B$13,Paramètres!$A$1:$I$88,3,0)*0.475*44/12</f>
        <v>0</v>
      </c>
      <c r="DG22" s="23">
        <f>EXP(-LN(2)/25)*DG21+(1-EXP(-LN(2)/25))/(LN(2)/25)*Calculateur!DB22*Calculateur!DD22*VLOOKUP('Données projet'!$B$13,Paramètres!$A$1:$I$88,3,0)*0.475*44/12</f>
        <v>0</v>
      </c>
      <c r="DH22" s="23">
        <f>EXP(-LN(2)/2)*DH21+(1-EXP(-LN(2)/2))/(LN(2)/2)*DB22*DE22*VLOOKUP('Données projet'!$B$13,Paramètres!$A$1:$I$88,3,0)*0.475*44/12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5.8500000000000032</v>
      </c>
      <c r="D23" s="12">
        <f t="shared" si="32"/>
        <v>2.1948810459619112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62.100836144267419</v>
      </c>
      <c r="H23" s="70">
        <f t="shared" si="1"/>
        <v>307.34483448838364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56</v>
      </c>
      <c r="L23" s="13">
        <f>VLOOKUP(A23,'Données projet'!$A$35:$I$55,9,0)</f>
        <v>2.8</v>
      </c>
      <c r="M23" s="13">
        <f t="array" ref="M23">INDEX(L:L,MIN(IF(ISNUMBER(L23:L219),ROW(L23:L219),"")))</f>
        <v>2.8</v>
      </c>
      <c r="N23" s="14">
        <f>IF('Données projet'!$A$36&gt;35,N22+M23-V22,IF(A23&lt;'Données projet'!$A$36,$K$205^A23,IF(A23='Données projet'!$A$36,'Données projet'!$B$36,N22+M23-V22)))</f>
        <v>56</v>
      </c>
      <c r="O23" s="14">
        <f>N23*VLOOKUP('Données projet'!$B$9,Paramètres!$A$1:$I$88,3,0)*VLOOKUP('Données projet'!$B$9,Paramètres!$A$1:$I$88,5,0)</f>
        <v>56.783999999999999</v>
      </c>
      <c r="P23" s="14">
        <f t="shared" si="33"/>
        <v>16.352574732529362</v>
      </c>
      <c r="Q23" s="22">
        <f t="shared" si="2"/>
        <v>127.37953432582198</v>
      </c>
      <c r="R23" s="62">
        <f t="shared" si="0"/>
        <v>420.71286765915528</v>
      </c>
      <c r="S23" s="62">
        <f ca="1">AVERAGE(OFFSET($R$3,0,0,'Données projet'!$E$9+1,1))-AVERAGE(OFFSET($H$3,0,0,'Données projet'!$E$9+1,1))</f>
        <v>167.90363814107491</v>
      </c>
      <c r="T23" s="62">
        <f t="shared" si="34"/>
        <v>174.92847878212234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56</v>
      </c>
      <c r="AG23" s="13">
        <f>VLOOKUP(A23,'Données projet'!$A$61:$I$81,9,0)</f>
        <v>2.8</v>
      </c>
      <c r="AH23" s="13">
        <f t="array" ref="AH23">INDEX(AG:AG,MIN(IF(ISNUMBER(AG23:AG219),ROW(AG23:AG219),"")))</f>
        <v>2.8</v>
      </c>
      <c r="AI23" s="14">
        <f>IF('Données projet'!$A$62&gt;35,AI22+AH23-AQ22,IF(A23&lt;'Données projet'!$A$62,$AF$205^A23,IF(A23='Données projet'!$A$62,'Données projet'!$B$62,AI22+AH23-AQ22)))</f>
        <v>56</v>
      </c>
      <c r="AJ23" s="14">
        <f>AI23*VLOOKUP('Données projet'!$B$10,Paramètres!$A$1:$I$88,3,0)*VLOOKUP('Données projet'!$B$10,Paramètres!$A$1:$I$88,5,0)</f>
        <v>60.278400000000005</v>
      </c>
      <c r="AK23" s="14">
        <f t="shared" si="35"/>
        <v>17.238638291828391</v>
      </c>
      <c r="AL23" s="22">
        <f t="shared" si="4"/>
        <v>135.00884169160113</v>
      </c>
      <c r="AM23" s="62">
        <f t="shared" si="5"/>
        <v>428.34217502493448</v>
      </c>
      <c r="AN23" s="62">
        <f ca="1">AVERAGE(OFFSET($AM$3,0,0,'Données projet'!$E$10+1,1))-AVERAGE(OFFSET($H$3,0,0,'Données projet'!$E$10+1,1))</f>
        <v>179.61236179838011</v>
      </c>
      <c r="AO23" s="62">
        <f t="shared" si="36"/>
        <v>186.66130555850333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28</v>
      </c>
      <c r="BB23" s="13">
        <f>VLOOKUP(A23,'Données projet'!$A$87:$I$107,9,0)</f>
        <v>1.4</v>
      </c>
      <c r="BC23" s="13">
        <f t="array" ref="BC23">INDEX(BB:BB,MIN(IF(ISNUMBER(BB23:BB219),ROW(BB23:BB219),"")))</f>
        <v>1.4</v>
      </c>
      <c r="BD23" s="13">
        <f>IF('Données projet'!$A$88&gt;35,BD22+BC23-BL22,IF(A23&lt;'Données projet'!$A$88,$BA$205^A23,IF(A23='Données projet'!$A$88,'Données projet'!$B$88,BD22+BC23-BL22)))</f>
        <v>28</v>
      </c>
      <c r="BE23" s="14">
        <f>BD23*VLOOKUP('Données projet'!$B$11,Paramètres!$A$1:$I$88,3,0)*VLOOKUP('Données projet'!$B$11,Paramètres!$A$1:$I$88,5,0)</f>
        <v>13.104000000000001</v>
      </c>
      <c r="BF23" s="14">
        <f t="shared" si="37"/>
        <v>4.4760006109979793</v>
      </c>
      <c r="BG23" s="22">
        <f t="shared" si="7"/>
        <v>30.618501064154817</v>
      </c>
      <c r="BH23" s="62">
        <f t="shared" si="8"/>
        <v>323.95183439748814</v>
      </c>
      <c r="BI23" s="62">
        <f ca="1">AVERAGE(OFFSET($BH$3,0,0,'Données projet'!$E$11+1,1))-AVERAGE(OFFSET($H$3,0,0,'Données projet'!$E$11+1,1))</f>
        <v>335.00873408144395</v>
      </c>
      <c r="BJ23" s="62">
        <f t="shared" si="38"/>
        <v>106.28577694955948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3.78125</v>
      </c>
      <c r="BY23" s="13">
        <f>IF('Données projet'!$A$114&gt;35,BY22+BX23-CG22,IF(A23&lt;'Données projet'!$A$114,$BV$205^A23,IF(A23='Données projet'!$A$114,'Données projet'!$B$114,BY22+BX23-CG22)))</f>
        <v>20.032763155216571</v>
      </c>
      <c r="BZ23" s="14">
        <f>BY23*VLOOKUP('Données projet'!$B$12,Paramètres!$A$1:$I$88,3,0)*VLOOKUP('Données projet'!$B$12,Paramètres!$A$1:$I$88,5,0)</f>
        <v>11.97959236681951</v>
      </c>
      <c r="CA23" s="14">
        <f t="shared" si="39"/>
        <v>4.1348851561557334</v>
      </c>
      <c r="CB23" s="22">
        <f t="shared" si="10"/>
        <v>28.066048352515214</v>
      </c>
      <c r="CC23" s="62">
        <f t="shared" si="11"/>
        <v>321.39938168584854</v>
      </c>
      <c r="CD23" s="62">
        <f ca="1">AVERAGE(OFFSET($CC$3,0,0,'Données projet'!$E$12+1,1))-AVERAGE(OFFSET($H$3,0,0,'Données projet'!$E$12+1,1))</f>
        <v>136.47709057888358</v>
      </c>
      <c r="CE23" s="62">
        <f t="shared" si="40"/>
        <v>99.705248792886493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projet'!$B$12,Paramètres!$A$1:$I$88,3,0)*0.475*44/12</f>
        <v>0</v>
      </c>
      <c r="CL23" s="23">
        <f>EXP(-LN(2)/25)*CL22+(1-EXP(-LN(2)/25))/(LN(2)/25)*Calculateur!CG23*Calculateur!CI23*VLOOKUP('Données projet'!$B$12,Paramètres!$A$1:$I$88,3,0)*0.475*44/12</f>
        <v>0</v>
      </c>
      <c r="CM23" s="23">
        <f>EXP(-LN(2)/2)*CM22+(1-EXP(-LN(2)/2))/(LN(2)/2)*CG23*CJ23*VLOOKUP('Données projet'!$B$12,Paramètres!$A$1:$I$88,3,0)*0.475*44/12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3.7333333333333334</v>
      </c>
      <c r="CT23" s="13">
        <f>IF('Données projet'!$A$140&gt;35,CT22+CS23-DB22,IF(A23&lt;'Données projet'!$A$140,$CQ$205^A23,IF(A23='Données projet'!$A$140,'Données projet'!$B$140,CT22+CS23-DB22)))</f>
        <v>23.235142934254771</v>
      </c>
      <c r="CU23" s="18">
        <f>CT23*VLOOKUP('Données projet'!$B$13,Paramètres!$A$1:$I$88,3,0)*VLOOKUP('Données projet'!$B$13,Paramètres!$A$1:$I$88,5,0)</f>
        <v>11.176103751376544</v>
      </c>
      <c r="CV23" s="14">
        <f t="shared" si="41"/>
        <v>3.888852617344198</v>
      </c>
      <c r="CW23" s="22">
        <f t="shared" si="13"/>
        <v>26.238132342188624</v>
      </c>
      <c r="CX23" s="62">
        <f t="shared" si="14"/>
        <v>319.57146567552195</v>
      </c>
      <c r="CY23" s="62">
        <f ca="1">AVERAGE(OFFSET($CX$3,0,0,'Données projet'!$E$13+1,1))-AVERAGE(OFFSET($H$3,0,0,'Données projet'!$E$13+1,1))</f>
        <v>205.01234521498333</v>
      </c>
      <c r="CZ23" s="62">
        <f t="shared" si="42"/>
        <v>100.26042113972852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projet'!$B$13,Paramètres!$A$1:$I$88,3,0)*0.475*44/12</f>
        <v>0</v>
      </c>
      <c r="DG23" s="23">
        <f>EXP(-LN(2)/25)*DG22+(1-EXP(-LN(2)/25))/(LN(2)/25)*Calculateur!DB23*Calculateur!DD23*VLOOKUP('Données projet'!$B$13,Paramètres!$A$1:$I$88,3,0)*0.475*44/12</f>
        <v>0</v>
      </c>
      <c r="DH23" s="23">
        <f>EXP(-LN(2)/2)*DH22+(1-EXP(-LN(2)/2))/(LN(2)/2)*DB23*DE23*VLOOKUP('Données projet'!$B$13,Paramètres!$A$1:$I$88,3,0)*0.475*44/12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6.1425000000000036</v>
      </c>
      <c r="D24" s="12">
        <f t="shared" si="32"/>
        <v>2.2915738240799599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65.105131273599724</v>
      </c>
      <c r="H24" s="70">
        <f t="shared" si="1"/>
        <v>308.02267857693926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3.2</v>
      </c>
      <c r="N24" s="14">
        <f>IF('Données projet'!$A$36&gt;35,N23+M24-V23,IF(A24&lt;'Données projet'!$A$36,$K$205^A24,IF(A24='Données projet'!$A$36,'Données projet'!$B$36,N23+M24-V23)))</f>
        <v>59.2</v>
      </c>
      <c r="O24" s="14">
        <f>N24*VLOOKUP('Données projet'!$B$9,Paramètres!$A$1:$I$88,3,0)*VLOOKUP('Données projet'!$B$9,Paramètres!$A$1:$I$88,5,0)</f>
        <v>60.028800000000011</v>
      </c>
      <c r="P24" s="14">
        <f t="shared" si="33"/>
        <v>17.175550352716172</v>
      </c>
      <c r="Q24" s="22">
        <f t="shared" si="2"/>
        <v>134.46424353098067</v>
      </c>
      <c r="R24" s="62">
        <f t="shared" si="0"/>
        <v>427.79757686431401</v>
      </c>
      <c r="S24" s="62">
        <f ca="1">AVERAGE(OFFSET($R$3,0,0,'Données projet'!$E$9+1,1))-AVERAGE(OFFSET($H$3,0,0,'Données projet'!$E$9+1,1))</f>
        <v>167.90363814107491</v>
      </c>
      <c r="T24" s="62">
        <f t="shared" si="34"/>
        <v>174.92847878212234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3.2</v>
      </c>
      <c r="AI24" s="14">
        <f>IF('Données projet'!$A$62&gt;35,AI23+AH24-AQ23,IF(A24&lt;'Données projet'!$A$62,$AF$205^A24,IF(A24='Données projet'!$A$62,'Données projet'!$B$62,AI23+AH24-AQ23)))</f>
        <v>59.2</v>
      </c>
      <c r="AJ24" s="14">
        <f>AI24*VLOOKUP('Données projet'!$B$10,Paramètres!$A$1:$I$88,3,0)*VLOOKUP('Données projet'!$B$10,Paramètres!$A$1:$I$88,5,0)</f>
        <v>63.722880000000004</v>
      </c>
      <c r="AK24" s="14">
        <f t="shared" si="35"/>
        <v>18.106206810636149</v>
      </c>
      <c r="AL24" s="22">
        <f t="shared" si="4"/>
        <v>142.51899286185798</v>
      </c>
      <c r="AM24" s="62">
        <f t="shared" si="5"/>
        <v>435.85232619519127</v>
      </c>
      <c r="AN24" s="62">
        <f ca="1">AVERAGE(OFFSET($AM$3,0,0,'Données projet'!$E$10+1,1))-AVERAGE(OFFSET($H$3,0,0,'Données projet'!$E$10+1,1))</f>
        <v>179.61236179838011</v>
      </c>
      <c r="AO24" s="62">
        <f t="shared" si="36"/>
        <v>186.66130555850333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9.3000000000000007</v>
      </c>
      <c r="BD24" s="13">
        <f>IF('Données projet'!$A$88&gt;35,BD23+BC24-BL23,IF(A24&lt;'Données projet'!$A$88,$BA$205^A24,IF(A24='Données projet'!$A$88,'Données projet'!$B$88,BD23+BC24-BL23)))</f>
        <v>37.299999999999997</v>
      </c>
      <c r="BE24" s="14">
        <f>BD24*VLOOKUP('Données projet'!$B$11,Paramètres!$A$1:$I$88,3,0)*VLOOKUP('Données projet'!$B$11,Paramètres!$A$1:$I$88,5,0)</f>
        <v>17.456399999999999</v>
      </c>
      <c r="BF24" s="14">
        <f t="shared" si="37"/>
        <v>5.7669106730837063</v>
      </c>
      <c r="BG24" s="22">
        <f t="shared" si="7"/>
        <v>40.447266088954116</v>
      </c>
      <c r="BH24" s="62">
        <f t="shared" si="8"/>
        <v>333.78059942228742</v>
      </c>
      <c r="BI24" s="62">
        <f ca="1">AVERAGE(OFFSET($BH$3,0,0,'Données projet'!$E$11+1,1))-AVERAGE(OFFSET($H$3,0,0,'Données projet'!$E$11+1,1))</f>
        <v>335.00873408144395</v>
      </c>
      <c r="BJ24" s="62">
        <f t="shared" si="38"/>
        <v>106.28577694955948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3.78125</v>
      </c>
      <c r="BY24" s="13">
        <f>IF('Données projet'!$A$114&gt;35,BY23+BX24-CG23,IF(A24&lt;'Données projet'!$A$114,$BV$205^A24,IF(A24='Données projet'!$A$114,'Données projet'!$B$114,BY23+BX24-CG23)))</f>
        <v>23.27168872407039</v>
      </c>
      <c r="BZ24" s="14">
        <f>BY24*VLOOKUP('Données projet'!$B$12,Paramètres!$A$1:$I$88,3,0)*VLOOKUP('Données projet'!$B$12,Paramètres!$A$1:$I$88,5,0)</f>
        <v>13.916469856994095</v>
      </c>
      <c r="CA24" s="14">
        <f t="shared" si="39"/>
        <v>4.7203517537877362</v>
      </c>
      <c r="CB24" s="22">
        <f t="shared" si="10"/>
        <v>32.459130972111687</v>
      </c>
      <c r="CC24" s="62">
        <f t="shared" si="11"/>
        <v>325.79246430544498</v>
      </c>
      <c r="CD24" s="62">
        <f ca="1">AVERAGE(OFFSET($CC$3,0,0,'Données projet'!$E$12+1,1))-AVERAGE(OFFSET($H$3,0,0,'Données projet'!$E$12+1,1))</f>
        <v>136.47709057888358</v>
      </c>
      <c r="CE24" s="62">
        <f t="shared" si="40"/>
        <v>99.705248792886493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0</v>
      </c>
      <c r="CL24" s="23">
        <f>EXP(-LN(2)/25)*CL23+(1-EXP(-LN(2)/25))/(LN(2)/25)*Calculateur!CG24*Calculateur!CI24*VLOOKUP('Données projet'!$B$12,Paramètres!$A$1:$I$88,3,0)*0.475*44/12</f>
        <v>0</v>
      </c>
      <c r="CM24" s="23">
        <f>EXP(-LN(2)/2)*CM23+(1-EXP(-LN(2)/2))/(LN(2)/2)*CG24*CJ24*VLOOKUP('Données projet'!$B$12,Paramètres!$A$1:$I$88,3,0)*0.475*44/12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3.7333333333333334</v>
      </c>
      <c r="CT24" s="13">
        <f>IF('Données projet'!$A$140&gt;35,CT23+CS24-DB23,IF(A24&lt;'Données projet'!$A$140,$CQ$205^A24,IF(A24='Données projet'!$A$140,'Données projet'!$B$140,CT23+CS24-DB23)))</f>
        <v>27.19271781064084</v>
      </c>
      <c r="CU24" s="18">
        <f>CT24*VLOOKUP('Données projet'!$B$13,Paramètres!$A$1:$I$88,3,0)*VLOOKUP('Données projet'!$B$13,Paramètres!$A$1:$I$88,5,0)</f>
        <v>13.079697266918243</v>
      </c>
      <c r="CV24" s="14">
        <f t="shared" si="41"/>
        <v>4.4686648700959797</v>
      </c>
      <c r="CW24" s="22">
        <f t="shared" si="13"/>
        <v>30.563397388633103</v>
      </c>
      <c r="CX24" s="62">
        <f t="shared" si="14"/>
        <v>323.89673072196643</v>
      </c>
      <c r="CY24" s="62">
        <f ca="1">AVERAGE(OFFSET($CX$3,0,0,'Données projet'!$E$13+1,1))-AVERAGE(OFFSET($H$3,0,0,'Données projet'!$E$13+1,1))</f>
        <v>205.01234521498333</v>
      </c>
      <c r="CZ24" s="62">
        <f t="shared" si="42"/>
        <v>100.26042113972852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projet'!$B$13,Paramètres!$A$1:$I$88,3,0)*0.475*44/12</f>
        <v>0</v>
      </c>
      <c r="DG24" s="23">
        <f>EXP(-LN(2)/25)*DG23+(1-EXP(-LN(2)/25))/(LN(2)/25)*Calculateur!DB24*Calculateur!DD24*VLOOKUP('Données projet'!$B$13,Paramètres!$A$1:$I$88,3,0)*0.475*44/12</f>
        <v>0</v>
      </c>
      <c r="DH24" s="23">
        <f>EXP(-LN(2)/2)*DH23+(1-EXP(-LN(2)/2))/(LN(2)/2)*DB24*DE24*VLOOKUP('Données projet'!$B$13,Paramètres!$A$1:$I$88,3,0)*0.475*44/12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6.4350000000000041</v>
      </c>
      <c r="D25" s="12">
        <f t="shared" si="32"/>
        <v>2.3877319172016787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68.105299009977912</v>
      </c>
      <c r="H25" s="70">
        <f t="shared" si="1"/>
        <v>308.69959142245955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3.2</v>
      </c>
      <c r="N25" s="14">
        <f>IF('Données projet'!$A$36&gt;35,N24+M25-V24,IF(A25&lt;'Données projet'!$A$36,$K$205^A25,IF(A25='Données projet'!$A$36,'Données projet'!$B$36,N24+M25-V24)))</f>
        <v>62.400000000000006</v>
      </c>
      <c r="O25" s="14">
        <f>N25*VLOOKUP('Données projet'!$B$9,Paramètres!$A$1:$I$88,3,0)*VLOOKUP('Données projet'!$B$9,Paramètres!$A$1:$I$88,5,0)</f>
        <v>63.273600000000009</v>
      </c>
      <c r="P25" s="14">
        <f t="shared" si="33"/>
        <v>17.99336150025</v>
      </c>
      <c r="Q25" s="22">
        <f t="shared" si="2"/>
        <v>141.53995794626874</v>
      </c>
      <c r="R25" s="62">
        <f t="shared" si="0"/>
        <v>434.87329127960209</v>
      </c>
      <c r="S25" s="62">
        <f ca="1">AVERAGE(OFFSET($R$3,0,0,'Données projet'!$E$9+1,1))-AVERAGE(OFFSET($H$3,0,0,'Données projet'!$E$9+1,1))</f>
        <v>167.90363814107491</v>
      </c>
      <c r="T25" s="62">
        <f t="shared" si="34"/>
        <v>174.92847878212234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3.2</v>
      </c>
      <c r="AI25" s="14">
        <f>IF('Données projet'!$A$62&gt;35,AI24+AH25-AQ24,IF(A25&lt;'Données projet'!$A$62,$AF$205^A25,IF(A25='Données projet'!$A$62,'Données projet'!$B$62,AI24+AH25-AQ24)))</f>
        <v>62.400000000000006</v>
      </c>
      <c r="AJ25" s="14">
        <f>AI25*VLOOKUP('Données projet'!$B$10,Paramètres!$A$1:$I$88,3,0)*VLOOKUP('Données projet'!$B$10,Paramètres!$A$1:$I$88,5,0)</f>
        <v>67.167360000000002</v>
      </c>
      <c r="AK25" s="14">
        <f t="shared" si="35"/>
        <v>18.968331020062113</v>
      </c>
      <c r="AL25" s="22">
        <f t="shared" si="4"/>
        <v>150.01966185994152</v>
      </c>
      <c r="AM25" s="62">
        <f t="shared" si="5"/>
        <v>443.35299519327486</v>
      </c>
      <c r="AN25" s="62">
        <f ca="1">AVERAGE(OFFSET($AM$3,0,0,'Données projet'!$E$10+1,1))-AVERAGE(OFFSET($H$3,0,0,'Données projet'!$E$10+1,1))</f>
        <v>179.61236179838011</v>
      </c>
      <c r="AO25" s="62">
        <f t="shared" si="36"/>
        <v>186.66130555850333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9.3000000000000007</v>
      </c>
      <c r="BD25" s="13">
        <f>IF('Données projet'!$A$88&gt;35,BD24+BC25-BL24,IF(A25&lt;'Données projet'!$A$88,$BA$205^A25,IF(A25='Données projet'!$A$88,'Données projet'!$B$88,BD24+BC25-BL24)))</f>
        <v>46.599999999999994</v>
      </c>
      <c r="BE25" s="14">
        <f>BD25*VLOOKUP('Données projet'!$B$11,Paramètres!$A$1:$I$88,3,0)*VLOOKUP('Données projet'!$B$11,Paramètres!$A$1:$I$88,5,0)</f>
        <v>21.808799999999994</v>
      </c>
      <c r="BF25" s="14">
        <f t="shared" si="37"/>
        <v>7.0204846906618394</v>
      </c>
      <c r="BG25" s="22">
        <f t="shared" si="7"/>
        <v>50.211004169569357</v>
      </c>
      <c r="BH25" s="62">
        <f t="shared" si="8"/>
        <v>343.54433750290269</v>
      </c>
      <c r="BI25" s="62">
        <f ca="1">AVERAGE(OFFSET($BH$3,0,0,'Données projet'!$E$11+1,1))-AVERAGE(OFFSET($H$3,0,0,'Données projet'!$E$11+1,1))</f>
        <v>335.00873408144395</v>
      </c>
      <c r="BJ25" s="62">
        <f t="shared" si="38"/>
        <v>106.28577694955948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3.78125</v>
      </c>
      <c r="BY25" s="13">
        <f>IF('Données projet'!$A$114&gt;35,BY24+BX25-CG24,IF(A25&lt;'Données projet'!$A$114,$BV$205^A25,IF(A25='Données projet'!$A$114,'Données projet'!$B$114,BY24+BX25-CG24)))</f>
        <v>27.034288374192581</v>
      </c>
      <c r="BZ25" s="14">
        <f>BY25*VLOOKUP('Données projet'!$B$12,Paramètres!$A$1:$I$88,3,0)*VLOOKUP('Données projet'!$B$12,Paramètres!$A$1:$I$88,5,0)</f>
        <v>16.166504447767164</v>
      </c>
      <c r="CA25" s="14">
        <f t="shared" si="39"/>
        <v>5.3887157292181262</v>
      </c>
      <c r="CB25" s="22">
        <f t="shared" si="10"/>
        <v>37.542008474916045</v>
      </c>
      <c r="CC25" s="62">
        <f t="shared" si="11"/>
        <v>330.87534180824935</v>
      </c>
      <c r="CD25" s="62">
        <f ca="1">AVERAGE(OFFSET($CC$3,0,0,'Données projet'!$E$12+1,1))-AVERAGE(OFFSET($H$3,0,0,'Données projet'!$E$12+1,1))</f>
        <v>136.47709057888358</v>
      </c>
      <c r="CE25" s="62">
        <f t="shared" si="40"/>
        <v>99.705248792886493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0</v>
      </c>
      <c r="CL25" s="23">
        <f>EXP(-LN(2)/25)*CL24+(1-EXP(-LN(2)/25))/(LN(2)/25)*Calculateur!CG25*Calculateur!CI25*VLOOKUP('Données projet'!$B$12,Paramètres!$A$1:$I$88,3,0)*0.475*44/12</f>
        <v>0</v>
      </c>
      <c r="CM25" s="23">
        <f>EXP(-LN(2)/2)*CM24+(1-EXP(-LN(2)/2))/(LN(2)/2)*CG25*CJ25*VLOOKUP('Données projet'!$B$12,Paramètres!$A$1:$I$88,3,0)*0.475*44/12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3.7333333333333334</v>
      </c>
      <c r="CT25" s="13">
        <f>IF('Données projet'!$A$140&gt;35,CT24+CS25-DB24,IF(A25&lt;'Données projet'!$A$140,$CQ$205^A25,IF(A25='Données projet'!$A$140,'Données projet'!$B$140,CT24+CS25-DB24)))</f>
        <v>31.824375000465658</v>
      </c>
      <c r="CU25" s="18">
        <f>CT25*VLOOKUP('Données projet'!$B$13,Paramètres!$A$1:$I$88,3,0)*VLOOKUP('Données projet'!$B$13,Paramètres!$A$1:$I$88,5,0)</f>
        <v>15.307524375223982</v>
      </c>
      <c r="CV25" s="14">
        <f t="shared" si="41"/>
        <v>5.1349247930273281</v>
      </c>
      <c r="CW25" s="22">
        <f t="shared" si="13"/>
        <v>35.603932301371032</v>
      </c>
      <c r="CX25" s="62">
        <f t="shared" si="14"/>
        <v>328.93726563470432</v>
      </c>
      <c r="CY25" s="62">
        <f ca="1">AVERAGE(OFFSET($CX$3,0,0,'Données projet'!$E$13+1,1))-AVERAGE(OFFSET($H$3,0,0,'Données projet'!$E$13+1,1))</f>
        <v>205.01234521498333</v>
      </c>
      <c r="CZ25" s="62">
        <f t="shared" si="42"/>
        <v>100.26042113972852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projet'!$B$13,Paramètres!$A$1:$I$88,3,0)*0.475*44/12</f>
        <v>0</v>
      </c>
      <c r="DG25" s="23">
        <f>EXP(-LN(2)/25)*DG24+(1-EXP(-LN(2)/25))/(LN(2)/25)*Calculateur!DB25*Calculateur!DD25*VLOOKUP('Données projet'!$B$13,Paramètres!$A$1:$I$88,3,0)*0.475*44/12</f>
        <v>0</v>
      </c>
      <c r="DH25" s="23">
        <f>EXP(-LN(2)/2)*DH24+(1-EXP(-LN(2)/2))/(LN(2)/2)*DB25*DE25*VLOOKUP('Données projet'!$B$13,Paramètres!$A$1:$I$88,3,0)*0.475*44/12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6.7275000000000045</v>
      </c>
      <c r="D26" s="12">
        <f t="shared" si="32"/>
        <v>2.4833824055634124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71.101548393822881</v>
      </c>
      <c r="H26" s="70">
        <f t="shared" si="1"/>
        <v>309.37562018968958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3.2</v>
      </c>
      <c r="N26" s="14">
        <f>IF('Données projet'!$A$36&gt;35,N25+M26-V25,IF(A26&lt;'Données projet'!$A$36,$K$205^A26,IF(A26='Données projet'!$A$36,'Données projet'!$B$36,N25+M26-V25)))</f>
        <v>65.600000000000009</v>
      </c>
      <c r="O26" s="14">
        <f>N26*VLOOKUP('Données projet'!$B$9,Paramètres!$A$1:$I$88,3,0)*VLOOKUP('Données projet'!$B$9,Paramètres!$A$1:$I$88,5,0)</f>
        <v>66.518400000000014</v>
      </c>
      <c r="P26" s="14">
        <f t="shared" si="33"/>
        <v>18.806303232154438</v>
      </c>
      <c r="Q26" s="22">
        <f t="shared" si="2"/>
        <v>148.60719146266899</v>
      </c>
      <c r="R26" s="62">
        <f t="shared" si="0"/>
        <v>441.94052479600231</v>
      </c>
      <c r="S26" s="62">
        <f ca="1">AVERAGE(OFFSET($R$3,0,0,'Données projet'!$E$9+1,1))-AVERAGE(OFFSET($H$3,0,0,'Données projet'!$E$9+1,1))</f>
        <v>167.90363814107491</v>
      </c>
      <c r="T26" s="62">
        <f t="shared" si="34"/>
        <v>174.92847878212234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3.2</v>
      </c>
      <c r="AI26" s="14">
        <f>IF('Données projet'!$A$62&gt;35,AI25+AH26-AQ25,IF(A26&lt;'Données projet'!$A$62,$AF$205^A26,IF(A26='Données projet'!$A$62,'Données projet'!$B$62,AI25+AH26-AQ25)))</f>
        <v>65.600000000000009</v>
      </c>
      <c r="AJ26" s="14">
        <f>AI26*VLOOKUP('Données projet'!$B$10,Paramètres!$A$1:$I$88,3,0)*VLOOKUP('Données projet'!$B$10,Paramètres!$A$1:$I$88,5,0)</f>
        <v>70.611840000000001</v>
      </c>
      <c r="AK26" s="14">
        <f t="shared" si="35"/>
        <v>19.825321964782006</v>
      </c>
      <c r="AL26" s="22">
        <f t="shared" si="4"/>
        <v>157.51139042199532</v>
      </c>
      <c r="AM26" s="62">
        <f t="shared" si="5"/>
        <v>450.84472375532863</v>
      </c>
      <c r="AN26" s="62">
        <f ca="1">AVERAGE(OFFSET($AM$3,0,0,'Données projet'!$E$10+1,1))-AVERAGE(OFFSET($H$3,0,0,'Données projet'!$E$10+1,1))</f>
        <v>179.61236179838011</v>
      </c>
      <c r="AO26" s="62">
        <f t="shared" si="36"/>
        <v>186.66130555850333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9.3000000000000007</v>
      </c>
      <c r="BD26" s="13">
        <f>IF('Données projet'!$A$88&gt;35,BD25+BC26-BL25,IF(A26&lt;'Données projet'!$A$88,$BA$205^A26,IF(A26='Données projet'!$A$88,'Données projet'!$B$88,BD25+BC26-BL25)))</f>
        <v>55.899999999999991</v>
      </c>
      <c r="BE26" s="14">
        <f>BD26*VLOOKUP('Données projet'!$B$11,Paramètres!$A$1:$I$88,3,0)*VLOOKUP('Données projet'!$B$11,Paramètres!$A$1:$I$88,5,0)</f>
        <v>26.161199999999994</v>
      </c>
      <c r="BF26" s="14">
        <f t="shared" si="37"/>
        <v>8.2450705120606234</v>
      </c>
      <c r="BG26" s="22">
        <f t="shared" si="7"/>
        <v>59.924254475172233</v>
      </c>
      <c r="BH26" s="62">
        <f t="shared" si="8"/>
        <v>353.25758780850555</v>
      </c>
      <c r="BI26" s="62">
        <f ca="1">AVERAGE(OFFSET($BH$3,0,0,'Données projet'!$E$11+1,1))-AVERAGE(OFFSET($H$3,0,0,'Données projet'!$E$11+1,1))</f>
        <v>335.00873408144395</v>
      </c>
      <c r="BJ26" s="62">
        <f t="shared" si="38"/>
        <v>106.28577694955948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3.78125</v>
      </c>
      <c r="BY26" s="13">
        <f>IF('Données projet'!$A$114&gt;35,BY25+BX26-CG25,IF(A26&lt;'Données projet'!$A$114,$BV$205^A26,IF(A26='Données projet'!$A$114,'Données projet'!$B$114,BY25+BX26-CG25)))</f>
        <v>31.405230474016616</v>
      </c>
      <c r="BZ26" s="14">
        <f>BY26*VLOOKUP('Données projet'!$B$12,Paramètres!$A$1:$I$88,3,0)*VLOOKUP('Données projet'!$B$12,Paramètres!$A$1:$I$88,5,0)</f>
        <v>18.780327823461935</v>
      </c>
      <c r="CA26" s="14">
        <f t="shared" si="39"/>
        <v>6.1517146867332038</v>
      </c>
      <c r="CB26" s="22">
        <f t="shared" si="10"/>
        <v>43.423307371923194</v>
      </c>
      <c r="CC26" s="62">
        <f t="shared" si="11"/>
        <v>336.75664070525653</v>
      </c>
      <c r="CD26" s="62">
        <f ca="1">AVERAGE(OFFSET($CC$3,0,0,'Données projet'!$E$12+1,1))-AVERAGE(OFFSET($H$3,0,0,'Données projet'!$E$12+1,1))</f>
        <v>136.47709057888358</v>
      </c>
      <c r="CE26" s="62">
        <f t="shared" si="40"/>
        <v>99.705248792886493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0</v>
      </c>
      <c r="CL26" s="23">
        <f>EXP(-LN(2)/25)*CL25+(1-EXP(-LN(2)/25))/(LN(2)/25)*Calculateur!CG26*Calculateur!CI26*VLOOKUP('Données projet'!$B$12,Paramètres!$A$1:$I$88,3,0)*0.475*44/12</f>
        <v>0</v>
      </c>
      <c r="CM26" s="23">
        <f>EXP(-LN(2)/2)*CM25+(1-EXP(-LN(2)/2))/(LN(2)/2)*CG26*CJ26*VLOOKUP('Données projet'!$B$12,Paramètres!$A$1:$I$88,3,0)*0.475*44/12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3.7333333333333334</v>
      </c>
      <c r="CT26" s="13">
        <f>IF('Données projet'!$A$140&gt;35,CT25+CS26-DB25,IF(A26&lt;'Données projet'!$A$140,$CQ$205^A26,IF(A26='Données projet'!$A$140,'Données projet'!$B$140,CT25+CS26-DB25)))</f>
        <v>37.244928999849584</v>
      </c>
      <c r="CU26" s="18">
        <f>CT26*VLOOKUP('Données projet'!$B$13,Paramètres!$A$1:$I$88,3,0)*VLOOKUP('Données projet'!$B$13,Paramètres!$A$1:$I$88,5,0)</f>
        <v>17.914810848927651</v>
      </c>
      <c r="CV26" s="14">
        <f t="shared" si="41"/>
        <v>5.9005213853686014</v>
      </c>
      <c r="CW26" s="22">
        <f t="shared" si="13"/>
        <v>41.478370308065969</v>
      </c>
      <c r="CX26" s="62">
        <f t="shared" si="14"/>
        <v>334.81170364139928</v>
      </c>
      <c r="CY26" s="62">
        <f ca="1">AVERAGE(OFFSET($CX$3,0,0,'Données projet'!$E$13+1,1))-AVERAGE(OFFSET($H$3,0,0,'Données projet'!$E$13+1,1))</f>
        <v>205.01234521498333</v>
      </c>
      <c r="CZ26" s="62">
        <f t="shared" si="42"/>
        <v>100.26042113972852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projet'!$B$13,Paramètres!$A$1:$I$88,3,0)*0.475*44/12</f>
        <v>0</v>
      </c>
      <c r="DG26" s="23">
        <f>EXP(-LN(2)/25)*DG25+(1-EXP(-LN(2)/25))/(LN(2)/25)*Calculateur!DB26*Calculateur!DD26*VLOOKUP('Données projet'!$B$13,Paramètres!$A$1:$I$88,3,0)*0.475*44/12</f>
        <v>0</v>
      </c>
      <c r="DH26" s="23">
        <f>EXP(-LN(2)/2)*DH25+(1-EXP(-LN(2)/2))/(LN(2)/2)*DB26*DE26*VLOOKUP('Données projet'!$B$13,Paramètres!$A$1:$I$88,3,0)*0.475*44/12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7.0200000000000049</v>
      </c>
      <c r="D27" s="12">
        <f t="shared" si="32"/>
        <v>2.578549881434125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74.09406926019328</v>
      </c>
      <c r="H27" s="70">
        <f t="shared" si="1"/>
        <v>310.05080771016441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3.2</v>
      </c>
      <c r="N27" s="14">
        <f>IF('Données projet'!$A$36&gt;35,N26+M27-V26,IF(A27&lt;'Données projet'!$A$36,$K$205^A27,IF(A27='Données projet'!$A$36,'Données projet'!$B$36,N26+M27-V26)))</f>
        <v>68.800000000000011</v>
      </c>
      <c r="O27" s="14">
        <f>N27*VLOOKUP('Données projet'!$B$9,Paramètres!$A$1:$I$88,3,0)*VLOOKUP('Données projet'!$B$9,Paramètres!$A$1:$I$88,5,0)</f>
        <v>69.763200000000012</v>
      </c>
      <c r="P27" s="14">
        <f t="shared" si="33"/>
        <v>19.614640193079413</v>
      </c>
      <c r="Q27" s="22">
        <f t="shared" si="2"/>
        <v>155.66640500294668</v>
      </c>
      <c r="R27" s="62">
        <f t="shared" si="0"/>
        <v>448.99973833627996</v>
      </c>
      <c r="S27" s="62">
        <f ca="1">AVERAGE(OFFSET($R$3,0,0,'Données projet'!$E$9+1,1))-AVERAGE(OFFSET($H$3,0,0,'Données projet'!$E$9+1,1))</f>
        <v>167.90363814107491</v>
      </c>
      <c r="T27" s="62">
        <f t="shared" si="34"/>
        <v>174.92847878212234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3.2</v>
      </c>
      <c r="AI27" s="14">
        <f>IF('Données projet'!$A$62&gt;35,AI26+AH27-AQ26,IF(A27&lt;'Données projet'!$A$62,$AF$205^A27,IF(A27='Données projet'!$A$62,'Données projet'!$B$62,AI26+AH27-AQ26)))</f>
        <v>68.800000000000011</v>
      </c>
      <c r="AJ27" s="14">
        <f>AI27*VLOOKUP('Données projet'!$B$10,Paramètres!$A$1:$I$88,3,0)*VLOOKUP('Données projet'!$B$10,Paramètres!$A$1:$I$88,5,0)</f>
        <v>74.056319999999999</v>
      </c>
      <c r="AK27" s="14">
        <f t="shared" si="35"/>
        <v>20.677458629204768</v>
      </c>
      <c r="AL27" s="22">
        <f t="shared" si="4"/>
        <v>164.99466444586497</v>
      </c>
      <c r="AM27" s="62">
        <f t="shared" si="5"/>
        <v>458.32799777919831</v>
      </c>
      <c r="AN27" s="62">
        <f ca="1">AVERAGE(OFFSET($AM$3,0,0,'Données projet'!$E$10+1,1))-AVERAGE(OFFSET($H$3,0,0,'Données projet'!$E$10+1,1))</f>
        <v>179.61236179838011</v>
      </c>
      <c r="AO27" s="62">
        <f t="shared" si="36"/>
        <v>186.66130555850333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9.3000000000000007</v>
      </c>
      <c r="BD27" s="13">
        <f>IF('Données projet'!$A$88&gt;35,BD26+BC27-BL26,IF(A27&lt;'Données projet'!$A$88,$BA$205^A27,IF(A27='Données projet'!$A$88,'Données projet'!$B$88,BD26+BC27-BL26)))</f>
        <v>65.199999999999989</v>
      </c>
      <c r="BE27" s="14">
        <f>BD27*VLOOKUP('Données projet'!$B$11,Paramètres!$A$1:$I$88,3,0)*VLOOKUP('Données projet'!$B$11,Paramètres!$A$1:$I$88,5,0)</f>
        <v>30.513599999999993</v>
      </c>
      <c r="BF27" s="14">
        <f t="shared" si="37"/>
        <v>9.4460551368326566</v>
      </c>
      <c r="BG27" s="22">
        <f t="shared" si="7"/>
        <v>69.596399363316863</v>
      </c>
      <c r="BH27" s="62">
        <f t="shared" si="8"/>
        <v>362.92973269665015</v>
      </c>
      <c r="BI27" s="62">
        <f ca="1">AVERAGE(OFFSET($BH$3,0,0,'Données projet'!$E$11+1,1))-AVERAGE(OFFSET($H$3,0,0,'Données projet'!$E$11+1,1))</f>
        <v>335.00873408144395</v>
      </c>
      <c r="BJ27" s="62">
        <f t="shared" si="38"/>
        <v>106.28577694955948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3.78125</v>
      </c>
      <c r="BY27" s="13">
        <f>IF('Données projet'!$A$114&gt;35,BY26+BX27-CG26,IF(A27&lt;'Données projet'!$A$114,$BV$205^A27,IF(A27='Données projet'!$A$114,'Données projet'!$B$114,BY26+BX27-CG26)))</f>
        <v>36.482872693909357</v>
      </c>
      <c r="BZ27" s="14">
        <f>BY27*VLOOKUP('Données projet'!$B$12,Paramètres!$A$1:$I$88,3,0)*VLOOKUP('Données projet'!$B$12,Paramètres!$A$1:$I$88,5,0)</f>
        <v>21.816757870957797</v>
      </c>
      <c r="CA27" s="14">
        <f t="shared" si="39"/>
        <v>7.022748181311079</v>
      </c>
      <c r="CB27" s="22">
        <f t="shared" si="10"/>
        <v>50.228806374368297</v>
      </c>
      <c r="CC27" s="62">
        <f t="shared" si="11"/>
        <v>343.56213970770159</v>
      </c>
      <c r="CD27" s="62">
        <f ca="1">AVERAGE(OFFSET($CC$3,0,0,'Données projet'!$E$12+1,1))-AVERAGE(OFFSET($H$3,0,0,'Données projet'!$E$12+1,1))</f>
        <v>136.47709057888358</v>
      </c>
      <c r="CE27" s="62">
        <f t="shared" si="40"/>
        <v>99.705248792886493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0</v>
      </c>
      <c r="CL27" s="23">
        <f>EXP(-LN(2)/25)*CL26+(1-EXP(-LN(2)/25))/(LN(2)/25)*Calculateur!CG27*Calculateur!CI27*VLOOKUP('Données projet'!$B$12,Paramètres!$A$1:$I$88,3,0)*0.475*44/12</f>
        <v>0</v>
      </c>
      <c r="CM27" s="23">
        <f>EXP(-LN(2)/2)*CM26+(1-EXP(-LN(2)/2))/(LN(2)/2)*CG27*CJ27*VLOOKUP('Données projet'!$B$12,Paramètres!$A$1:$I$88,3,0)*0.475*44/12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3.7333333333333334</v>
      </c>
      <c r="CT27" s="13">
        <f>IF('Données projet'!$A$140&gt;35,CT26+CS27-DB26,IF(A27&lt;'Données projet'!$A$140,$CQ$205^A27,IF(A27='Données projet'!$A$140,'Données projet'!$B$140,CT26+CS27-DB26)))</f>
        <v>43.588750326865465</v>
      </c>
      <c r="CU27" s="18">
        <f>CT27*VLOOKUP('Données projet'!$B$13,Paramètres!$A$1:$I$88,3,0)*VLOOKUP('Données projet'!$B$13,Paramètres!$A$1:$I$88,5,0)</f>
        <v>20.966188907222293</v>
      </c>
      <c r="CV27" s="14">
        <f t="shared" si="41"/>
        <v>6.7802653441913607</v>
      </c>
      <c r="CW27" s="22">
        <f t="shared" si="13"/>
        <v>48.325074487878773</v>
      </c>
      <c r="CX27" s="62">
        <f t="shared" si="14"/>
        <v>341.65840782121211</v>
      </c>
      <c r="CY27" s="62">
        <f ca="1">AVERAGE(OFFSET($CX$3,0,0,'Données projet'!$E$13+1,1))-AVERAGE(OFFSET($H$3,0,0,'Données projet'!$E$13+1,1))</f>
        <v>205.01234521498333</v>
      </c>
      <c r="CZ27" s="62">
        <f t="shared" si="42"/>
        <v>100.26042113972852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projet'!$B$13,Paramètres!$A$1:$I$88,3,0)*0.475*44/12</f>
        <v>0</v>
      </c>
      <c r="DG27" s="23">
        <f>EXP(-LN(2)/25)*DG26+(1-EXP(-LN(2)/25))/(LN(2)/25)*Calculateur!DB27*Calculateur!DD27*VLOOKUP('Données projet'!$B$13,Paramètres!$A$1:$I$88,3,0)*0.475*44/12</f>
        <v>0</v>
      </c>
      <c r="DH27" s="23">
        <f>EXP(-LN(2)/2)*DH26+(1-EXP(-LN(2)/2))/(LN(2)/2)*DB27*DE27*VLOOKUP('Données projet'!$B$13,Paramètres!$A$1:$I$88,3,0)*0.475*44/12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7.3125000000000053</v>
      </c>
      <c r="D28" s="12">
        <f t="shared" si="32"/>
        <v>2.6732567717828197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77.083034729551628</v>
      </c>
      <c r="H28" s="70">
        <f t="shared" si="1"/>
        <v>310.72519304418842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72</v>
      </c>
      <c r="L28" s="13">
        <f>VLOOKUP(A28,'Données projet'!$A$35:$I$55,9,0)</f>
        <v>3.2</v>
      </c>
      <c r="M28" s="13">
        <f t="array" ref="M28">INDEX(L:L,MIN(IF(ISNUMBER(L28:L224),ROW(L28:L224),"")))</f>
        <v>3.2</v>
      </c>
      <c r="N28" s="14">
        <f>IF('Données projet'!$A$36&gt;35,N27+M28-V27,IF(A28&lt;'Données projet'!$A$36,$K$205^A28,IF(A28='Données projet'!$A$36,'Données projet'!$B$36,N27+M28-V27)))</f>
        <v>72.000000000000014</v>
      </c>
      <c r="O28" s="14">
        <f>N28*VLOOKUP('Données projet'!$B$9,Paramètres!$A$1:$I$88,3,0)*VLOOKUP('Données projet'!$B$9,Paramètres!$A$1:$I$88,5,0)</f>
        <v>73.008000000000024</v>
      </c>
      <c r="P28" s="14">
        <f t="shared" si="33"/>
        <v>20.418611018263654</v>
      </c>
      <c r="Q28" s="22">
        <f t="shared" si="2"/>
        <v>162.71801419014258</v>
      </c>
      <c r="R28" s="62">
        <f t="shared" si="0"/>
        <v>456.0513475234759</v>
      </c>
      <c r="S28" s="62">
        <f ca="1">AVERAGE(OFFSET($R$3,0,0,'Données projet'!$E$9+1,1))-AVERAGE(OFFSET($H$3,0,0,'Données projet'!$E$9+1,1))</f>
        <v>167.90363814107491</v>
      </c>
      <c r="T28" s="62">
        <f t="shared" si="34"/>
        <v>174.92847878212234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72</v>
      </c>
      <c r="AG28" s="13">
        <f>VLOOKUP(A28,'Données projet'!$A$61:$I$81,9,0)</f>
        <v>3.2</v>
      </c>
      <c r="AH28" s="13">
        <f t="array" ref="AH28">INDEX(AG:AG,MIN(IF(ISNUMBER(AG28:AG224),ROW(AG28:AG224),"")))</f>
        <v>3.2</v>
      </c>
      <c r="AI28" s="14">
        <f>IF('Données projet'!$A$62&gt;35,AI27+AH28-AQ27,IF(A28&lt;'Données projet'!$A$62,$AF$205^A28,IF(A28='Données projet'!$A$62,'Données projet'!$B$62,AI27+AH28-AQ27)))</f>
        <v>72.000000000000014</v>
      </c>
      <c r="AJ28" s="14">
        <f>AI28*VLOOKUP('Données projet'!$B$10,Paramètres!$A$1:$I$88,3,0)*VLOOKUP('Données projet'!$B$10,Paramètres!$A$1:$I$88,5,0)</f>
        <v>77.500800000000012</v>
      </c>
      <c r="AK28" s="14">
        <f t="shared" si="35"/>
        <v>21.524992579009275</v>
      </c>
      <c r="AL28" s="22">
        <f t="shared" si="4"/>
        <v>172.46992207510786</v>
      </c>
      <c r="AM28" s="62">
        <f t="shared" si="5"/>
        <v>465.80325540844115</v>
      </c>
      <c r="AN28" s="62">
        <f ca="1">AVERAGE(OFFSET($AM$3,0,0,'Données projet'!$E$10+1,1))-AVERAGE(OFFSET($H$3,0,0,'Données projet'!$E$10+1,1))</f>
        <v>179.61236179838011</v>
      </c>
      <c r="AO28" s="62">
        <f t="shared" si="36"/>
        <v>186.66130555850333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9.3000000000000007</v>
      </c>
      <c r="BD28" s="13">
        <f>IF('Données projet'!$A$88&gt;35,BD27+BC28-BL27,IF(A28&lt;'Données projet'!$A$88,$BA$205^A28,IF(A28='Données projet'!$A$88,'Données projet'!$B$88,BD27+BC28-BL27)))</f>
        <v>74.499999999999986</v>
      </c>
      <c r="BE28" s="14">
        <f>BD28*VLOOKUP('Données projet'!$B$11,Paramètres!$A$1:$I$88,3,0)*VLOOKUP('Données projet'!$B$11,Paramètres!$A$1:$I$88,5,0)</f>
        <v>34.865999999999993</v>
      </c>
      <c r="BF28" s="14">
        <f t="shared" si="37"/>
        <v>10.627193376648185</v>
      </c>
      <c r="BG28" s="22">
        <f t="shared" si="7"/>
        <v>79.233978464328899</v>
      </c>
      <c r="BH28" s="62">
        <f t="shared" si="8"/>
        <v>372.56731179766223</v>
      </c>
      <c r="BI28" s="62">
        <f ca="1">AVERAGE(OFFSET($BH$3,0,0,'Données projet'!$E$11+1,1))-AVERAGE(OFFSET($H$3,0,0,'Données projet'!$E$11+1,1))</f>
        <v>335.00873408144395</v>
      </c>
      <c r="BJ28" s="62">
        <f t="shared" si="38"/>
        <v>106.28577694955948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3.78125</v>
      </c>
      <c r="BY28" s="13">
        <f>IF('Données projet'!$A$114&gt;35,BY27+BX28-CG27,IF(A28&lt;'Données projet'!$A$114,$BV$205^A28,IF(A28='Données projet'!$A$114,'Données projet'!$B$114,BY27+BX28-CG27)))</f>
        <v>42.381475311929691</v>
      </c>
      <c r="BZ28" s="14">
        <f>BY28*VLOOKUP('Données projet'!$B$12,Paramètres!$A$1:$I$88,3,0)*VLOOKUP('Données projet'!$B$12,Paramètres!$A$1:$I$88,5,0)</f>
        <v>25.344122236533956</v>
      </c>
      <c r="CA28" s="14">
        <f t="shared" si="39"/>
        <v>8.0171130375193496</v>
      </c>
      <c r="CB28" s="22">
        <f t="shared" si="10"/>
        <v>58.104151435642841</v>
      </c>
      <c r="CC28" s="62">
        <f t="shared" si="11"/>
        <v>351.43748476897616</v>
      </c>
      <c r="CD28" s="62">
        <f ca="1">AVERAGE(OFFSET($CC$3,0,0,'Données projet'!$E$12+1,1))-AVERAGE(OFFSET($H$3,0,0,'Données projet'!$E$12+1,1))</f>
        <v>136.47709057888358</v>
      </c>
      <c r="CE28" s="62">
        <f t="shared" si="40"/>
        <v>99.705248792886493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0</v>
      </c>
      <c r="CL28" s="23">
        <f>EXP(-LN(2)/25)*CL27+(1-EXP(-LN(2)/25))/(LN(2)/25)*Calculateur!CG28*Calculateur!CI28*VLOOKUP('Données projet'!$B$12,Paramètres!$A$1:$I$88,3,0)*0.475*44/12</f>
        <v>0</v>
      </c>
      <c r="CM28" s="23">
        <f>EXP(-LN(2)/2)*CM27+(1-EXP(-LN(2)/2))/(LN(2)/2)*CG28*CJ28*VLOOKUP('Données projet'!$B$12,Paramètres!$A$1:$I$88,3,0)*0.475*44/12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3.7333333333333334</v>
      </c>
      <c r="CT28" s="13">
        <f>IF('Données projet'!$A$140&gt;35,CT27+CS28-DB27,IF(A28&lt;'Données projet'!$A$140,$CQ$205^A28,IF(A28='Données projet'!$A$140,'Données projet'!$B$140,CT27+CS28-DB27)))</f>
        <v>51.013096442350239</v>
      </c>
      <c r="CU28" s="18">
        <f>CT28*VLOOKUP('Données projet'!$B$13,Paramètres!$A$1:$I$88,3,0)*VLOOKUP('Données projet'!$B$13,Paramètres!$A$1:$I$88,5,0)</f>
        <v>24.537299388770464</v>
      </c>
      <c r="CV28" s="14">
        <f t="shared" si="41"/>
        <v>7.7911755818118369</v>
      </c>
      <c r="CW28" s="22">
        <f t="shared" si="13"/>
        <v>56.305427240430838</v>
      </c>
      <c r="CX28" s="62">
        <f t="shared" si="14"/>
        <v>349.63876057376416</v>
      </c>
      <c r="CY28" s="62">
        <f ca="1">AVERAGE(OFFSET($CX$3,0,0,'Données projet'!$E$13+1,1))-AVERAGE(OFFSET($H$3,0,0,'Données projet'!$E$13+1,1))</f>
        <v>205.01234521498333</v>
      </c>
      <c r="CZ28" s="62">
        <f t="shared" si="42"/>
        <v>100.26042113972852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projet'!$B$13,Paramètres!$A$1:$I$88,3,0)*0.475*44/12</f>
        <v>0</v>
      </c>
      <c r="DG28" s="23">
        <f>EXP(-LN(2)/25)*DG27+(1-EXP(-LN(2)/25))/(LN(2)/25)*Calculateur!DB28*Calculateur!DD28*VLOOKUP('Données projet'!$B$13,Paramètres!$A$1:$I$88,3,0)*0.475*44/12</f>
        <v>0</v>
      </c>
      <c r="DH28" s="23">
        <f>EXP(-LN(2)/2)*DH27+(1-EXP(-LN(2)/2))/(LN(2)/2)*DB28*DE28*VLOOKUP('Données projet'!$B$13,Paramètres!$A$1:$I$88,3,0)*0.475*44/12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7.6050000000000058</v>
      </c>
      <c r="D29" s="12">
        <f t="shared" si="32"/>
        <v>2.7675236078659355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80.068603288789731</v>
      </c>
      <c r="H29" s="70">
        <f t="shared" si="1"/>
        <v>311.39881195036651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</v>
      </c>
      <c r="N29" s="14">
        <f>IF('Données projet'!$A$36&gt;35,N28+M29-V28,IF(A29&lt;'Données projet'!$A$36,$K$205^A29,IF(A29='Données projet'!$A$36,'Données projet'!$B$36,N28+M29-V28)))</f>
        <v>75.000000000000014</v>
      </c>
      <c r="O29" s="14">
        <f>N29*VLOOKUP('Données projet'!$B$9,Paramètres!$A$1:$I$88,3,0)*VLOOKUP('Données projet'!$B$9,Paramètres!$A$1:$I$88,5,0)</f>
        <v>76.050000000000026</v>
      </c>
      <c r="P29" s="14">
        <f t="shared" si="33"/>
        <v>21.16856089074928</v>
      </c>
      <c r="Q29" s="22">
        <f t="shared" si="2"/>
        <v>169.32232688472169</v>
      </c>
      <c r="R29" s="62">
        <f t="shared" si="0"/>
        <v>462.655660218055</v>
      </c>
      <c r="S29" s="62">
        <f ca="1">AVERAGE(OFFSET($R$3,0,0,'Données projet'!$E$9+1,1))-AVERAGE(OFFSET($H$3,0,0,'Données projet'!$E$9+1,1))</f>
        <v>167.90363814107491</v>
      </c>
      <c r="T29" s="62">
        <f t="shared" si="34"/>
        <v>174.92847878212234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3</v>
      </c>
      <c r="AI29" s="14">
        <f>IF('Données projet'!$A$62&gt;35,AI28+AH29-AQ28,IF(A29&lt;'Données projet'!$A$62,$AF$205^A29,IF(A29='Données projet'!$A$62,'Données projet'!$B$62,AI28+AH29-AQ28)))</f>
        <v>75.000000000000014</v>
      </c>
      <c r="AJ29" s="14">
        <f>AI29*VLOOKUP('Données projet'!$B$10,Paramètres!$A$1:$I$88,3,0)*VLOOKUP('Données projet'!$B$10,Paramètres!$A$1:$I$88,5,0)</f>
        <v>80.730000000000018</v>
      </c>
      <c r="AK29" s="14">
        <f t="shared" si="35"/>
        <v>22.315578453114171</v>
      </c>
      <c r="AL29" s="22">
        <f t="shared" si="4"/>
        <v>179.47104913917386</v>
      </c>
      <c r="AM29" s="62">
        <f t="shared" si="5"/>
        <v>472.8043824725072</v>
      </c>
      <c r="AN29" s="62">
        <f ca="1">AVERAGE(OFFSET($AM$3,0,0,'Données projet'!$E$10+1,1))-AVERAGE(OFFSET($H$3,0,0,'Données projet'!$E$10+1,1))</f>
        <v>179.61236179838011</v>
      </c>
      <c r="AO29" s="62">
        <f t="shared" si="36"/>
        <v>186.66130555850333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9.3000000000000007</v>
      </c>
      <c r="BD29" s="13">
        <f>IF('Données projet'!$A$88&gt;35,BD28+BC29-BL28,IF(A29&lt;'Données projet'!$A$88,$BA$205^A29,IF(A29='Données projet'!$A$88,'Données projet'!$B$88,BD28+BC29-BL28)))</f>
        <v>83.799999999999983</v>
      </c>
      <c r="BE29" s="14">
        <f>BD29*VLOOKUP('Données projet'!$B$11,Paramètres!$A$1:$I$88,3,0)*VLOOKUP('Données projet'!$B$11,Paramètres!$A$1:$I$88,5,0)</f>
        <v>39.218399999999988</v>
      </c>
      <c r="BF29" s="14">
        <f t="shared" si="37"/>
        <v>11.7912464178037</v>
      </c>
      <c r="BG29" s="22">
        <f t="shared" si="7"/>
        <v>88.841800844341421</v>
      </c>
      <c r="BH29" s="62">
        <f t="shared" si="8"/>
        <v>382.17513417767475</v>
      </c>
      <c r="BI29" s="62">
        <f ca="1">AVERAGE(OFFSET($BH$3,0,0,'Données projet'!$E$11+1,1))-AVERAGE(OFFSET($H$3,0,0,'Données projet'!$E$11+1,1))</f>
        <v>335.00873408144395</v>
      </c>
      <c r="BJ29" s="62">
        <f t="shared" si="38"/>
        <v>106.28577694955948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3.78125</v>
      </c>
      <c r="BY29" s="13">
        <f>IF('Données projet'!$A$114&gt;35,BY28+BX29-CG28,IF(A29&lt;'Données projet'!$A$114,$BV$205^A29,IF(A29='Données projet'!$A$114,'Données projet'!$B$114,BY28+BX29-CG28)))</f>
        <v>49.233772370002292</v>
      </c>
      <c r="BZ29" s="14">
        <f>BY29*VLOOKUP('Données projet'!$B$12,Paramètres!$A$1:$I$88,3,0)*VLOOKUP('Données projet'!$B$12,Paramètres!$A$1:$I$88,5,0)</f>
        <v>29.441795877261374</v>
      </c>
      <c r="CA29" s="14">
        <f t="shared" si="39"/>
        <v>9.152271987682667</v>
      </c>
      <c r="CB29" s="22">
        <f t="shared" si="10"/>
        <v>67.218001531444202</v>
      </c>
      <c r="CC29" s="62">
        <f t="shared" si="11"/>
        <v>360.55133486477752</v>
      </c>
      <c r="CD29" s="62">
        <f ca="1">AVERAGE(OFFSET($CC$3,0,0,'Données projet'!$E$12+1,1))-AVERAGE(OFFSET($H$3,0,0,'Données projet'!$E$12+1,1))</f>
        <v>136.47709057888358</v>
      </c>
      <c r="CE29" s="62">
        <f t="shared" si="40"/>
        <v>99.705248792886493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0</v>
      </c>
      <c r="CL29" s="23">
        <f>EXP(-LN(2)/25)*CL28+(1-EXP(-LN(2)/25))/(LN(2)/25)*Calculateur!CG29*Calculateur!CI29*VLOOKUP('Données projet'!$B$12,Paramètres!$A$1:$I$88,3,0)*0.475*44/12</f>
        <v>0</v>
      </c>
      <c r="CM29" s="23">
        <f>EXP(-LN(2)/2)*CM28+(1-EXP(-LN(2)/2))/(LN(2)/2)*CG29*CJ29*VLOOKUP('Données projet'!$B$12,Paramètres!$A$1:$I$88,3,0)*0.475*44/12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3.7333333333333334</v>
      </c>
      <c r="CT29" s="13">
        <f>IF('Données projet'!$A$140&gt;35,CT28+CS29-DB28,IF(A29&lt;'Données projet'!$A$140,$CQ$205^A29,IF(A29='Données projet'!$A$140,'Données projet'!$B$140,CT28+CS29-DB28)))</f>
        <v>59.702010016850721</v>
      </c>
      <c r="CU29" s="18">
        <f>CT29*VLOOKUP('Données projet'!$B$13,Paramètres!$A$1:$I$88,3,0)*VLOOKUP('Données projet'!$B$13,Paramètres!$A$1:$I$88,5,0)</f>
        <v>28.7166668181052</v>
      </c>
      <c r="CV29" s="14">
        <f t="shared" si="41"/>
        <v>8.9528084617845618</v>
      </c>
      <c r="CW29" s="22">
        <f t="shared" si="13"/>
        <v>65.607669445808</v>
      </c>
      <c r="CX29" s="62">
        <f t="shared" si="14"/>
        <v>358.94100277914129</v>
      </c>
      <c r="CY29" s="62">
        <f ca="1">AVERAGE(OFFSET($CX$3,0,0,'Données projet'!$E$13+1,1))-AVERAGE(OFFSET($H$3,0,0,'Données projet'!$E$13+1,1))</f>
        <v>205.01234521498333</v>
      </c>
      <c r="CZ29" s="62">
        <f t="shared" si="42"/>
        <v>100.26042113972852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projet'!$B$13,Paramètres!$A$1:$I$88,3,0)*0.475*44/12</f>
        <v>0</v>
      </c>
      <c r="DG29" s="23">
        <f>EXP(-LN(2)/25)*DG28+(1-EXP(-LN(2)/25))/(LN(2)/25)*Calculateur!DB29*Calculateur!DD29*VLOOKUP('Données projet'!$B$13,Paramètres!$A$1:$I$88,3,0)*0.475*44/12</f>
        <v>0</v>
      </c>
      <c r="DH29" s="23">
        <f>EXP(-LN(2)/2)*DH28+(1-EXP(-LN(2)/2))/(LN(2)/2)*DB29*DE29*VLOOKUP('Données projet'!$B$13,Paramètres!$A$1:$I$88,3,0)*0.475*44/12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7.8975000000000062</v>
      </c>
      <c r="D30" s="12">
        <f t="shared" si="32"/>
        <v>2.8613692521731844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83.050920543091308</v>
      </c>
      <c r="H30" s="70">
        <f t="shared" si="1"/>
        <v>312.07169728086831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3</v>
      </c>
      <c r="N30" s="14">
        <f>IF('Données projet'!$A$36&gt;35,N29+M30-V29,IF(A30&lt;'Données projet'!$A$36,$K$205^A30,IF(A30='Données projet'!$A$36,'Données projet'!$B$36,N29+M30-V29)))</f>
        <v>78.000000000000014</v>
      </c>
      <c r="O30" s="14">
        <f>N30*VLOOKUP('Données projet'!$B$9,Paramètres!$A$1:$I$88,3,0)*VLOOKUP('Données projet'!$B$9,Paramètres!$A$1:$I$88,5,0)</f>
        <v>79.092000000000013</v>
      </c>
      <c r="P30" s="14">
        <f t="shared" si="33"/>
        <v>21.915026131450009</v>
      </c>
      <c r="Q30" s="22">
        <f t="shared" si="2"/>
        <v>175.92057051227542</v>
      </c>
      <c r="R30" s="62">
        <f t="shared" si="0"/>
        <v>469.25390384560876</v>
      </c>
      <c r="S30" s="62">
        <f ca="1">AVERAGE(OFFSET($R$3,0,0,'Données projet'!$E$9+1,1))-AVERAGE(OFFSET($H$3,0,0,'Données projet'!$E$9+1,1))</f>
        <v>167.90363814107491</v>
      </c>
      <c r="T30" s="62">
        <f t="shared" si="34"/>
        <v>174.92847878212234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0</v>
      </c>
      <c r="AB30" s="23">
        <f>EXP(-LN(2)/2)*AB29+(1-EXP(-LN(2)/2))/(LN(2)/2)*V30*Y30*VLOOKUP('Données projet'!$B$9,Paramètres!$A$1:$I$88,3,0)*0.475*44/12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3</v>
      </c>
      <c r="AI30" s="14">
        <f>IF('Données projet'!$A$62&gt;35,AI29+AH30-AQ29,IF(A30&lt;'Données projet'!$A$62,$AF$205^A30,IF(A30='Données projet'!$A$62,'Données projet'!$B$62,AI29+AH30-AQ29)))</f>
        <v>78.000000000000014</v>
      </c>
      <c r="AJ30" s="14">
        <f>AI30*VLOOKUP('Données projet'!$B$10,Paramètres!$A$1:$I$88,3,0)*VLOOKUP('Données projet'!$B$10,Paramètres!$A$1:$I$88,5,0)</f>
        <v>83.95920000000001</v>
      </c>
      <c r="AK30" s="14">
        <f t="shared" si="35"/>
        <v>23.102490880810642</v>
      </c>
      <c r="AL30" s="22">
        <f t="shared" si="4"/>
        <v>186.46577828407854</v>
      </c>
      <c r="AM30" s="62">
        <f t="shared" si="5"/>
        <v>479.79911161741188</v>
      </c>
      <c r="AN30" s="62">
        <f ca="1">AVERAGE(OFFSET($AM$3,0,0,'Données projet'!$E$10+1,1))-AVERAGE(OFFSET($H$3,0,0,'Données projet'!$E$10+1,1))</f>
        <v>179.61236179838011</v>
      </c>
      <c r="AO30" s="62">
        <f t="shared" si="36"/>
        <v>186.66130555850333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9.3000000000000007</v>
      </c>
      <c r="BD30" s="13">
        <f>IF('Données projet'!$A$88&gt;35,BD29+BC30-BL29,IF(A30&lt;'Données projet'!$A$88,$BA$205^A30,IF(A30='Données projet'!$A$88,'Données projet'!$B$88,BD29+BC30-BL29)))</f>
        <v>93.09999999999998</v>
      </c>
      <c r="BE30" s="14">
        <f>BD30*VLOOKUP('Données projet'!$B$11,Paramètres!$A$1:$I$88,3,0)*VLOOKUP('Données projet'!$B$11,Paramètres!$A$1:$I$88,5,0)</f>
        <v>43.570799999999991</v>
      </c>
      <c r="BF30" s="14">
        <f t="shared" si="37"/>
        <v>12.940326634618197</v>
      </c>
      <c r="BG30" s="22">
        <f t="shared" si="7"/>
        <v>98.42354555529333</v>
      </c>
      <c r="BH30" s="62">
        <f t="shared" si="8"/>
        <v>391.75687888862666</v>
      </c>
      <c r="BI30" s="62">
        <f ca="1">AVERAGE(OFFSET($BH$3,0,0,'Données projet'!$E$11+1,1))-AVERAGE(OFFSET($H$3,0,0,'Données projet'!$E$11+1,1))</f>
        <v>335.00873408144395</v>
      </c>
      <c r="BJ30" s="62">
        <f t="shared" si="38"/>
        <v>106.28577694955948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3.78125</v>
      </c>
      <c r="BY30" s="13">
        <f>IF('Données projet'!$A$114&gt;35,BY29+BX30-CG29,IF(A30&lt;'Données projet'!$A$114,$BV$205^A30,IF(A30='Données projet'!$A$114,'Données projet'!$B$114,BY29+BX30-CG29)))</f>
        <v>57.193958538269555</v>
      </c>
      <c r="BZ30" s="14">
        <f>BY30*VLOOKUP('Données projet'!$B$12,Paramètres!$A$1:$I$88,3,0)*VLOOKUP('Données projet'!$B$12,Paramètres!$A$1:$I$88,5,0)</f>
        <v>34.201987205885196</v>
      </c>
      <c r="CA30" s="14">
        <f t="shared" si="39"/>
        <v>10.448160347061673</v>
      </c>
      <c r="CB30" s="22">
        <f t="shared" si="10"/>
        <v>77.765673654715798</v>
      </c>
      <c r="CC30" s="62">
        <f t="shared" si="11"/>
        <v>371.0990069880491</v>
      </c>
      <c r="CD30" s="62">
        <f ca="1">AVERAGE(OFFSET($CC$3,0,0,'Données projet'!$E$12+1,1))-AVERAGE(OFFSET($H$3,0,0,'Données projet'!$E$12+1,1))</f>
        <v>136.47709057888358</v>
      </c>
      <c r="CE30" s="62">
        <f t="shared" si="40"/>
        <v>99.705248792886493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0</v>
      </c>
      <c r="CL30" s="23">
        <f>EXP(-LN(2)/25)*CL29+(1-EXP(-LN(2)/25))/(LN(2)/25)*Calculateur!CG30*Calculateur!CI30*VLOOKUP('Données projet'!$B$12,Paramètres!$A$1:$I$88,3,0)*0.475*44/12</f>
        <v>0</v>
      </c>
      <c r="CM30" s="23">
        <f>EXP(-LN(2)/2)*CM29+(1-EXP(-LN(2)/2))/(LN(2)/2)*CG30*CJ30*VLOOKUP('Données projet'!$B$12,Paramètres!$A$1:$I$88,3,0)*0.475*44/12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3.7333333333333334</v>
      </c>
      <c r="CT30" s="13">
        <f>IF('Données projet'!$A$140&gt;35,CT29+CS30-DB29,IF(A30&lt;'Données projet'!$A$140,$CQ$205^A30,IF(A30='Données projet'!$A$140,'Données projet'!$B$140,CT29+CS30-DB29)))</f>
        <v>69.870881178133999</v>
      </c>
      <c r="CU30" s="18">
        <f>CT30*VLOOKUP('Données projet'!$B$13,Paramètres!$A$1:$I$88,3,0)*VLOOKUP('Données projet'!$B$13,Paramètres!$A$1:$I$88,5,0)</f>
        <v>33.607893846682458</v>
      </c>
      <c r="CV30" s="14">
        <f t="shared" si="41"/>
        <v>10.287636122655798</v>
      </c>
      <c r="CW30" s="22">
        <f t="shared" si="13"/>
        <v>76.451381363264133</v>
      </c>
      <c r="CX30" s="62">
        <f t="shared" si="14"/>
        <v>369.78471469659746</v>
      </c>
      <c r="CY30" s="62">
        <f ca="1">AVERAGE(OFFSET($CX$3,0,0,'Données projet'!$E$13+1,1))-AVERAGE(OFFSET($H$3,0,0,'Données projet'!$E$13+1,1))</f>
        <v>205.01234521498333</v>
      </c>
      <c r="CZ30" s="62">
        <f t="shared" si="42"/>
        <v>100.26042113972852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projet'!$B$13,Paramètres!$A$1:$I$88,3,0)*0.475*44/12</f>
        <v>0</v>
      </c>
      <c r="DG30" s="23">
        <f>EXP(-LN(2)/25)*DG29+(1-EXP(-LN(2)/25))/(LN(2)/25)*Calculateur!DB30*Calculateur!DD30*VLOOKUP('Données projet'!$B$13,Paramètres!$A$1:$I$88,3,0)*0.475*44/12</f>
        <v>0</v>
      </c>
      <c r="DH30" s="23">
        <f>EXP(-LN(2)/2)*DH29+(1-EXP(-LN(2)/2))/(LN(2)/2)*DB30*DE30*VLOOKUP('Données projet'!$B$13,Paramètres!$A$1:$I$88,3,0)*0.475*44/12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8.1900000000000066</v>
      </c>
      <c r="D31" s="12">
        <f t="shared" si="32"/>
        <v>2.9548110908066207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86.030120700963437</v>
      </c>
      <c r="H31" s="70">
        <f t="shared" si="1"/>
        <v>312.74387931648818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3</v>
      </c>
      <c r="N31" s="14">
        <f>IF('Données projet'!$A$36&gt;35,N30+M31-V30,IF(A31&lt;'Données projet'!$A$36,$K$205^A31,IF(A31='Données projet'!$A$36,'Données projet'!$B$36,N30+M31-V30)))</f>
        <v>81.000000000000014</v>
      </c>
      <c r="O31" s="14">
        <f>N31*VLOOKUP('Données projet'!$B$9,Paramètres!$A$1:$I$88,3,0)*VLOOKUP('Données projet'!$B$9,Paramètres!$A$1:$I$88,5,0)</f>
        <v>82.134000000000029</v>
      </c>
      <c r="P31" s="14">
        <f t="shared" si="33"/>
        <v>22.658156105651742</v>
      </c>
      <c r="Q31" s="22">
        <f t="shared" si="2"/>
        <v>182.51300521734348</v>
      </c>
      <c r="R31" s="62">
        <f t="shared" si="0"/>
        <v>475.84633855067682</v>
      </c>
      <c r="S31" s="62">
        <f ca="1">AVERAGE(OFFSET($R$3,0,0,'Données projet'!$E$9+1,1))-AVERAGE(OFFSET($H$3,0,0,'Données projet'!$E$9+1,1))</f>
        <v>167.90363814107491</v>
      </c>
      <c r="T31" s="62">
        <f t="shared" si="34"/>
        <v>174.92847878212234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0</v>
      </c>
      <c r="AB31" s="23">
        <f>EXP(-LN(2)/2)*AB30+(1-EXP(-LN(2)/2))/(LN(2)/2)*V31*Y31*VLOOKUP('Données projet'!$B$9,Paramètres!$A$1:$I$88,3,0)*0.475*44/12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3</v>
      </c>
      <c r="AI31" s="14">
        <f>IF('Données projet'!$A$62&gt;35,AI30+AH31-AQ30,IF(A31&lt;'Données projet'!$A$62,$AF$205^A31,IF(A31='Données projet'!$A$62,'Données projet'!$B$62,AI30+AH31-AQ30)))</f>
        <v>81.000000000000014</v>
      </c>
      <c r="AJ31" s="14">
        <f>AI31*VLOOKUP('Données projet'!$B$10,Paramètres!$A$1:$I$88,3,0)*VLOOKUP('Données projet'!$B$10,Paramètres!$A$1:$I$88,5,0)</f>
        <v>87.188400000000016</v>
      </c>
      <c r="AK31" s="14">
        <f t="shared" si="35"/>
        <v>23.885887320736156</v>
      </c>
      <c r="AL31" s="22">
        <f t="shared" si="4"/>
        <v>193.45438375028218</v>
      </c>
      <c r="AM31" s="62">
        <f t="shared" si="5"/>
        <v>486.78771708361546</v>
      </c>
      <c r="AN31" s="62">
        <f ca="1">AVERAGE(OFFSET($AM$3,0,0,'Données projet'!$E$10+1,1))-AVERAGE(OFFSET($H$3,0,0,'Données projet'!$E$10+1,1))</f>
        <v>179.61236179838011</v>
      </c>
      <c r="AO31" s="62">
        <f t="shared" si="36"/>
        <v>186.66130555850333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9.3000000000000007</v>
      </c>
      <c r="BD31" s="13">
        <f>IF('Données projet'!$A$88&gt;35,BD30+BC31-BL30,IF(A31&lt;'Données projet'!$A$88,$BA$205^A31,IF(A31='Données projet'!$A$88,'Données projet'!$B$88,BD30+BC31-BL30)))</f>
        <v>102.39999999999998</v>
      </c>
      <c r="BE31" s="14">
        <f>BD31*VLOOKUP('Données projet'!$B$11,Paramètres!$A$1:$I$88,3,0)*VLOOKUP('Données projet'!$B$11,Paramètres!$A$1:$I$88,5,0)</f>
        <v>47.923199999999987</v>
      </c>
      <c r="BF31" s="14">
        <f t="shared" si="37"/>
        <v>14.076099961955951</v>
      </c>
      <c r="BG31" s="22">
        <f t="shared" si="7"/>
        <v>107.98211410040659</v>
      </c>
      <c r="BH31" s="62">
        <f t="shared" si="8"/>
        <v>401.31544743373991</v>
      </c>
      <c r="BI31" s="62">
        <f ca="1">AVERAGE(OFFSET($BH$3,0,0,'Données projet'!$E$11+1,1))-AVERAGE(OFFSET($H$3,0,0,'Données projet'!$E$11+1,1))</f>
        <v>335.00873408144395</v>
      </c>
      <c r="BJ31" s="62">
        <f t="shared" si="38"/>
        <v>106.28577694955948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3.78125</v>
      </c>
      <c r="BY31" s="13">
        <f>IF('Données projet'!$A$114&gt;35,BY30+BX31-CG30,IF(A31&lt;'Données projet'!$A$114,$BV$205^A31,IF(A31='Données projet'!$A$114,'Données projet'!$B$114,BY30+BX31-CG30)))</f>
        <v>66.44115889990951</v>
      </c>
      <c r="BZ31" s="14">
        <f>BY31*VLOOKUP('Données projet'!$B$12,Paramètres!$A$1:$I$88,3,0)*VLOOKUP('Données projet'!$B$12,Paramètres!$A$1:$I$88,5,0)</f>
        <v>39.731813022145886</v>
      </c>
      <c r="CA31" s="14">
        <f t="shared" si="39"/>
        <v>11.927536111779386</v>
      </c>
      <c r="CB31" s="22">
        <f t="shared" si="10"/>
        <v>89.973366408253185</v>
      </c>
      <c r="CC31" s="62">
        <f t="shared" si="11"/>
        <v>383.3066997415865</v>
      </c>
      <c r="CD31" s="62">
        <f ca="1">AVERAGE(OFFSET($CC$3,0,0,'Données projet'!$E$12+1,1))-AVERAGE(OFFSET($H$3,0,0,'Données projet'!$E$12+1,1))</f>
        <v>136.47709057888358</v>
      </c>
      <c r="CE31" s="62">
        <f t="shared" si="40"/>
        <v>99.705248792886493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0</v>
      </c>
      <c r="CL31" s="23">
        <f>EXP(-LN(2)/25)*CL30+(1-EXP(-LN(2)/25))/(LN(2)/25)*Calculateur!CG31*Calculateur!CI31*VLOOKUP('Données projet'!$B$12,Paramètres!$A$1:$I$88,3,0)*0.475*44/12</f>
        <v>0</v>
      </c>
      <c r="CM31" s="23">
        <f>EXP(-LN(2)/2)*CM30+(1-EXP(-LN(2)/2))/(LN(2)/2)*CG31*CJ31*VLOOKUP('Données projet'!$B$12,Paramètres!$A$1:$I$88,3,0)*0.475*44/12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3.7333333333333334</v>
      </c>
      <c r="CT31" s="13">
        <f>IF('Données projet'!$A$140&gt;35,CT30+CS31-DB30,IF(A31&lt;'Données projet'!$A$140,$CQ$205^A31,IF(A31='Données projet'!$A$140,'Données projet'!$B$140,CT30+CS31-DB30)))</f>
        <v>81.771786833156952</v>
      </c>
      <c r="CU31" s="18">
        <f>CT31*VLOOKUP('Données projet'!$B$13,Paramètres!$A$1:$I$88,3,0)*VLOOKUP('Données projet'!$B$13,Paramètres!$A$1:$I$88,5,0)</f>
        <v>39.332229466748494</v>
      </c>
      <c r="CV31" s="14">
        <f t="shared" si="41"/>
        <v>11.821481208263915</v>
      </c>
      <c r="CW31" s="22">
        <f t="shared" si="13"/>
        <v>89.092712758979928</v>
      </c>
      <c r="CX31" s="62">
        <f t="shared" si="14"/>
        <v>382.42604609231324</v>
      </c>
      <c r="CY31" s="62">
        <f ca="1">AVERAGE(OFFSET($CX$3,0,0,'Données projet'!$E$13+1,1))-AVERAGE(OFFSET($H$3,0,0,'Données projet'!$E$13+1,1))</f>
        <v>205.01234521498333</v>
      </c>
      <c r="CZ31" s="62">
        <f t="shared" si="42"/>
        <v>100.26042113972852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projet'!$B$13,Paramètres!$A$1:$I$88,3,0)*0.475*44/12</f>
        <v>0</v>
      </c>
      <c r="DG31" s="23">
        <f>EXP(-LN(2)/25)*DG30+(1-EXP(-LN(2)/25))/(LN(2)/25)*Calculateur!DB31*Calculateur!DD31*VLOOKUP('Données projet'!$B$13,Paramètres!$A$1:$I$88,3,0)*0.475*44/12</f>
        <v>0</v>
      </c>
      <c r="DH31" s="23">
        <f>EXP(-LN(2)/2)*DH30+(1-EXP(-LN(2)/2))/(LN(2)/2)*DB31*DE31*VLOOKUP('Données projet'!$B$13,Paramètres!$A$1:$I$88,3,0)*0.475*44/12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8.482500000000007</v>
      </c>
      <c r="D32" s="12">
        <f t="shared" si="32"/>
        <v>3.0478651976046978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89.006327841159134</v>
      </c>
      <c r="H32" s="70">
        <f t="shared" si="1"/>
        <v>313.41538605249485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3</v>
      </c>
      <c r="N32" s="14">
        <f>IF('Données projet'!$A$36&gt;35,N31+M32-V31,IF(A32&lt;'Données projet'!$A$36,$K$205^A32,IF(A32='Données projet'!$A$36,'Données projet'!$B$36,N31+M32-V31)))</f>
        <v>84.000000000000014</v>
      </c>
      <c r="O32" s="14">
        <f>N32*VLOOKUP('Données projet'!$B$9,Paramètres!$A$1:$I$88,3,0)*VLOOKUP('Données projet'!$B$9,Paramètres!$A$1:$I$88,5,0)</f>
        <v>85.176000000000016</v>
      </c>
      <c r="P32" s="14">
        <f t="shared" si="33"/>
        <v>23.398088487656441</v>
      </c>
      <c r="Q32" s="22">
        <f t="shared" si="2"/>
        <v>189.09987078266832</v>
      </c>
      <c r="R32" s="62">
        <f t="shared" si="0"/>
        <v>482.43320411600166</v>
      </c>
      <c r="S32" s="62">
        <f ca="1">AVERAGE(OFFSET($R$3,0,0,'Données projet'!$E$9+1,1))-AVERAGE(OFFSET($H$3,0,0,'Données projet'!$E$9+1,1))</f>
        <v>167.90363814107491</v>
      </c>
      <c r="T32" s="62">
        <f t="shared" si="34"/>
        <v>174.92847878212234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0</v>
      </c>
      <c r="AB32" s="23">
        <f>EXP(-LN(2)/2)*AB31+(1-EXP(-LN(2)/2))/(LN(2)/2)*V32*Y32*VLOOKUP('Données projet'!$B$9,Paramètres!$A$1:$I$88,3,0)*0.475*44/12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3</v>
      </c>
      <c r="AI32" s="14">
        <f>IF('Données projet'!$A$62&gt;35,AI31+AH32-AQ31,IF(A32&lt;'Données projet'!$A$62,$AF$205^A32,IF(A32='Données projet'!$A$62,'Données projet'!$B$62,AI31+AH32-AQ31)))</f>
        <v>84.000000000000014</v>
      </c>
      <c r="AJ32" s="14">
        <f>AI32*VLOOKUP('Données projet'!$B$10,Paramètres!$A$1:$I$88,3,0)*VLOOKUP('Données projet'!$B$10,Paramètres!$A$1:$I$88,5,0)</f>
        <v>90.417600000000022</v>
      </c>
      <c r="AK32" s="14">
        <f t="shared" si="35"/>
        <v>24.665912907068826</v>
      </c>
      <c r="AL32" s="22">
        <f t="shared" si="4"/>
        <v>200.43711831314491</v>
      </c>
      <c r="AM32" s="62">
        <f t="shared" si="5"/>
        <v>493.77045164647825</v>
      </c>
      <c r="AN32" s="62">
        <f ca="1">AVERAGE(OFFSET($AM$3,0,0,'Données projet'!$E$10+1,1))-AVERAGE(OFFSET($H$3,0,0,'Données projet'!$E$10+1,1))</f>
        <v>179.61236179838011</v>
      </c>
      <c r="AO32" s="62">
        <f t="shared" si="36"/>
        <v>186.66130555850333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9.3000000000000007</v>
      </c>
      <c r="BD32" s="13">
        <f>IF('Données projet'!$A$88&gt;35,BD31+BC32-BL31,IF(A32&lt;'Données projet'!$A$88,$BA$205^A32,IF(A32='Données projet'!$A$88,'Données projet'!$B$88,BD31+BC32-BL31)))</f>
        <v>111.69999999999997</v>
      </c>
      <c r="BE32" s="14">
        <f>BD32*VLOOKUP('Données projet'!$B$11,Paramètres!$A$1:$I$88,3,0)*VLOOKUP('Données projet'!$B$11,Paramètres!$A$1:$I$88,5,0)</f>
        <v>52.27559999999999</v>
      </c>
      <c r="BF32" s="14">
        <f t="shared" si="37"/>
        <v>15.199912378332435</v>
      </c>
      <c r="BG32" s="22">
        <f t="shared" si="7"/>
        <v>117.51985072559563</v>
      </c>
      <c r="BH32" s="62">
        <f t="shared" si="8"/>
        <v>410.85318405892895</v>
      </c>
      <c r="BI32" s="62">
        <f ca="1">AVERAGE(OFFSET($BH$3,0,0,'Données projet'!$E$11+1,1))-AVERAGE(OFFSET($H$3,0,0,'Données projet'!$E$11+1,1))</f>
        <v>335.00873408144395</v>
      </c>
      <c r="BJ32" s="62">
        <f t="shared" si="38"/>
        <v>106.28577694955948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3.78125</v>
      </c>
      <c r="BY32" s="13">
        <f>IF('Données projet'!$A$114&gt;35,BY31+BX32-CG31,IF(A32&lt;'Données projet'!$A$114,$BV$205^A32,IF(A32='Données projet'!$A$114,'Données projet'!$B$114,BY31+BX32-CG31)))</f>
        <v>77.183459735686043</v>
      </c>
      <c r="BZ32" s="14">
        <f>BY32*VLOOKUP('Données projet'!$B$12,Paramètres!$A$1:$I$88,3,0)*VLOOKUP('Données projet'!$B$12,Paramètres!$A$1:$I$88,5,0)</f>
        <v>46.15570892194026</v>
      </c>
      <c r="CA32" s="14">
        <f t="shared" si="39"/>
        <v>13.616379627807939</v>
      </c>
      <c r="CB32" s="22">
        <f t="shared" si="10"/>
        <v>104.10305422414478</v>
      </c>
      <c r="CC32" s="62">
        <f t="shared" si="11"/>
        <v>397.4363875574781</v>
      </c>
      <c r="CD32" s="62">
        <f ca="1">AVERAGE(OFFSET($CC$3,0,0,'Données projet'!$E$12+1,1))-AVERAGE(OFFSET($H$3,0,0,'Données projet'!$E$12+1,1))</f>
        <v>136.47709057888358</v>
      </c>
      <c r="CE32" s="62">
        <f t="shared" si="40"/>
        <v>99.705248792886493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0</v>
      </c>
      <c r="CL32" s="23">
        <f>EXP(-LN(2)/25)*CL31+(1-EXP(-LN(2)/25))/(LN(2)/25)*Calculateur!CG32*Calculateur!CI32*VLOOKUP('Données projet'!$B$12,Paramètres!$A$1:$I$88,3,0)*0.475*44/12</f>
        <v>0</v>
      </c>
      <c r="CM32" s="23">
        <f>EXP(-LN(2)/2)*CM31+(1-EXP(-LN(2)/2))/(LN(2)/2)*CG32*CJ32*VLOOKUP('Données projet'!$B$12,Paramètres!$A$1:$I$88,3,0)*0.475*44/12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3.7333333333333334</v>
      </c>
      <c r="CT32" s="13">
        <f>IF('Données projet'!$A$140&gt;35,CT31+CS32-DB31,IF(A32&lt;'Données projet'!$A$140,$CQ$205^A32,IF(A32='Données projet'!$A$140,'Données projet'!$B$140,CT31+CS32-DB31)))</f>
        <v>95.699739421346123</v>
      </c>
      <c r="CU32" s="18">
        <f>CT32*VLOOKUP('Données projet'!$B$13,Paramètres!$A$1:$I$88,3,0)*VLOOKUP('Données projet'!$B$13,Paramètres!$A$1:$I$88,5,0)</f>
        <v>46.031574661667491</v>
      </c>
      <c r="CV32" s="14">
        <f t="shared" si="41"/>
        <v>13.58401641457557</v>
      </c>
      <c r="CW32" s="22">
        <f t="shared" si="13"/>
        <v>103.83048779112333</v>
      </c>
      <c r="CX32" s="62">
        <f t="shared" si="14"/>
        <v>397.16382112445666</v>
      </c>
      <c r="CY32" s="62">
        <f ca="1">AVERAGE(OFFSET($CX$3,0,0,'Données projet'!$E$13+1,1))-AVERAGE(OFFSET($H$3,0,0,'Données projet'!$E$13+1,1))</f>
        <v>205.01234521498333</v>
      </c>
      <c r="CZ32" s="62">
        <f t="shared" si="42"/>
        <v>100.26042113972852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projet'!$B$13,Paramètres!$A$1:$I$88,3,0)*0.475*44/12</f>
        <v>0</v>
      </c>
      <c r="DG32" s="23">
        <f>EXP(-LN(2)/25)*DG31+(1-EXP(-LN(2)/25))/(LN(2)/25)*Calculateur!DB32*Calculateur!DD32*VLOOKUP('Données projet'!$B$13,Paramètres!$A$1:$I$88,3,0)*0.475*44/12</f>
        <v>0</v>
      </c>
      <c r="DH32" s="23">
        <f>EXP(-LN(2)/2)*DH31+(1-EXP(-LN(2)/2))/(LN(2)/2)*DB32*DE32*VLOOKUP('Données projet'!$B$13,Paramètres!$A$1:$I$88,3,0)*0.475*44/12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8.7750000000000075</v>
      </c>
      <c r="D33" s="12">
        <f t="shared" si="32"/>
        <v>3.1405464749925147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91.979656999942293</v>
      </c>
      <c r="H33" s="70">
        <f t="shared" si="1"/>
        <v>314.08624344394531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87</v>
      </c>
      <c r="L33" s="13">
        <f>VLOOKUP(A33,'Données projet'!$A$35:$I$55,9,0)</f>
        <v>3</v>
      </c>
      <c r="M33" s="13">
        <f t="array" ref="M33">INDEX(L:L,MIN(IF(ISNUMBER(L33:L229),ROW(L33:L229),"")))</f>
        <v>3</v>
      </c>
      <c r="N33" s="14">
        <f>IF('Données projet'!$A$36&gt;35,N32+M33-V32,IF(A33&lt;'Données projet'!$A$36,$K$205^A33,IF(A33='Données projet'!$A$36,'Données projet'!$B$36,N32+M33-V32)))</f>
        <v>87.000000000000014</v>
      </c>
      <c r="O33" s="14">
        <f>N33*VLOOKUP('Données projet'!$B$9,Paramètres!$A$1:$I$88,3,0)*VLOOKUP('Données projet'!$B$9,Paramètres!$A$1:$I$88,5,0)</f>
        <v>88.218000000000018</v>
      </c>
      <c r="P33" s="14">
        <f t="shared" si="33"/>
        <v>24.134950560421608</v>
      </c>
      <c r="Q33" s="22">
        <f t="shared" si="2"/>
        <v>195.6813888927343</v>
      </c>
      <c r="R33" s="62">
        <f t="shared" si="0"/>
        <v>489.01472222606765</v>
      </c>
      <c r="S33" s="62">
        <f ca="1">AVERAGE(OFFSET($R$3,0,0,'Données projet'!$E$9+1,1))-AVERAGE(OFFSET($H$3,0,0,'Données projet'!$E$9+1,1))</f>
        <v>167.90363814107491</v>
      </c>
      <c r="T33" s="62">
        <f t="shared" si="34"/>
        <v>174.92847878212234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0</v>
      </c>
      <c r="AB33" s="23">
        <f>EXP(-LN(2)/2)*AB32+(1-EXP(-LN(2)/2))/(LN(2)/2)*V33*Y33*VLOOKUP('Données projet'!$B$9,Paramètres!$A$1:$I$88,3,0)*0.475*44/12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87</v>
      </c>
      <c r="AG33" s="13">
        <f>VLOOKUP(A33,'Données projet'!$A$61:$I$81,9,0)</f>
        <v>3</v>
      </c>
      <c r="AH33" s="13">
        <f t="array" ref="AH33">INDEX(AG:AG,MIN(IF(ISNUMBER(AG33:AG229),ROW(AG33:AG229),"")))</f>
        <v>3</v>
      </c>
      <c r="AI33" s="14">
        <f>IF('Données projet'!$A$62&gt;35,AI32+AH33-AQ32,IF(A33&lt;'Données projet'!$A$62,$AF$205^A33,IF(A33='Données projet'!$A$62,'Données projet'!$B$62,AI32+AH33-AQ32)))</f>
        <v>87.000000000000014</v>
      </c>
      <c r="AJ33" s="14">
        <f>AI33*VLOOKUP('Données projet'!$B$10,Paramètres!$A$1:$I$88,3,0)*VLOOKUP('Données projet'!$B$10,Paramètres!$A$1:$I$88,5,0)</f>
        <v>93.646800000000013</v>
      </c>
      <c r="AK33" s="14">
        <f t="shared" si="35"/>
        <v>25.442701819587722</v>
      </c>
      <c r="AL33" s="22">
        <f t="shared" si="4"/>
        <v>207.41421566911529</v>
      </c>
      <c r="AM33" s="62">
        <f t="shared" si="5"/>
        <v>500.74754900244864</v>
      </c>
      <c r="AN33" s="62">
        <f ca="1">AVERAGE(OFFSET($AM$3,0,0,'Données projet'!$E$10+1,1))-AVERAGE(OFFSET($H$3,0,0,'Données projet'!$E$10+1,1))</f>
        <v>179.61236179838011</v>
      </c>
      <c r="AO33" s="62">
        <f t="shared" si="36"/>
        <v>186.66130555850333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9.3000000000000007</v>
      </c>
      <c r="BC33" s="13">
        <f t="array" ref="BC33">INDEX(BB:BB,MIN(IF(ISNUMBER(BB33:BB229),ROW(BB33:BB229),"")))</f>
        <v>9.3000000000000007</v>
      </c>
      <c r="BD33" s="13">
        <f>IF('Données projet'!$A$88&gt;35,BD32+BC33-BL32,IF(A33&lt;'Données projet'!$A$88,$BA$205^A33,IF(A33='Données projet'!$A$88,'Données projet'!$B$88,BD32+BC33-BL32)))</f>
        <v>120.99999999999997</v>
      </c>
      <c r="BE33" s="14">
        <f>BD33*VLOOKUP('Données projet'!$B$11,Paramètres!$A$1:$I$88,3,0)*VLOOKUP('Données projet'!$B$11,Paramètres!$A$1:$I$88,5,0)</f>
        <v>56.627999999999986</v>
      </c>
      <c r="BF33" s="14">
        <f t="shared" si="37"/>
        <v>16.312872953208519</v>
      </c>
      <c r="BG33" s="22">
        <f t="shared" si="7"/>
        <v>127.03868706017147</v>
      </c>
      <c r="BH33" s="62">
        <f t="shared" si="8"/>
        <v>420.37202039350478</v>
      </c>
      <c r="BI33" s="62">
        <f ca="1">AVERAGE(OFFSET($BH$3,0,0,'Données projet'!$E$11+1,1))-AVERAGE(OFFSET($H$3,0,0,'Données projet'!$E$11+1,1))</f>
        <v>335.00873408144395</v>
      </c>
      <c r="BJ33" s="62">
        <f t="shared" si="38"/>
        <v>106.28577694955948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3.78125</v>
      </c>
      <c r="BY33" s="13">
        <f>IF('Données projet'!$A$114&gt;35,BY32+BX33-CG32,IF(A33&lt;'Données projet'!$A$114,$BV$205^A33,IF(A33='Données projet'!$A$114,'Données projet'!$B$114,BY32+BX33-CG32)))</f>
        <v>89.66259101146386</v>
      </c>
      <c r="BZ33" s="14">
        <f>BY33*VLOOKUP('Données projet'!$B$12,Paramètres!$A$1:$I$88,3,0)*VLOOKUP('Données projet'!$B$12,Paramètres!$A$1:$I$88,5,0)</f>
        <v>53.618229424855393</v>
      </c>
      <c r="CA33" s="14">
        <f t="shared" si="39"/>
        <v>15.544349849880573</v>
      </c>
      <c r="CB33" s="22">
        <f t="shared" si="10"/>
        <v>120.45815890349847</v>
      </c>
      <c r="CC33" s="62">
        <f t="shared" si="11"/>
        <v>413.7914922368318</v>
      </c>
      <c r="CD33" s="62">
        <f ca="1">AVERAGE(OFFSET($CC$3,0,0,'Données projet'!$E$12+1,1))-AVERAGE(OFFSET($H$3,0,0,'Données projet'!$E$12+1,1))</f>
        <v>136.47709057888358</v>
      </c>
      <c r="CE33" s="62">
        <f t="shared" si="40"/>
        <v>99.705248792886493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0</v>
      </c>
      <c r="CL33" s="23">
        <f>EXP(-LN(2)/25)*CL32+(1-EXP(-LN(2)/25))/(LN(2)/25)*Calculateur!CG33*Calculateur!CI33*VLOOKUP('Données projet'!$B$12,Paramètres!$A$1:$I$88,3,0)*0.475*44/12</f>
        <v>0</v>
      </c>
      <c r="CM33" s="23">
        <f>EXP(-LN(2)/2)*CM32+(1-EXP(-LN(2)/2))/(LN(2)/2)*CG33*CJ33*VLOOKUP('Données projet'!$B$12,Paramètres!$A$1:$I$88,3,0)*0.475*44/12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112</v>
      </c>
      <c r="CR33" s="13">
        <f>VLOOKUP(A33,'Données projet'!$A$139:$I$159,9,0)</f>
        <v>3.7333333333333334</v>
      </c>
      <c r="CS33" s="13">
        <f t="array" ref="CS33">INDEX(CR:CR,MIN(IF(ISNUMBER(CR33:CR229),ROW(CR33:CR229),"")))</f>
        <v>3.7333333333333334</v>
      </c>
      <c r="CT33" s="13">
        <f>IF('Données projet'!$A$140&gt;35,CT32+CS33-DB32,IF(A33&lt;'Données projet'!$A$140,$CQ$205^A33,IF(A33='Données projet'!$A$140,'Données projet'!$B$140,CT32+CS33-DB32)))</f>
        <v>112</v>
      </c>
      <c r="CU33" s="18">
        <f>CT33*VLOOKUP('Données projet'!$B$13,Paramètres!$A$1:$I$88,3,0)*VLOOKUP('Données projet'!$B$13,Paramètres!$A$1:$I$88,5,0)</f>
        <v>53.872</v>
      </c>
      <c r="CV33" s="14">
        <f t="shared" si="41"/>
        <v>15.609338516941918</v>
      </c>
      <c r="CW33" s="22">
        <f t="shared" si="13"/>
        <v>121.0133312503405</v>
      </c>
      <c r="CX33" s="62">
        <f t="shared" si="14"/>
        <v>414.34666458367383</v>
      </c>
      <c r="CY33" s="62">
        <f ca="1">AVERAGE(OFFSET($CX$3,0,0,'Données projet'!$E$13+1,1))-AVERAGE(OFFSET($H$3,0,0,'Données projet'!$E$13+1,1))</f>
        <v>205.01234521498333</v>
      </c>
      <c r="CZ33" s="62">
        <f t="shared" si="42"/>
        <v>100.26042113972852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projet'!$B$13,Paramètres!$A$1:$I$88,3,0)*0.475*44/12</f>
        <v>0</v>
      </c>
      <c r="DG33" s="23">
        <f>EXP(-LN(2)/25)*DG32+(1-EXP(-LN(2)/25))/(LN(2)/25)*Calculateur!DB33*Calculateur!DD33*VLOOKUP('Données projet'!$B$13,Paramètres!$A$1:$I$88,3,0)*0.475*44/12</f>
        <v>0</v>
      </c>
      <c r="DH33" s="23">
        <f>EXP(-LN(2)/2)*DH32+(1-EXP(-LN(2)/2))/(LN(2)/2)*DB33*DE33*VLOOKUP('Données projet'!$B$13,Paramètres!$A$1:$I$88,3,0)*0.475*44/12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9.0675000000000079</v>
      </c>
      <c r="D34" s="12">
        <f t="shared" si="32"/>
        <v>3.2328687755244796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94.950215109311841</v>
      </c>
      <c r="H34" s="70">
        <f t="shared" si="1"/>
        <v>314.75647561737179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2.8</v>
      </c>
      <c r="N34" s="14">
        <f>IF('Données projet'!$A$36&gt;35,N33+M34-V33,IF(A34&lt;'Données projet'!$A$36,$K$205^A34,IF(A34='Données projet'!$A$36,'Données projet'!$B$36,N33+M34-V33)))</f>
        <v>89.800000000000011</v>
      </c>
      <c r="O34" s="14">
        <f>N34*VLOOKUP('Données projet'!$B$9,Paramètres!$A$1:$I$88,3,0)*VLOOKUP('Données projet'!$B$9,Paramètres!$A$1:$I$88,5,0)</f>
        <v>91.057200000000023</v>
      </c>
      <c r="P34" s="14">
        <f t="shared" si="33"/>
        <v>24.820022621284554</v>
      </c>
      <c r="Q34" s="22">
        <f t="shared" si="2"/>
        <v>201.81949606540397</v>
      </c>
      <c r="R34" s="62">
        <f t="shared" si="0"/>
        <v>495.15282939873725</v>
      </c>
      <c r="S34" s="62">
        <f ca="1">AVERAGE(OFFSET($R$3,0,0,'Données projet'!$E$9+1,1))-AVERAGE(OFFSET($H$3,0,0,'Données projet'!$E$9+1,1))</f>
        <v>167.90363814107491</v>
      </c>
      <c r="T34" s="62">
        <f t="shared" si="34"/>
        <v>174.92847878212234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0</v>
      </c>
      <c r="AB34" s="23">
        <f>EXP(-LN(2)/2)*AB33+(1-EXP(-LN(2)/2))/(LN(2)/2)*V34*Y34*VLOOKUP('Données projet'!$B$9,Paramètres!$A$1:$I$88,3,0)*0.475*44/12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2.8</v>
      </c>
      <c r="AI34" s="14">
        <f>IF('Données projet'!$A$62&gt;35,AI33+AH34-AQ33,IF(A34&lt;'Données projet'!$A$62,$AF$205^A34,IF(A34='Données projet'!$A$62,'Données projet'!$B$62,AI33+AH34-AQ33)))</f>
        <v>89.800000000000011</v>
      </c>
      <c r="AJ34" s="14">
        <f>AI34*VLOOKUP('Données projet'!$B$10,Paramètres!$A$1:$I$88,3,0)*VLOOKUP('Données projet'!$B$10,Paramètres!$A$1:$I$88,5,0)</f>
        <v>96.660720000000012</v>
      </c>
      <c r="AK34" s="14">
        <f t="shared" si="35"/>
        <v>26.164894480634665</v>
      </c>
      <c r="AL34" s="22">
        <f t="shared" si="4"/>
        <v>213.92127855377203</v>
      </c>
      <c r="AM34" s="62">
        <f t="shared" si="5"/>
        <v>507.25461188710534</v>
      </c>
      <c r="AN34" s="62">
        <f ca="1">AVERAGE(OFFSET($AM$3,0,0,'Données projet'!$E$10+1,1))-AVERAGE(OFFSET($H$3,0,0,'Données projet'!$E$10+1,1))</f>
        <v>179.61236179838011</v>
      </c>
      <c r="AO34" s="62">
        <f t="shared" si="36"/>
        <v>186.66130555850333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14.6</v>
      </c>
      <c r="BD34" s="13">
        <f>IF('Données projet'!$A$88&gt;35,BD33+BC34-BL33,IF(A34&lt;'Données projet'!$A$88,$BA$205^A34,IF(A34='Données projet'!$A$88,'Données projet'!$B$88,BD33+BC34-BL33)))</f>
        <v>135.59999999999997</v>
      </c>
      <c r="BE34" s="14">
        <f>BD34*VLOOKUP('Données projet'!$B$11,Paramètres!$A$1:$I$88,3,0)*VLOOKUP('Données projet'!$B$11,Paramètres!$A$1:$I$88,5,0)</f>
        <v>63.460799999999985</v>
      </c>
      <c r="BF34" s="14">
        <f t="shared" si="37"/>
        <v>18.04039167659279</v>
      </c>
      <c r="BG34" s="22">
        <f t="shared" si="7"/>
        <v>141.94790883673241</v>
      </c>
      <c r="BH34" s="62">
        <f t="shared" si="8"/>
        <v>435.28124217006575</v>
      </c>
      <c r="BI34" s="62">
        <f ca="1">AVERAGE(OFFSET($BH$3,0,0,'Données projet'!$E$11+1,1))-AVERAGE(OFFSET($H$3,0,0,'Données projet'!$E$11+1,1))</f>
        <v>335.00873408144395</v>
      </c>
      <c r="BJ34" s="62">
        <f t="shared" si="38"/>
        <v>106.28577694955948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3.78125</v>
      </c>
      <c r="BY34" s="13">
        <f>IF('Données projet'!$A$114&gt;35,BY33+BX34-CG33,IF(A34&lt;'Données projet'!$A$114,$BV$205^A34,IF(A34='Données projet'!$A$114,'Données projet'!$B$114,BY33+BX34-CG33)))</f>
        <v>104.15936593694833</v>
      </c>
      <c r="BZ34" s="14">
        <f>BY34*VLOOKUP('Données projet'!$B$12,Paramètres!$A$1:$I$88,3,0)*VLOOKUP('Données projet'!$B$12,Paramètres!$A$1:$I$88,5,0)</f>
        <v>62.287300830295109</v>
      </c>
      <c r="CA34" s="14">
        <f t="shared" si="39"/>
        <v>17.74530520300873</v>
      </c>
      <c r="CB34" s="22">
        <f t="shared" si="10"/>
        <v>139.39012217467084</v>
      </c>
      <c r="CC34" s="62">
        <f t="shared" si="11"/>
        <v>432.72345550800412</v>
      </c>
      <c r="CD34" s="62">
        <f ca="1">AVERAGE(OFFSET($CC$3,0,0,'Données projet'!$E$12+1,1))-AVERAGE(OFFSET($H$3,0,0,'Données projet'!$E$12+1,1))</f>
        <v>136.47709057888358</v>
      </c>
      <c r="CE34" s="62">
        <f t="shared" si="40"/>
        <v>99.705248792886493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0</v>
      </c>
      <c r="CL34" s="23">
        <f>EXP(-LN(2)/25)*CL33+(1-EXP(-LN(2)/25))/(LN(2)/25)*Calculateur!CG34*Calculateur!CI34*VLOOKUP('Données projet'!$B$12,Paramètres!$A$1:$I$88,3,0)*0.475*44/12</f>
        <v>0</v>
      </c>
      <c r="CM34" s="23">
        <f>EXP(-LN(2)/2)*CM33+(1-EXP(-LN(2)/2))/(LN(2)/2)*CG34*CJ34*VLOOKUP('Données projet'!$B$12,Paramètres!$A$1:$I$88,3,0)*0.475*44/12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9</v>
      </c>
      <c r="CT34" s="13">
        <f>IF('Données projet'!$A$140&gt;35,CT33+CS34-DB33,IF(A34&lt;'Données projet'!$A$140,$CQ$205^A34,IF(A34='Données projet'!$A$140,'Données projet'!$B$140,CT33+CS34-DB33)))</f>
        <v>121</v>
      </c>
      <c r="CU34" s="18">
        <f>CT34*VLOOKUP('Données projet'!$B$13,Paramètres!$A$1:$I$88,3,0)*VLOOKUP('Données projet'!$B$13,Paramètres!$A$1:$I$88,5,0)</f>
        <v>58.200999999999993</v>
      </c>
      <c r="CV34" s="14">
        <f t="shared" si="41"/>
        <v>16.712622653789289</v>
      </c>
      <c r="CW34" s="22">
        <f t="shared" si="13"/>
        <v>130.47455945534963</v>
      </c>
      <c r="CX34" s="62">
        <f t="shared" si="14"/>
        <v>423.80789278868292</v>
      </c>
      <c r="CY34" s="62">
        <f ca="1">AVERAGE(OFFSET($CX$3,0,0,'Données projet'!$E$13+1,1))-AVERAGE(OFFSET($H$3,0,0,'Données projet'!$E$13+1,1))</f>
        <v>205.01234521498333</v>
      </c>
      <c r="CZ34" s="62">
        <f t="shared" si="42"/>
        <v>100.26042113972852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projet'!$B$13,Paramètres!$A$1:$I$88,3,0)*0.475*44/12</f>
        <v>0</v>
      </c>
      <c r="DG34" s="23">
        <f>EXP(-LN(2)/25)*DG33+(1-EXP(-LN(2)/25))/(LN(2)/25)*Calculateur!DB34*Calculateur!DD34*VLOOKUP('Données projet'!$B$13,Paramètres!$A$1:$I$88,3,0)*0.475*44/12</f>
        <v>0</v>
      </c>
      <c r="DH34" s="23">
        <f>EXP(-LN(2)/2)*DH33+(1-EXP(-LN(2)/2))/(LN(2)/2)*DB34*DE34*VLOOKUP('Données projet'!$B$13,Paramètres!$A$1:$I$88,3,0)*0.475*44/12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9.3600000000000083</v>
      </c>
      <c r="D35" s="12">
        <f t="shared" si="32"/>
        <v>3.3248450073035021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97.918101810763957</v>
      </c>
      <c r="H35" s="70">
        <f t="shared" si="1"/>
        <v>315.42610505438694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2.8</v>
      </c>
      <c r="N35" s="14">
        <f>IF('Données projet'!$A$36&gt;35,N34+M35-V34,IF(A35&lt;'Données projet'!$A$36,$K$205^A35,IF(A35='Données projet'!$A$36,'Données projet'!$B$36,N34+M35-V34)))</f>
        <v>92.600000000000009</v>
      </c>
      <c r="O35" s="14">
        <f>N35*VLOOKUP('Données projet'!$B$9,Paramètres!$A$1:$I$88,3,0)*VLOOKUP('Données projet'!$B$9,Paramètres!$A$1:$I$88,5,0)</f>
        <v>93.896400000000014</v>
      </c>
      <c r="P35" s="14">
        <f t="shared" si="33"/>
        <v>25.502612364176088</v>
      </c>
      <c r="Q35" s="22">
        <f t="shared" ref="Q35:Q66" si="53">(O35+P35)*0.475*44/12</f>
        <v>207.95327986760671</v>
      </c>
      <c r="R35" s="62">
        <f t="shared" si="0"/>
        <v>501.28661320094</v>
      </c>
      <c r="S35" s="62">
        <f ca="1">AVERAGE(OFFSET($R$3,0,0,'Données projet'!$E$9+1,1))-AVERAGE(OFFSET($H$3,0,0,'Données projet'!$E$9+1,1))</f>
        <v>167.90363814107491</v>
      </c>
      <c r="T35" s="62">
        <f t="shared" si="34"/>
        <v>174.92847878212234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0</v>
      </c>
      <c r="AB35" s="23">
        <f>EXP(-LN(2)/2)*AB34+(1-EXP(-LN(2)/2))/(LN(2)/2)*V35*Y35*VLOOKUP('Données projet'!$B$9,Paramètres!$A$1:$I$88,3,0)*0.475*44/12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2.8</v>
      </c>
      <c r="AI35" s="14">
        <f>IF('Données projet'!$A$62&gt;35,AI34+AH35-AQ34,IF(A35&lt;'Données projet'!$A$62,$AF$205^A35,IF(A35='Données projet'!$A$62,'Données projet'!$B$62,AI34+AH35-AQ34)))</f>
        <v>92.600000000000009</v>
      </c>
      <c r="AJ35" s="14">
        <f>AI35*VLOOKUP('Données projet'!$B$10,Paramètres!$A$1:$I$88,3,0)*VLOOKUP('Données projet'!$B$10,Paramètres!$A$1:$I$88,5,0)</f>
        <v>99.674639999999997</v>
      </c>
      <c r="AK35" s="14">
        <f t="shared" si="35"/>
        <v>26.884470319417503</v>
      </c>
      <c r="AL35" s="22">
        <f t="shared" si="4"/>
        <v>220.42378380631877</v>
      </c>
      <c r="AM35" s="62">
        <f t="shared" si="5"/>
        <v>513.75711713965211</v>
      </c>
      <c r="AN35" s="62">
        <f ca="1">AVERAGE(OFFSET($AM$3,0,0,'Données projet'!$E$10+1,1))-AVERAGE(OFFSET($H$3,0,0,'Données projet'!$E$10+1,1))</f>
        <v>179.61236179838011</v>
      </c>
      <c r="AO35" s="62">
        <f t="shared" si="36"/>
        <v>186.66130555850333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14.6</v>
      </c>
      <c r="BD35" s="13">
        <f>IF('Données projet'!$A$88&gt;35,BD34+BC35-BL34,IF(A35&lt;'Données projet'!$A$88,$BA$205^A35,IF(A35='Données projet'!$A$88,'Données projet'!$B$88,BD34+BC35-BL34)))</f>
        <v>150.19999999999996</v>
      </c>
      <c r="BE35" s="14">
        <f>BD35*VLOOKUP('Données projet'!$B$11,Paramètres!$A$1:$I$88,3,0)*VLOOKUP('Données projet'!$B$11,Paramètres!$A$1:$I$88,5,0)</f>
        <v>70.293599999999984</v>
      </c>
      <c r="BF35" s="14">
        <f t="shared" si="37"/>
        <v>19.746351028689723</v>
      </c>
      <c r="BG35" s="22">
        <f t="shared" si="7"/>
        <v>156.8195813749679</v>
      </c>
      <c r="BH35" s="62">
        <f t="shared" si="8"/>
        <v>450.15291470830118</v>
      </c>
      <c r="BI35" s="62">
        <f ca="1">AVERAGE(OFFSET($BH$3,0,0,'Données projet'!$E$11+1,1))-AVERAGE(OFFSET($H$3,0,0,'Données projet'!$E$11+1,1))</f>
        <v>335.00873408144395</v>
      </c>
      <c r="BJ35" s="62">
        <f t="shared" si="38"/>
        <v>106.28577694955948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>
        <f>VLOOKUP(A35,'Données projet'!$A$113:$I$133,2,0)</f>
        <v>121</v>
      </c>
      <c r="BW35" s="13">
        <f>VLOOKUP(A35,'Données projet'!$A$113:$I$133,9,0)</f>
        <v>3.78125</v>
      </c>
      <c r="BX35" s="13">
        <f t="array" ref="BX35">INDEX(BW:BW,MIN(IF(ISNUMBER(BW35:BW231),ROW(BW35:BW231),"")))</f>
        <v>3.78125</v>
      </c>
      <c r="BY35" s="13">
        <f>IF('Données projet'!$A$114&gt;35,BY34+BX35-CG34,IF(A35&lt;'Données projet'!$A$114,$BV$205^A35,IF(A35='Données projet'!$A$114,'Données projet'!$B$114,BY34+BX35-CG34)))</f>
        <v>121</v>
      </c>
      <c r="BZ35" s="14">
        <f>BY35*VLOOKUP('Données projet'!$B$12,Paramètres!$A$1:$I$88,3,0)*VLOOKUP('Données projet'!$B$12,Paramètres!$A$1:$I$88,5,0)</f>
        <v>72.358000000000004</v>
      </c>
      <c r="CA35" s="14">
        <f t="shared" si="39"/>
        <v>20.257898193815318</v>
      </c>
      <c r="CB35" s="22">
        <f t="shared" si="10"/>
        <v>161.30602268756169</v>
      </c>
      <c r="CC35" s="62">
        <f t="shared" si="11"/>
        <v>454.63935602089498</v>
      </c>
      <c r="CD35" s="62">
        <f ca="1">AVERAGE(OFFSET($CC$3,0,0,'Données projet'!$E$12+1,1))-AVERAGE(OFFSET($H$3,0,0,'Données projet'!$E$12+1,1))</f>
        <v>136.47709057888358</v>
      </c>
      <c r="CE35" s="62">
        <f t="shared" si="40"/>
        <v>99.705248792886493</v>
      </c>
      <c r="CF35" s="16">
        <f>IF(ISNA(VLOOKUP(A35,'Données projet'!$A$113:$I$133,3,0)),0,VLOOKUP(A35,'Données projet'!$A$113:$I$133,3,0))</f>
        <v>1</v>
      </c>
      <c r="CG35" s="16">
        <f>IF(ISNA(VLOOKUP(A35,'Données projet'!$A$113:$I$133,4,0)),0,VLOOKUP(A35,'Données projet'!$A$113:$I$133,4,0))</f>
        <v>46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0</v>
      </c>
      <c r="CL35" s="23">
        <f>EXP(-LN(2)/25)*CL34+(1-EXP(-LN(2)/25))/(LN(2)/25)*Calculateur!CG35*Calculateur!CI35*VLOOKUP('Données projet'!$B$12,Paramètres!$A$1:$I$88,3,0)*0.475*44/12</f>
        <v>0</v>
      </c>
      <c r="CM35" s="23">
        <f>EXP(-LN(2)/2)*CM34+(1-EXP(-LN(2)/2))/(LN(2)/2)*CG35*CJ35*VLOOKUP('Données projet'!$B$12,Paramètres!$A$1:$I$88,3,0)*0.475*44/12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9</v>
      </c>
      <c r="CT35" s="13">
        <f>IF('Données projet'!$A$140&gt;35,CT34+CS35-DB34,IF(A35&lt;'Données projet'!$A$140,$CQ$205^A35,IF(A35='Données projet'!$A$140,'Données projet'!$B$140,CT34+CS35-DB34)))</f>
        <v>130</v>
      </c>
      <c r="CU35" s="18">
        <f>CT35*VLOOKUP('Données projet'!$B$13,Paramètres!$A$1:$I$88,3,0)*VLOOKUP('Données projet'!$B$13,Paramètres!$A$1:$I$88,5,0)</f>
        <v>62.53</v>
      </c>
      <c r="CV35" s="14">
        <f t="shared" si="41"/>
        <v>17.806386690475314</v>
      </c>
      <c r="CW35" s="22">
        <f t="shared" si="13"/>
        <v>139.91920681924447</v>
      </c>
      <c r="CX35" s="62">
        <f t="shared" si="14"/>
        <v>433.25254015257781</v>
      </c>
      <c r="CY35" s="62">
        <f ca="1">AVERAGE(OFFSET($CX$3,0,0,'Données projet'!$E$13+1,1))-AVERAGE(OFFSET($H$3,0,0,'Données projet'!$E$13+1,1))</f>
        <v>205.01234521498333</v>
      </c>
      <c r="CZ35" s="62">
        <f t="shared" si="42"/>
        <v>100.26042113972852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projet'!$B$13,Paramètres!$A$1:$I$88,3,0)*0.475*44/12</f>
        <v>0</v>
      </c>
      <c r="DG35" s="23">
        <f>EXP(-LN(2)/25)*DG34+(1-EXP(-LN(2)/25))/(LN(2)/25)*Calculateur!DB35*Calculateur!DD35*VLOOKUP('Données projet'!$B$13,Paramètres!$A$1:$I$88,3,0)*0.475*44/12</f>
        <v>0</v>
      </c>
      <c r="DH35" s="23">
        <f>EXP(-LN(2)/2)*DH34+(1-EXP(-LN(2)/2))/(LN(2)/2)*DB35*DE35*VLOOKUP('Données projet'!$B$13,Paramètres!$A$1:$I$88,3,0)*0.475*44/12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9.6525000000000087</v>
      </c>
      <c r="D36" s="12">
        <f t="shared" si="32"/>
        <v>3.416487225852594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100.88341016447623</v>
      </c>
      <c r="H36" s="70">
        <f t="shared" si="1"/>
        <v>316.09515275169326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2.8</v>
      </c>
      <c r="N36" s="14">
        <f>IF('Données projet'!$A$36&gt;35,N35+M36-V35,IF(A36&lt;'Données projet'!$A$36,$K$205^A36,IF(A36='Données projet'!$A$36,'Données projet'!$B$36,N35+M36-V35)))</f>
        <v>95.4</v>
      </c>
      <c r="O36" s="14">
        <f>N36*VLOOKUP('Données projet'!$B$9,Paramètres!$A$1:$I$88,3,0)*VLOOKUP('Données projet'!$B$9,Paramètres!$A$1:$I$88,5,0)</f>
        <v>96.735600000000005</v>
      </c>
      <c r="P36" s="14">
        <f t="shared" si="33"/>
        <v>26.182803463854288</v>
      </c>
      <c r="Q36" s="22">
        <f t="shared" si="53"/>
        <v>214.08288603287954</v>
      </c>
      <c r="R36" s="62">
        <f t="shared" si="0"/>
        <v>507.41621936621289</v>
      </c>
      <c r="S36" s="62">
        <f ca="1">AVERAGE(OFFSET($R$3,0,0,'Données projet'!$E$9+1,1))-AVERAGE(OFFSET($H$3,0,0,'Données projet'!$E$9+1,1))</f>
        <v>167.90363814107491</v>
      </c>
      <c r="T36" s="62">
        <f t="shared" si="34"/>
        <v>174.92847878212234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0</v>
      </c>
      <c r="AB36" s="23">
        <f>EXP(-LN(2)/2)*AB35+(1-EXP(-LN(2)/2))/(LN(2)/2)*V36*Y36*VLOOKUP('Données projet'!$B$9,Paramètres!$A$1:$I$88,3,0)*0.475*44/12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2.8</v>
      </c>
      <c r="AI36" s="14">
        <f>IF('Données projet'!$A$62&gt;35,AI35+AH36-AQ35,IF(A36&lt;'Données projet'!$A$62,$AF$205^A36,IF(A36='Données projet'!$A$62,'Données projet'!$B$62,AI35+AH36-AQ35)))</f>
        <v>95.4</v>
      </c>
      <c r="AJ36" s="14">
        <f>AI36*VLOOKUP('Données projet'!$B$10,Paramètres!$A$1:$I$88,3,0)*VLOOKUP('Données projet'!$B$10,Paramètres!$A$1:$I$88,5,0)</f>
        <v>102.68856</v>
      </c>
      <c r="AK36" s="14">
        <f t="shared" si="35"/>
        <v>27.601517544607574</v>
      </c>
      <c r="AL36" s="22">
        <f t="shared" si="4"/>
        <v>226.9218850568582</v>
      </c>
      <c r="AM36" s="62">
        <f t="shared" si="5"/>
        <v>520.25521839019154</v>
      </c>
      <c r="AN36" s="62">
        <f ca="1">AVERAGE(OFFSET($AM$3,0,0,'Données projet'!$E$10+1,1))-AVERAGE(OFFSET($H$3,0,0,'Données projet'!$E$10+1,1))</f>
        <v>179.61236179838011</v>
      </c>
      <c r="AO36" s="62">
        <f t="shared" si="36"/>
        <v>186.66130555850333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14.6</v>
      </c>
      <c r="BD36" s="13">
        <f>IF('Données projet'!$A$88&gt;35,BD35+BC36-BL35,IF(A36&lt;'Données projet'!$A$88,$BA$205^A36,IF(A36='Données projet'!$A$88,'Données projet'!$B$88,BD35+BC36-BL35)))</f>
        <v>164.79999999999995</v>
      </c>
      <c r="BE36" s="14">
        <f>BD36*VLOOKUP('Données projet'!$B$11,Paramètres!$A$1:$I$88,3,0)*VLOOKUP('Données projet'!$B$11,Paramètres!$A$1:$I$88,5,0)</f>
        <v>77.126399999999975</v>
      </c>
      <c r="BF36" s="14">
        <f t="shared" si="37"/>
        <v>21.43308513655586</v>
      </c>
      <c r="BG36" s="22">
        <f t="shared" si="7"/>
        <v>171.65776994616806</v>
      </c>
      <c r="BH36" s="62">
        <f t="shared" si="8"/>
        <v>464.99110327950137</v>
      </c>
      <c r="BI36" s="62">
        <f ca="1">AVERAGE(OFFSET($BH$3,0,0,'Données projet'!$E$11+1,1))-AVERAGE(OFFSET($H$3,0,0,'Données projet'!$E$11+1,1))</f>
        <v>335.00873408144395</v>
      </c>
      <c r="BJ36" s="62">
        <f t="shared" si="38"/>
        <v>106.28577694955948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9.5</v>
      </c>
      <c r="BY36" s="13">
        <f>IF('Données projet'!$A$114&gt;35,BY35+BX36-CG35,IF(A36&lt;'Données projet'!$A$114,$BV$205^A36,IF(A36='Données projet'!$A$114,'Données projet'!$B$114,BY35+BX36-CG35)))</f>
        <v>84.5</v>
      </c>
      <c r="BZ36" s="14">
        <f>BY36*VLOOKUP('Données projet'!$B$12,Paramètres!$A$1:$I$88,3,0)*VLOOKUP('Données projet'!$B$12,Paramètres!$A$1:$I$88,5,0)</f>
        <v>50.531000000000006</v>
      </c>
      <c r="CA36" s="14">
        <f t="shared" si="39"/>
        <v>14.750808302375741</v>
      </c>
      <c r="CB36" s="22">
        <f t="shared" si="10"/>
        <v>113.69914945997108</v>
      </c>
      <c r="CC36" s="62">
        <f t="shared" si="11"/>
        <v>407.03248279330438</v>
      </c>
      <c r="CD36" s="62">
        <f ca="1">AVERAGE(OFFSET($CC$3,0,0,'Données projet'!$E$12+1,1))-AVERAGE(OFFSET($H$3,0,0,'Données projet'!$E$12+1,1))</f>
        <v>136.47709057888358</v>
      </c>
      <c r="CE36" s="62">
        <f t="shared" si="40"/>
        <v>99.705248792886493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0</v>
      </c>
      <c r="CL36" s="23">
        <f>EXP(-LN(2)/25)*CL35+(1-EXP(-LN(2)/25))/(LN(2)/25)*Calculateur!CG36*Calculateur!CI36*VLOOKUP('Données projet'!$B$12,Paramètres!$A$1:$I$88,3,0)*0.475*44/12</f>
        <v>0</v>
      </c>
      <c r="CM36" s="23">
        <f>EXP(-LN(2)/2)*CM35+(1-EXP(-LN(2)/2))/(LN(2)/2)*CG36*CJ36*VLOOKUP('Données projet'!$B$12,Paramètres!$A$1:$I$88,3,0)*0.475*44/12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9</v>
      </c>
      <c r="CT36" s="13">
        <f>IF('Données projet'!$A$140&gt;35,CT35+CS36-DB35,IF(A36&lt;'Données projet'!$A$140,$CQ$205^A36,IF(A36='Données projet'!$A$140,'Données projet'!$B$140,CT35+CS36-DB35)))</f>
        <v>139</v>
      </c>
      <c r="CU36" s="18">
        <f>CT36*VLOOKUP('Données projet'!$B$13,Paramètres!$A$1:$I$88,3,0)*VLOOKUP('Données projet'!$B$13,Paramètres!$A$1:$I$88,5,0)</f>
        <v>66.859000000000009</v>
      </c>
      <c r="CV36" s="14">
        <f t="shared" si="41"/>
        <v>18.89136468476147</v>
      </c>
      <c r="CW36" s="22">
        <f t="shared" si="13"/>
        <v>149.34855182595956</v>
      </c>
      <c r="CX36" s="62">
        <f t="shared" si="14"/>
        <v>442.68188515929285</v>
      </c>
      <c r="CY36" s="62">
        <f ca="1">AVERAGE(OFFSET($CX$3,0,0,'Données projet'!$E$13+1,1))-AVERAGE(OFFSET($H$3,0,0,'Données projet'!$E$13+1,1))</f>
        <v>205.01234521498333</v>
      </c>
      <c r="CZ36" s="62">
        <f t="shared" si="42"/>
        <v>100.26042113972852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projet'!$B$13,Paramètres!$A$1:$I$88,3,0)*0.475*44/12</f>
        <v>0</v>
      </c>
      <c r="DG36" s="23">
        <f>EXP(-LN(2)/25)*DG35+(1-EXP(-LN(2)/25))/(LN(2)/25)*Calculateur!DB36*Calculateur!DD36*VLOOKUP('Données projet'!$B$13,Paramètres!$A$1:$I$88,3,0)*0.475*44/12</f>
        <v>0</v>
      </c>
      <c r="DH36" s="23">
        <f>EXP(-LN(2)/2)*DH35+(1-EXP(-LN(2)/2))/(LN(2)/2)*DB36*DE36*VLOOKUP('Données projet'!$B$13,Paramètres!$A$1:$I$88,3,0)*0.475*44/12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9.9450000000000092</v>
      </c>
      <c r="D37" s="12">
        <f t="shared" si="32"/>
        <v>3.5078067145376544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103.84622727011531</v>
      </c>
      <c r="H37" s="70">
        <f t="shared" si="1"/>
        <v>316.76363836115308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2.8</v>
      </c>
      <c r="N37" s="14">
        <f>IF('Données projet'!$A$36&gt;35,N36+M37-V36,IF(A37&lt;'Données projet'!$A$36,$K$205^A37,IF(A37='Données projet'!$A$36,'Données projet'!$B$36,N36+M37-V36)))</f>
        <v>98.2</v>
      </c>
      <c r="O37" s="14">
        <f>N37*VLOOKUP('Données projet'!$B$9,Paramètres!$A$1:$I$88,3,0)*VLOOKUP('Données projet'!$B$9,Paramètres!$A$1:$I$88,5,0)</f>
        <v>99.57480000000001</v>
      </c>
      <c r="P37" s="14">
        <f t="shared" si="33"/>
        <v>26.860674404100536</v>
      </c>
      <c r="Q37" s="22">
        <f t="shared" si="53"/>
        <v>220.20845125380845</v>
      </c>
      <c r="R37" s="62">
        <f t="shared" si="0"/>
        <v>513.54178458714182</v>
      </c>
      <c r="S37" s="62">
        <f ca="1">AVERAGE(OFFSET($R$3,0,0,'Données projet'!$E$9+1,1))-AVERAGE(OFFSET($H$3,0,0,'Données projet'!$E$9+1,1))</f>
        <v>167.90363814107491</v>
      </c>
      <c r="T37" s="62">
        <f t="shared" si="34"/>
        <v>174.92847878212234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0</v>
      </c>
      <c r="AB37" s="23">
        <f>EXP(-LN(2)/2)*AB36+(1-EXP(-LN(2)/2))/(LN(2)/2)*V37*Y37*VLOOKUP('Données projet'!$B$9,Paramètres!$A$1:$I$88,3,0)*0.475*44/12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2.8</v>
      </c>
      <c r="AI37" s="14">
        <f>IF('Données projet'!$A$62&gt;35,AI36+AH37-AQ36,IF(A37&lt;'Données projet'!$A$62,$AF$205^A37,IF(A37='Données projet'!$A$62,'Données projet'!$B$62,AI36+AH37-AQ36)))</f>
        <v>98.2</v>
      </c>
      <c r="AJ37" s="14">
        <f>AI37*VLOOKUP('Données projet'!$B$10,Paramètres!$A$1:$I$88,3,0)*VLOOKUP('Données projet'!$B$10,Paramètres!$A$1:$I$88,5,0)</f>
        <v>105.70247999999999</v>
      </c>
      <c r="AK37" s="14">
        <f t="shared" si="35"/>
        <v>28.316118892626537</v>
      </c>
      <c r="AL37" s="22">
        <f t="shared" si="4"/>
        <v>233.41572640465787</v>
      </c>
      <c r="AM37" s="62">
        <f t="shared" si="5"/>
        <v>526.74905973799116</v>
      </c>
      <c r="AN37" s="62">
        <f ca="1">AVERAGE(OFFSET($AM$3,0,0,'Données projet'!$E$10+1,1))-AVERAGE(OFFSET($H$3,0,0,'Données projet'!$E$10+1,1))</f>
        <v>179.61236179838011</v>
      </c>
      <c r="AO37" s="62">
        <f t="shared" si="36"/>
        <v>186.66130555850333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14.6</v>
      </c>
      <c r="BD37" s="13">
        <f>IF('Données projet'!$A$88&gt;35,BD36+BC37-BL36,IF(A37&lt;'Données projet'!$A$88,$BA$205^A37,IF(A37='Données projet'!$A$88,'Données projet'!$B$88,BD36+BC37-BL36)))</f>
        <v>179.39999999999995</v>
      </c>
      <c r="BE37" s="14">
        <f>BD37*VLOOKUP('Données projet'!$B$11,Paramètres!$A$1:$I$88,3,0)*VLOOKUP('Données projet'!$B$11,Paramètres!$A$1:$I$88,5,0)</f>
        <v>83.959199999999967</v>
      </c>
      <c r="BF37" s="14">
        <f t="shared" si="37"/>
        <v>23.10249088081062</v>
      </c>
      <c r="BG37" s="22">
        <f t="shared" si="7"/>
        <v>186.46577828407843</v>
      </c>
      <c r="BH37" s="62">
        <f t="shared" si="8"/>
        <v>479.79911161741177</v>
      </c>
      <c r="BI37" s="62">
        <f ca="1">AVERAGE(OFFSET($BH$3,0,0,'Données projet'!$E$11+1,1))-AVERAGE(OFFSET($H$3,0,0,'Données projet'!$E$11+1,1))</f>
        <v>335.00873408144395</v>
      </c>
      <c r="BJ37" s="62">
        <f t="shared" si="38"/>
        <v>106.28577694955948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9.5</v>
      </c>
      <c r="BY37" s="13">
        <f>IF('Données projet'!$A$114&gt;35,BY36+BX37-CG36,IF(A37&lt;'Données projet'!$A$114,$BV$205^A37,IF(A37='Données projet'!$A$114,'Données projet'!$B$114,BY36+BX37-CG36)))</f>
        <v>94</v>
      </c>
      <c r="BZ37" s="14">
        <f>BY37*VLOOKUP('Données projet'!$B$12,Paramètres!$A$1:$I$88,3,0)*VLOOKUP('Données projet'!$B$12,Paramètres!$A$1:$I$88,5,0)</f>
        <v>56.212000000000003</v>
      </c>
      <c r="CA37" s="14">
        <f t="shared" si="39"/>
        <v>16.206939185290707</v>
      </c>
      <c r="CB37" s="22">
        <f t="shared" si="10"/>
        <v>126.12965241438131</v>
      </c>
      <c r="CC37" s="62">
        <f t="shared" si="11"/>
        <v>419.46298574771464</v>
      </c>
      <c r="CD37" s="62">
        <f ca="1">AVERAGE(OFFSET($CC$3,0,0,'Données projet'!$E$12+1,1))-AVERAGE(OFFSET($H$3,0,0,'Données projet'!$E$12+1,1))</f>
        <v>136.47709057888358</v>
      </c>
      <c r="CE37" s="62">
        <f t="shared" si="40"/>
        <v>99.705248792886493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0</v>
      </c>
      <c r="CL37" s="23">
        <f>EXP(-LN(2)/25)*CL36+(1-EXP(-LN(2)/25))/(LN(2)/25)*Calculateur!CG37*Calculateur!CI37*VLOOKUP('Données projet'!$B$12,Paramètres!$A$1:$I$88,3,0)*0.475*44/12</f>
        <v>0</v>
      </c>
      <c r="CM37" s="23">
        <f>EXP(-LN(2)/2)*CM36+(1-EXP(-LN(2)/2))/(LN(2)/2)*CG37*CJ37*VLOOKUP('Données projet'!$B$12,Paramètres!$A$1:$I$88,3,0)*0.475*44/12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9</v>
      </c>
      <c r="CT37" s="13">
        <f>IF('Données projet'!$A$140&gt;35,CT36+CS37-DB36,IF(A37&lt;'Données projet'!$A$140,$CQ$205^A37,IF(A37='Données projet'!$A$140,'Données projet'!$B$140,CT36+CS37-DB36)))</f>
        <v>148</v>
      </c>
      <c r="CU37" s="18">
        <f>CT37*VLOOKUP('Données projet'!$B$13,Paramètres!$A$1:$I$88,3,0)*VLOOKUP('Données projet'!$B$13,Paramètres!$A$1:$I$88,5,0)</f>
        <v>71.188000000000002</v>
      </c>
      <c r="CV37" s="14">
        <f t="shared" si="41"/>
        <v>19.968190261357641</v>
      </c>
      <c r="CW37" s="22">
        <f t="shared" si="13"/>
        <v>158.7636980385312</v>
      </c>
      <c r="CX37" s="62">
        <f t="shared" si="14"/>
        <v>452.09703137186455</v>
      </c>
      <c r="CY37" s="62">
        <f ca="1">AVERAGE(OFFSET($CX$3,0,0,'Données projet'!$E$13+1,1))-AVERAGE(OFFSET($H$3,0,0,'Données projet'!$E$13+1,1))</f>
        <v>205.01234521498333</v>
      </c>
      <c r="CZ37" s="62">
        <f t="shared" si="42"/>
        <v>100.26042113972852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projet'!$B$13,Paramètres!$A$1:$I$88,3,0)*0.475*44/12</f>
        <v>0</v>
      </c>
      <c r="DG37" s="23">
        <f>EXP(-LN(2)/25)*DG36+(1-EXP(-LN(2)/25))/(LN(2)/25)*Calculateur!DB37*Calculateur!DD37*VLOOKUP('Données projet'!$B$13,Paramètres!$A$1:$I$88,3,0)*0.475*44/12</f>
        <v>0</v>
      </c>
      <c r="DH37" s="23">
        <f>EXP(-LN(2)/2)*DH36+(1-EXP(-LN(2)/2))/(LN(2)/2)*DB37*DE37*VLOOKUP('Données projet'!$B$13,Paramètres!$A$1:$I$88,3,0)*0.475*44/12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10.23750000000001</v>
      </c>
      <c r="D38" s="12">
        <f t="shared" si="32"/>
        <v>3.5988140552628622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106.8066348125555</v>
      </c>
      <c r="H38" s="70">
        <f t="shared" si="1"/>
        <v>317.43158031291614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101</v>
      </c>
      <c r="L38" s="13">
        <f>VLOOKUP(A38,'Données projet'!$A$35:$I$55,9,0)</f>
        <v>2.8</v>
      </c>
      <c r="M38" s="13">
        <f t="array" ref="M38">INDEX(L:L,MIN(IF(ISNUMBER(L38:L234),ROW(L38:L234),"")))</f>
        <v>2.8</v>
      </c>
      <c r="N38" s="14">
        <f>IF('Données projet'!$A$36&gt;35,N37+M38-V37,IF(A38&lt;'Données projet'!$A$36,$K$205^A38,IF(A38='Données projet'!$A$36,'Données projet'!$B$36,N37+M38-V37)))</f>
        <v>101</v>
      </c>
      <c r="O38" s="14">
        <f>N38*VLOOKUP('Données projet'!$B$9,Paramètres!$A$1:$I$88,3,0)*VLOOKUP('Données projet'!$B$9,Paramètres!$A$1:$I$88,5,0)</f>
        <v>102.41400000000002</v>
      </c>
      <c r="P38" s="14">
        <f t="shared" si="33"/>
        <v>27.536298938471106</v>
      </c>
      <c r="Q38" s="22">
        <f t="shared" si="53"/>
        <v>226.33010398450384</v>
      </c>
      <c r="R38" s="62">
        <f t="shared" si="0"/>
        <v>519.66343731783718</v>
      </c>
      <c r="S38" s="62">
        <f ca="1">AVERAGE(OFFSET($R$3,0,0,'Données projet'!$E$9+1,1))-AVERAGE(OFFSET($H$3,0,0,'Données projet'!$E$9+1,1))</f>
        <v>167.90363814107491</v>
      </c>
      <c r="T38" s="62">
        <f t="shared" si="34"/>
        <v>174.92847878212234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0</v>
      </c>
      <c r="AB38" s="23">
        <f>EXP(-LN(2)/2)*AB37+(1-EXP(-LN(2)/2))/(LN(2)/2)*V38*Y38*VLOOKUP('Données projet'!$B$9,Paramètres!$A$1:$I$88,3,0)*0.475*44/12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101</v>
      </c>
      <c r="AG38" s="13">
        <f>VLOOKUP(A38,'Données projet'!$A$61:$I$81,9,0)</f>
        <v>2.8</v>
      </c>
      <c r="AH38" s="13">
        <f t="array" ref="AH38">INDEX(AG:AG,MIN(IF(ISNUMBER(AG38:AG234),ROW(AG38:AG234),"")))</f>
        <v>2.8</v>
      </c>
      <c r="AI38" s="14">
        <f>IF('Données projet'!$A$62&gt;35,AI37+AH38-AQ37,IF(A38&lt;'Données projet'!$A$62,$AF$205^A38,IF(A38='Données projet'!$A$62,'Données projet'!$B$62,AI37+AH38-AQ37)))</f>
        <v>101</v>
      </c>
      <c r="AJ38" s="14">
        <f>AI38*VLOOKUP('Données projet'!$B$10,Paramètres!$A$1:$I$88,3,0)*VLOOKUP('Données projet'!$B$10,Paramètres!$A$1:$I$88,5,0)</f>
        <v>108.71640000000001</v>
      </c>
      <c r="AK38" s="14">
        <f t="shared" si="35"/>
        <v>29.028352113363987</v>
      </c>
      <c r="AL38" s="22">
        <f t="shared" si="4"/>
        <v>239.90544326410895</v>
      </c>
      <c r="AM38" s="62">
        <f t="shared" si="5"/>
        <v>533.23877659744221</v>
      </c>
      <c r="AN38" s="62">
        <f ca="1">AVERAGE(OFFSET($AM$3,0,0,'Données projet'!$E$10+1,1))-AVERAGE(OFFSET($H$3,0,0,'Données projet'!$E$10+1,1))</f>
        <v>179.61236179838011</v>
      </c>
      <c r="AO38" s="62">
        <f t="shared" si="36"/>
        <v>186.66130555850333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14.6</v>
      </c>
      <c r="BD38" s="13">
        <f>IF('Données projet'!$A$88&gt;35,BD37+BC38-BL37,IF(A38&lt;'Données projet'!$A$88,$BA$205^A38,IF(A38='Données projet'!$A$88,'Données projet'!$B$88,BD37+BC38-BL37)))</f>
        <v>193.99999999999994</v>
      </c>
      <c r="BE38" s="14">
        <f>BD38*VLOOKUP('Données projet'!$B$11,Paramètres!$A$1:$I$88,3,0)*VLOOKUP('Données projet'!$B$11,Paramètres!$A$1:$I$88,5,0)</f>
        <v>90.791999999999973</v>
      </c>
      <c r="BF38" s="14">
        <f t="shared" si="37"/>
        <v>24.756138813110173</v>
      </c>
      <c r="BG38" s="22">
        <f t="shared" si="7"/>
        <v>201.24634176616681</v>
      </c>
      <c r="BH38" s="62">
        <f t="shared" si="8"/>
        <v>494.57967509950015</v>
      </c>
      <c r="BI38" s="62">
        <f ca="1">AVERAGE(OFFSET($BH$3,0,0,'Données projet'!$E$11+1,1))-AVERAGE(OFFSET($H$3,0,0,'Données projet'!$E$11+1,1))</f>
        <v>335.00873408144395</v>
      </c>
      <c r="BJ38" s="62">
        <f t="shared" si="38"/>
        <v>106.28577694955948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9.5</v>
      </c>
      <c r="BY38" s="13">
        <f>IF('Données projet'!$A$114&gt;35,BY37+BX38-CG37,IF(A38&lt;'Données projet'!$A$114,$BV$205^A38,IF(A38='Données projet'!$A$114,'Données projet'!$B$114,BY37+BX38-CG37)))</f>
        <v>103.5</v>
      </c>
      <c r="BZ38" s="14">
        <f>BY38*VLOOKUP('Données projet'!$B$12,Paramètres!$A$1:$I$88,3,0)*VLOOKUP('Données projet'!$B$12,Paramètres!$A$1:$I$88,5,0)</f>
        <v>61.893000000000001</v>
      </c>
      <c r="CA38" s="14">
        <f t="shared" si="39"/>
        <v>17.646010126491074</v>
      </c>
      <c r="CB38" s="22">
        <f t="shared" si="10"/>
        <v>138.53044263697197</v>
      </c>
      <c r="CC38" s="62">
        <f t="shared" si="11"/>
        <v>431.86377597030526</v>
      </c>
      <c r="CD38" s="62">
        <f ca="1">AVERAGE(OFFSET($CC$3,0,0,'Données projet'!$E$12+1,1))-AVERAGE(OFFSET($H$3,0,0,'Données projet'!$E$12+1,1))</f>
        <v>136.47709057888358</v>
      </c>
      <c r="CE38" s="62">
        <f t="shared" si="40"/>
        <v>99.705248792886493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0</v>
      </c>
      <c r="CL38" s="23">
        <f>EXP(-LN(2)/25)*CL37+(1-EXP(-LN(2)/25))/(LN(2)/25)*Calculateur!CG38*Calculateur!CI38*VLOOKUP('Données projet'!$B$12,Paramètres!$A$1:$I$88,3,0)*0.475*44/12</f>
        <v>0</v>
      </c>
      <c r="CM38" s="23">
        <f>EXP(-LN(2)/2)*CM37+(1-EXP(-LN(2)/2))/(LN(2)/2)*CG38*CJ38*VLOOKUP('Données projet'!$B$12,Paramètres!$A$1:$I$88,3,0)*0.475*44/12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9</v>
      </c>
      <c r="CT38" s="13">
        <f>IF('Données projet'!$A$140&gt;35,CT37+CS38-DB37,IF(A38&lt;'Données projet'!$A$140,$CQ$205^A38,IF(A38='Données projet'!$A$140,'Données projet'!$B$140,CT37+CS38-DB37)))</f>
        <v>157</v>
      </c>
      <c r="CU38" s="18">
        <f>CT38*VLOOKUP('Données projet'!$B$13,Paramètres!$A$1:$I$88,3,0)*VLOOKUP('Données projet'!$B$13,Paramètres!$A$1:$I$88,5,0)</f>
        <v>75.516999999999996</v>
      </c>
      <c r="CV38" s="14">
        <f t="shared" si="41"/>
        <v>21.037415628132575</v>
      </c>
      <c r="CW38" s="22">
        <f t="shared" si="13"/>
        <v>168.16560721899756</v>
      </c>
      <c r="CX38" s="62">
        <f t="shared" si="14"/>
        <v>461.49894055233085</v>
      </c>
      <c r="CY38" s="62">
        <f ca="1">AVERAGE(OFFSET($CX$3,0,0,'Données projet'!$E$13+1,1))-AVERAGE(OFFSET($H$3,0,0,'Données projet'!$E$13+1,1))</f>
        <v>205.01234521498333</v>
      </c>
      <c r="CZ38" s="62">
        <f t="shared" si="42"/>
        <v>100.26042113972852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projet'!$B$13,Paramètres!$A$1:$I$88,3,0)*0.475*44/12</f>
        <v>0</v>
      </c>
      <c r="DG38" s="23">
        <f>EXP(-LN(2)/25)*DG37+(1-EXP(-LN(2)/25))/(LN(2)/25)*Calculateur!DB38*Calculateur!DD38*VLOOKUP('Données projet'!$B$13,Paramètres!$A$1:$I$88,3,0)*0.475*44/12</f>
        <v>0</v>
      </c>
      <c r="DH38" s="23">
        <f>EXP(-LN(2)/2)*DH37+(1-EXP(-LN(2)/2))/(LN(2)/2)*DB38*DE38*VLOOKUP('Données projet'!$B$13,Paramètres!$A$1:$I$88,3,0)*0.475*44/12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10.53000000000001</v>
      </c>
      <c r="D39" s="12">
        <f t="shared" si="32"/>
        <v>3.6895191908595284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109.76470954347714</v>
      </c>
      <c r="H39" s="70">
        <f t="shared" si="1"/>
        <v>318.09899592408033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2.6</v>
      </c>
      <c r="N39" s="14">
        <f>IF('Données projet'!$A$36&gt;35,N38+M39-V38,IF(A39&lt;'Données projet'!$A$36,$K$205^A39,IF(A39='Données projet'!$A$36,'Données projet'!$B$36,N38+M39-V38)))</f>
        <v>103.6</v>
      </c>
      <c r="O39" s="14">
        <f>N39*VLOOKUP('Données projet'!$B$9,Paramètres!$A$1:$I$88,3,0)*VLOOKUP('Données projet'!$B$9,Paramètres!$A$1:$I$88,5,0)</f>
        <v>105.05040000000001</v>
      </c>
      <c r="P39" s="14">
        <f t="shared" si="33"/>
        <v>28.161713879642569</v>
      </c>
      <c r="Q39" s="22">
        <f t="shared" si="53"/>
        <v>232.01109834037746</v>
      </c>
      <c r="R39" s="62">
        <f t="shared" si="0"/>
        <v>525.3444316737108</v>
      </c>
      <c r="S39" s="62">
        <f ca="1">AVERAGE(OFFSET($R$3,0,0,'Données projet'!$E$9+1,1))-AVERAGE(OFFSET($H$3,0,0,'Données projet'!$E$9+1,1))</f>
        <v>167.90363814107491</v>
      </c>
      <c r="T39" s="62">
        <f t="shared" si="34"/>
        <v>174.92847878212234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0</v>
      </c>
      <c r="AB39" s="23">
        <f>EXP(-LN(2)/2)*AB38+(1-EXP(-LN(2)/2))/(LN(2)/2)*V39*Y39*VLOOKUP('Données projet'!$B$9,Paramètres!$A$1:$I$88,3,0)*0.475*44/12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2.6</v>
      </c>
      <c r="AI39" s="14">
        <f>IF('Données projet'!$A$62&gt;35,AI38+AH39-AQ38,IF(A39&lt;'Données projet'!$A$62,$AF$205^A39,IF(A39='Données projet'!$A$62,'Données projet'!$B$62,AI38+AH39-AQ38)))</f>
        <v>103.6</v>
      </c>
      <c r="AJ39" s="14">
        <f>AI39*VLOOKUP('Données projet'!$B$10,Paramètres!$A$1:$I$88,3,0)*VLOOKUP('Données projet'!$B$10,Paramètres!$A$1:$I$88,5,0)</f>
        <v>111.51504</v>
      </c>
      <c r="AK39" s="14">
        <f t="shared" si="35"/>
        <v>29.687655136252104</v>
      </c>
      <c r="AL39" s="22">
        <f t="shared" si="4"/>
        <v>245.9280273623057</v>
      </c>
      <c r="AM39" s="62">
        <f t="shared" si="5"/>
        <v>539.26136069563904</v>
      </c>
      <c r="AN39" s="62">
        <f ca="1">AVERAGE(OFFSET($AM$3,0,0,'Données projet'!$E$10+1,1))-AVERAGE(OFFSET($H$3,0,0,'Données projet'!$E$10+1,1))</f>
        <v>179.61236179838011</v>
      </c>
      <c r="AO39" s="62">
        <f t="shared" si="36"/>
        <v>186.66130555850333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14.6</v>
      </c>
      <c r="BD39" s="13">
        <f>IF('Données projet'!$A$88&gt;35,BD38+BC39-BL38,IF(A39&lt;'Données projet'!$A$88,$BA$205^A39,IF(A39='Données projet'!$A$88,'Données projet'!$B$88,BD38+BC39-BL38)))</f>
        <v>208.59999999999994</v>
      </c>
      <c r="BE39" s="14">
        <f>BD39*VLOOKUP('Données projet'!$B$11,Paramètres!$A$1:$I$88,3,0)*VLOOKUP('Données projet'!$B$11,Paramètres!$A$1:$I$88,5,0)</f>
        <v>97.624799999999965</v>
      </c>
      <c r="BF39" s="14">
        <f t="shared" si="37"/>
        <v>26.395349675372152</v>
      </c>
      <c r="BG39" s="22">
        <f t="shared" si="7"/>
        <v>216.00176068460644</v>
      </c>
      <c r="BH39" s="62">
        <f t="shared" si="8"/>
        <v>509.33509401793975</v>
      </c>
      <c r="BI39" s="62">
        <f ca="1">AVERAGE(OFFSET($BH$3,0,0,'Données projet'!$E$11+1,1))-AVERAGE(OFFSET($H$3,0,0,'Données projet'!$E$11+1,1))</f>
        <v>335.00873408144395</v>
      </c>
      <c r="BJ39" s="62">
        <f t="shared" si="38"/>
        <v>106.28577694955948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9.5</v>
      </c>
      <c r="BY39" s="13">
        <f>IF('Données projet'!$A$114&gt;35,BY38+BX39-CG38,IF(A39&lt;'Données projet'!$A$114,$BV$205^A39,IF(A39='Données projet'!$A$114,'Données projet'!$B$114,BY38+BX39-CG38)))</f>
        <v>113</v>
      </c>
      <c r="BZ39" s="14">
        <f>BY39*VLOOKUP('Données projet'!$B$12,Paramètres!$A$1:$I$88,3,0)*VLOOKUP('Données projet'!$B$12,Paramètres!$A$1:$I$88,5,0)</f>
        <v>67.574000000000012</v>
      </c>
      <c r="CA39" s="14">
        <f t="shared" si="39"/>
        <v>19.069765110231607</v>
      </c>
      <c r="CB39" s="22">
        <f t="shared" si="10"/>
        <v>150.90455756698671</v>
      </c>
      <c r="CC39" s="62">
        <f t="shared" si="11"/>
        <v>444.23789090032005</v>
      </c>
      <c r="CD39" s="62">
        <f ca="1">AVERAGE(OFFSET($CC$3,0,0,'Données projet'!$E$12+1,1))-AVERAGE(OFFSET($H$3,0,0,'Données projet'!$E$12+1,1))</f>
        <v>136.47709057888358</v>
      </c>
      <c r="CE39" s="62">
        <f t="shared" si="40"/>
        <v>99.705248792886493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0</v>
      </c>
      <c r="CL39" s="23">
        <f>EXP(-LN(2)/25)*CL38+(1-EXP(-LN(2)/25))/(LN(2)/25)*Calculateur!CG39*Calculateur!CI39*VLOOKUP('Données projet'!$B$12,Paramètres!$A$1:$I$88,3,0)*0.475*44/12</f>
        <v>0</v>
      </c>
      <c r="CM39" s="23">
        <f>EXP(-LN(2)/2)*CM38+(1-EXP(-LN(2)/2))/(LN(2)/2)*CG39*CJ39*VLOOKUP('Données projet'!$B$12,Paramètres!$A$1:$I$88,3,0)*0.475*44/12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9</v>
      </c>
      <c r="CT39" s="13">
        <f>IF('Données projet'!$A$140&gt;35,CT38+CS39-DB38,IF(A39&lt;'Données projet'!$A$140,$CQ$205^A39,IF(A39='Données projet'!$A$140,'Données projet'!$B$140,CT38+CS39-DB38)))</f>
        <v>166</v>
      </c>
      <c r="CU39" s="18">
        <f>CT39*VLOOKUP('Données projet'!$B$13,Paramètres!$A$1:$I$88,3,0)*VLOOKUP('Données projet'!$B$13,Paramètres!$A$1:$I$88,5,0)</f>
        <v>79.846000000000004</v>
      </c>
      <c r="CV39" s="14">
        <f t="shared" si="41"/>
        <v>22.099526106492764</v>
      </c>
      <c r="CW39" s="22">
        <f t="shared" si="13"/>
        <v>177.55512463547487</v>
      </c>
      <c r="CX39" s="62">
        <f t="shared" si="14"/>
        <v>470.88845796880821</v>
      </c>
      <c r="CY39" s="62">
        <f ca="1">AVERAGE(OFFSET($CX$3,0,0,'Données projet'!$E$13+1,1))-AVERAGE(OFFSET($H$3,0,0,'Données projet'!$E$13+1,1))</f>
        <v>205.01234521498333</v>
      </c>
      <c r="CZ39" s="62">
        <f t="shared" si="42"/>
        <v>100.26042113972852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projet'!$B$13,Paramètres!$A$1:$I$88,3,0)*0.475*44/12</f>
        <v>0</v>
      </c>
      <c r="DG39" s="23">
        <f>EXP(-LN(2)/25)*DG38+(1-EXP(-LN(2)/25))/(LN(2)/25)*Calculateur!DB39*Calculateur!DD39*VLOOKUP('Données projet'!$B$13,Paramètres!$A$1:$I$88,3,0)*0.475*44/12</f>
        <v>0</v>
      </c>
      <c r="DH39" s="23">
        <f>EXP(-LN(2)/2)*DH38+(1-EXP(-LN(2)/2))/(LN(2)/2)*DB39*DE39*VLOOKUP('Données projet'!$B$13,Paramètres!$A$1:$I$88,3,0)*0.475*44/12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10.82250000000001</v>
      </c>
      <c r="D40" s="12">
        <f t="shared" si="32"/>
        <v>3.7799314803479378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112.72052370794908</v>
      </c>
      <c r="H40" s="70">
        <f t="shared" si="1"/>
        <v>318.76590149493933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2.6</v>
      </c>
      <c r="N40" s="14">
        <f>IF('Données projet'!$A$36&gt;35,N39+M40-V39,IF(A40&lt;'Données projet'!$A$36,$K$205^A40,IF(A40='Données projet'!$A$36,'Données projet'!$B$36,N39+M40-V39)))</f>
        <v>106.19999999999999</v>
      </c>
      <c r="O40" s="14">
        <f>N40*VLOOKUP('Données projet'!$B$9,Paramètres!$A$1:$I$88,3,0)*VLOOKUP('Données projet'!$B$9,Paramètres!$A$1:$I$88,5,0)</f>
        <v>107.68680000000001</v>
      </c>
      <c r="P40" s="14">
        <f t="shared" si="33"/>
        <v>28.785304299995126</v>
      </c>
      <c r="Q40" s="22">
        <f t="shared" si="53"/>
        <v>237.68891498915818</v>
      </c>
      <c r="R40" s="62">
        <f t="shared" si="0"/>
        <v>531.02224832249146</v>
      </c>
      <c r="S40" s="62">
        <f ca="1">AVERAGE(OFFSET($R$3,0,0,'Données projet'!$E$9+1,1))-AVERAGE(OFFSET($H$3,0,0,'Données projet'!$E$9+1,1))</f>
        <v>167.90363814107491</v>
      </c>
      <c r="T40" s="62">
        <f t="shared" si="34"/>
        <v>174.92847878212234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0</v>
      </c>
      <c r="AB40" s="23">
        <f>EXP(-LN(2)/2)*AB39+(1-EXP(-LN(2)/2))/(LN(2)/2)*V40*Y40*VLOOKUP('Données projet'!$B$9,Paramètres!$A$1:$I$88,3,0)*0.475*44/12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2.6</v>
      </c>
      <c r="AI40" s="14">
        <f>IF('Données projet'!$A$62&gt;35,AI39+AH40-AQ39,IF(A40&lt;'Données projet'!$A$62,$AF$205^A40,IF(A40='Données projet'!$A$62,'Données projet'!$B$62,AI39+AH40-AQ39)))</f>
        <v>106.19999999999999</v>
      </c>
      <c r="AJ40" s="14">
        <f>AI40*VLOOKUP('Données projet'!$B$10,Paramètres!$A$1:$I$88,3,0)*VLOOKUP('Données projet'!$B$10,Paramètres!$A$1:$I$88,5,0)</f>
        <v>114.31367999999999</v>
      </c>
      <c r="AK40" s="14">
        <f t="shared" si="35"/>
        <v>30.34503477673913</v>
      </c>
      <c r="AL40" s="22">
        <f t="shared" si="4"/>
        <v>251.94726156948727</v>
      </c>
      <c r="AM40" s="62">
        <f t="shared" si="5"/>
        <v>545.28059490282055</v>
      </c>
      <c r="AN40" s="62">
        <f ca="1">AVERAGE(OFFSET($AM$3,0,0,'Données projet'!$E$10+1,1))-AVERAGE(OFFSET($H$3,0,0,'Données projet'!$E$10+1,1))</f>
        <v>179.61236179838011</v>
      </c>
      <c r="AO40" s="62">
        <f t="shared" si="36"/>
        <v>186.66130555850333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14.6</v>
      </c>
      <c r="BD40" s="13">
        <f>IF('Données projet'!$A$88&gt;35,BD39+BC40-BL39,IF(A40&lt;'Données projet'!$A$88,$BA$205^A40,IF(A40='Données projet'!$A$88,'Données projet'!$B$88,BD39+BC40-BL39)))</f>
        <v>223.19999999999993</v>
      </c>
      <c r="BE40" s="14">
        <f>BD40*VLOOKUP('Données projet'!$B$11,Paramètres!$A$1:$I$88,3,0)*VLOOKUP('Données projet'!$B$11,Paramètres!$A$1:$I$88,5,0)</f>
        <v>104.45759999999997</v>
      </c>
      <c r="BF40" s="14">
        <f t="shared" si="37"/>
        <v>28.021248860498247</v>
      </c>
      <c r="BG40" s="22">
        <f t="shared" si="7"/>
        <v>230.73399509870103</v>
      </c>
      <c r="BH40" s="62">
        <f t="shared" si="8"/>
        <v>524.0673284320344</v>
      </c>
      <c r="BI40" s="62">
        <f ca="1">AVERAGE(OFFSET($BH$3,0,0,'Données projet'!$E$11+1,1))-AVERAGE(OFFSET($H$3,0,0,'Données projet'!$E$11+1,1))</f>
        <v>335.00873408144395</v>
      </c>
      <c r="BJ40" s="62">
        <f t="shared" si="38"/>
        <v>106.28577694955948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9.5</v>
      </c>
      <c r="BY40" s="13">
        <f>IF('Données projet'!$A$114&gt;35,BY39+BX40-CG39,IF(A40&lt;'Données projet'!$A$114,$BV$205^A40,IF(A40='Données projet'!$A$114,'Données projet'!$B$114,BY39+BX40-CG39)))</f>
        <v>122.5</v>
      </c>
      <c r="BZ40" s="14">
        <f>BY40*VLOOKUP('Données projet'!$B$12,Paramètres!$A$1:$I$88,3,0)*VLOOKUP('Données projet'!$B$12,Paramètres!$A$1:$I$88,5,0)</f>
        <v>73.25500000000001</v>
      </c>
      <c r="CA40" s="14">
        <f t="shared" si="39"/>
        <v>20.479638154475385</v>
      </c>
      <c r="CB40" s="22">
        <f t="shared" si="10"/>
        <v>163.2544947857113</v>
      </c>
      <c r="CC40" s="62">
        <f t="shared" si="11"/>
        <v>456.58782811904462</v>
      </c>
      <c r="CD40" s="62">
        <f ca="1">AVERAGE(OFFSET($CC$3,0,0,'Données projet'!$E$12+1,1))-AVERAGE(OFFSET($H$3,0,0,'Données projet'!$E$12+1,1))</f>
        <v>136.47709057888358</v>
      </c>
      <c r="CE40" s="62">
        <f t="shared" si="40"/>
        <v>99.705248792886493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0</v>
      </c>
      <c r="CL40" s="23">
        <f>EXP(-LN(2)/25)*CL39+(1-EXP(-LN(2)/25))/(LN(2)/25)*Calculateur!CG40*Calculateur!CI40*VLOOKUP('Données projet'!$B$12,Paramètres!$A$1:$I$88,3,0)*0.475*44/12</f>
        <v>0</v>
      </c>
      <c r="CM40" s="23">
        <f>EXP(-LN(2)/2)*CM39+(1-EXP(-LN(2)/2))/(LN(2)/2)*CG40*CJ40*VLOOKUP('Données projet'!$B$12,Paramètres!$A$1:$I$88,3,0)*0.475*44/12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</v>
      </c>
      <c r="CT40" s="13">
        <f>IF('Données projet'!$A$140&gt;35,CT39+CS40-DB39,IF(A40&lt;'Données projet'!$A$140,$CQ$205^A40,IF(A40='Données projet'!$A$140,'Données projet'!$B$140,CT39+CS40-DB39)))</f>
        <v>175</v>
      </c>
      <c r="CU40" s="18">
        <f>CT40*VLOOKUP('Données projet'!$B$13,Paramètres!$A$1:$I$88,3,0)*VLOOKUP('Données projet'!$B$13,Paramètres!$A$1:$I$88,5,0)</f>
        <v>84.174999999999997</v>
      </c>
      <c r="CV40" s="14">
        <f t="shared" si="41"/>
        <v>23.154951420465835</v>
      </c>
      <c r="CW40" s="22">
        <f t="shared" si="13"/>
        <v>186.93299872397799</v>
      </c>
      <c r="CX40" s="62">
        <f t="shared" si="14"/>
        <v>480.26633205731127</v>
      </c>
      <c r="CY40" s="62">
        <f ca="1">AVERAGE(OFFSET($CX$3,0,0,'Données projet'!$E$13+1,1))-AVERAGE(OFFSET($H$3,0,0,'Données projet'!$E$13+1,1))</f>
        <v>205.01234521498333</v>
      </c>
      <c r="CZ40" s="62">
        <f t="shared" si="42"/>
        <v>100.26042113972852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projet'!$B$13,Paramètres!$A$1:$I$88,3,0)*0.475*44/12</f>
        <v>0</v>
      </c>
      <c r="DG40" s="23">
        <f>EXP(-LN(2)/25)*DG39+(1-EXP(-LN(2)/25))/(LN(2)/25)*Calculateur!DB40*Calculateur!DD40*VLOOKUP('Données projet'!$B$13,Paramètres!$A$1:$I$88,3,0)*0.475*44/12</f>
        <v>0</v>
      </c>
      <c r="DH40" s="23">
        <f>EXP(-LN(2)/2)*DH39+(1-EXP(-LN(2)/2))/(LN(2)/2)*DB40*DE40*VLOOKUP('Données projet'!$B$13,Paramètres!$A$1:$I$88,3,0)*0.475*44/12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11.115000000000011</v>
      </c>
      <c r="D41" s="12">
        <f t="shared" si="32"/>
        <v>3.870059748056951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115.67414542359761</v>
      </c>
      <c r="H41" s="70">
        <f t="shared" si="1"/>
        <v>319.43231239453252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2.6</v>
      </c>
      <c r="N41" s="14">
        <f>IF('Données projet'!$A$36&gt;35,N40+M41-V40,IF(A41&lt;'Données projet'!$A$36,$K$205^A41,IF(A41='Données projet'!$A$36,'Données projet'!$B$36,N40+M41-V40)))</f>
        <v>108.79999999999998</v>
      </c>
      <c r="O41" s="14">
        <f>N41*VLOOKUP('Données projet'!$B$9,Paramètres!$A$1:$I$88,3,0)*VLOOKUP('Données projet'!$B$9,Paramètres!$A$1:$I$88,5,0)</f>
        <v>110.32319999999999</v>
      </c>
      <c r="P41" s="14">
        <f t="shared" si="33"/>
        <v>29.407120006092025</v>
      </c>
      <c r="Q41" s="22">
        <f t="shared" si="53"/>
        <v>243.36364067727686</v>
      </c>
      <c r="R41" s="62">
        <f t="shared" si="0"/>
        <v>536.69697401061012</v>
      </c>
      <c r="S41" s="62">
        <f ca="1">AVERAGE(OFFSET($R$3,0,0,'Données projet'!$E$9+1,1))-AVERAGE(OFFSET($H$3,0,0,'Données projet'!$E$9+1,1))</f>
        <v>167.90363814107491</v>
      </c>
      <c r="T41" s="62">
        <f t="shared" si="34"/>
        <v>174.92847878212234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0</v>
      </c>
      <c r="AB41" s="23">
        <f>EXP(-LN(2)/2)*AB40+(1-EXP(-LN(2)/2))/(LN(2)/2)*V41*Y41*VLOOKUP('Données projet'!$B$9,Paramètres!$A$1:$I$88,3,0)*0.475*44/12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2.6</v>
      </c>
      <c r="AI41" s="14">
        <f>IF('Données projet'!$A$62&gt;35,AI40+AH41-AQ40,IF(A41&lt;'Données projet'!$A$62,$AF$205^A41,IF(A41='Données projet'!$A$62,'Données projet'!$B$62,AI40+AH41-AQ40)))</f>
        <v>108.79999999999998</v>
      </c>
      <c r="AJ41" s="14">
        <f>AI41*VLOOKUP('Données projet'!$B$10,Paramètres!$A$1:$I$88,3,0)*VLOOKUP('Données projet'!$B$10,Paramètres!$A$1:$I$88,5,0)</f>
        <v>117.11231999999998</v>
      </c>
      <c r="AK41" s="14">
        <f t="shared" si="35"/>
        <v>31.000543540154752</v>
      </c>
      <c r="AL41" s="22">
        <f t="shared" si="4"/>
        <v>257.96323733243617</v>
      </c>
      <c r="AM41" s="62">
        <f t="shared" si="5"/>
        <v>551.29657066576942</v>
      </c>
      <c r="AN41" s="62">
        <f ca="1">AVERAGE(OFFSET($AM$3,0,0,'Données projet'!$E$10+1,1))-AVERAGE(OFFSET($H$3,0,0,'Données projet'!$E$10+1,1))</f>
        <v>179.61236179838011</v>
      </c>
      <c r="AO41" s="62">
        <f t="shared" si="36"/>
        <v>186.66130555850333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14.6</v>
      </c>
      <c r="BD41" s="13">
        <f>IF('Données projet'!$A$88&gt;35,BD40+BC41-BL40,IF(A41&lt;'Données projet'!$A$88,$BA$205^A41,IF(A41='Données projet'!$A$88,'Données projet'!$B$88,BD40+BC41-BL40)))</f>
        <v>237.79999999999993</v>
      </c>
      <c r="BE41" s="14">
        <f>BD41*VLOOKUP('Données projet'!$B$11,Paramètres!$A$1:$I$88,3,0)*VLOOKUP('Données projet'!$B$11,Paramètres!$A$1:$I$88,5,0)</f>
        <v>111.29039999999998</v>
      </c>
      <c r="BF41" s="14">
        <f t="shared" si="37"/>
        <v>29.634806205918217</v>
      </c>
      <c r="BG41" s="22">
        <f t="shared" si="7"/>
        <v>245.44473414197418</v>
      </c>
      <c r="BH41" s="62">
        <f t="shared" si="8"/>
        <v>538.77806747530747</v>
      </c>
      <c r="BI41" s="62">
        <f ca="1">AVERAGE(OFFSET($BH$3,0,0,'Données projet'!$E$11+1,1))-AVERAGE(OFFSET($H$3,0,0,'Données projet'!$E$11+1,1))</f>
        <v>335.00873408144395</v>
      </c>
      <c r="BJ41" s="62">
        <f t="shared" si="38"/>
        <v>106.28577694955948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9.5</v>
      </c>
      <c r="BY41" s="13">
        <f>IF('Données projet'!$A$114&gt;35,BY40+BX41-CG40,IF(A41&lt;'Données projet'!$A$114,$BV$205^A41,IF(A41='Données projet'!$A$114,'Données projet'!$B$114,BY40+BX41-CG40)))</f>
        <v>132</v>
      </c>
      <c r="BZ41" s="14">
        <f>BY41*VLOOKUP('Données projet'!$B$12,Paramètres!$A$1:$I$88,3,0)*VLOOKUP('Données projet'!$B$12,Paramètres!$A$1:$I$88,5,0)</f>
        <v>78.936000000000007</v>
      </c>
      <c r="CA41" s="14">
        <f t="shared" si="39"/>
        <v>21.876828219051273</v>
      </c>
      <c r="CB41" s="22">
        <f t="shared" si="10"/>
        <v>175.5823424815143</v>
      </c>
      <c r="CC41" s="62">
        <f t="shared" si="11"/>
        <v>468.91567581484765</v>
      </c>
      <c r="CD41" s="62">
        <f ca="1">AVERAGE(OFFSET($CC$3,0,0,'Données projet'!$E$12+1,1))-AVERAGE(OFFSET($H$3,0,0,'Données projet'!$E$12+1,1))</f>
        <v>136.47709057888358</v>
      </c>
      <c r="CE41" s="62">
        <f t="shared" si="40"/>
        <v>99.705248792886493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0</v>
      </c>
      <c r="CL41" s="23">
        <f>EXP(-LN(2)/25)*CL40+(1-EXP(-LN(2)/25))/(LN(2)/25)*Calculateur!CG41*Calculateur!CI41*VLOOKUP('Données projet'!$B$12,Paramètres!$A$1:$I$88,3,0)*0.475*44/12</f>
        <v>0</v>
      </c>
      <c r="CM41" s="23">
        <f>EXP(-LN(2)/2)*CM40+(1-EXP(-LN(2)/2))/(LN(2)/2)*CG41*CJ41*VLOOKUP('Données projet'!$B$12,Paramètres!$A$1:$I$88,3,0)*0.475*44/12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9</v>
      </c>
      <c r="CT41" s="13">
        <f>IF('Données projet'!$A$140&gt;35,CT40+CS41-DB40,IF(A41&lt;'Données projet'!$A$140,$CQ$205^A41,IF(A41='Données projet'!$A$140,'Données projet'!$B$140,CT40+CS41-DB40)))</f>
        <v>184</v>
      </c>
      <c r="CU41" s="18">
        <f>CT41*VLOOKUP('Données projet'!$B$13,Paramètres!$A$1:$I$88,3,0)*VLOOKUP('Données projet'!$B$13,Paramètres!$A$1:$I$88,5,0)</f>
        <v>88.504000000000005</v>
      </c>
      <c r="CV41" s="14">
        <f t="shared" si="41"/>
        <v>24.204074597328468</v>
      </c>
      <c r="CW41" s="22">
        <f t="shared" si="13"/>
        <v>196.29989659034709</v>
      </c>
      <c r="CX41" s="62">
        <f t="shared" si="14"/>
        <v>489.6332299236804</v>
      </c>
      <c r="CY41" s="62">
        <f ca="1">AVERAGE(OFFSET($CX$3,0,0,'Données projet'!$E$13+1,1))-AVERAGE(OFFSET($H$3,0,0,'Données projet'!$E$13+1,1))</f>
        <v>205.01234521498333</v>
      </c>
      <c r="CZ41" s="62">
        <f t="shared" si="42"/>
        <v>100.26042113972852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projet'!$B$13,Paramètres!$A$1:$I$88,3,0)*0.475*44/12</f>
        <v>0</v>
      </c>
      <c r="DG41" s="23">
        <f>EXP(-LN(2)/25)*DG40+(1-EXP(-LN(2)/25))/(LN(2)/25)*Calculateur!DB41*Calculateur!DD41*VLOOKUP('Données projet'!$B$13,Paramètres!$A$1:$I$88,3,0)*0.475*44/12</f>
        <v>0</v>
      </c>
      <c r="DH41" s="23">
        <f>EXP(-LN(2)/2)*DH40+(1-EXP(-LN(2)/2))/(LN(2)/2)*DB41*DE41*VLOOKUP('Données projet'!$B$13,Paramètres!$A$1:$I$88,3,0)*0.475*44/12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11.407500000000011</v>
      </c>
      <c r="D42" s="12">
        <f t="shared" si="32"/>
        <v>3.9599123274276775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118.62563901874006</v>
      </c>
      <c r="H42" s="70">
        <f t="shared" si="1"/>
        <v>320.09824313693656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2.6</v>
      </c>
      <c r="N42" s="14">
        <f>IF('Données projet'!$A$36&gt;35,N41+M42-V41,IF(A42&lt;'Données projet'!$A$36,$K$205^A42,IF(A42='Données projet'!$A$36,'Données projet'!$B$36,N41+M42-V41)))</f>
        <v>111.39999999999998</v>
      </c>
      <c r="O42" s="14">
        <f>N42*VLOOKUP('Données projet'!$B$9,Paramètres!$A$1:$I$88,3,0)*VLOOKUP('Données projet'!$B$9,Paramètres!$A$1:$I$88,5,0)</f>
        <v>112.95959999999998</v>
      </c>
      <c r="P42" s="14">
        <f t="shared" si="33"/>
        <v>30.02720828827184</v>
      </c>
      <c r="Q42" s="22">
        <f t="shared" si="53"/>
        <v>249.03535776874011</v>
      </c>
      <c r="R42" s="62">
        <f t="shared" si="0"/>
        <v>542.3686911020734</v>
      </c>
      <c r="S42" s="62">
        <f ca="1">AVERAGE(OFFSET($R$3,0,0,'Données projet'!$E$9+1,1))-AVERAGE(OFFSET($H$3,0,0,'Données projet'!$E$9+1,1))</f>
        <v>167.90363814107491</v>
      </c>
      <c r="T42" s="62">
        <f t="shared" si="34"/>
        <v>174.92847878212234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0</v>
      </c>
      <c r="AB42" s="23">
        <f>EXP(-LN(2)/2)*AB41+(1-EXP(-LN(2)/2))/(LN(2)/2)*V42*Y42*VLOOKUP('Données projet'!$B$9,Paramètres!$A$1:$I$88,3,0)*0.475*44/12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2.6</v>
      </c>
      <c r="AI42" s="14">
        <f>IF('Données projet'!$A$62&gt;35,AI41+AH42-AQ41,IF(A42&lt;'Données projet'!$A$62,$AF$205^A42,IF(A42='Données projet'!$A$62,'Données projet'!$B$62,AI41+AH42-AQ41)))</f>
        <v>111.39999999999998</v>
      </c>
      <c r="AJ42" s="14">
        <f>AI42*VLOOKUP('Données projet'!$B$10,Paramètres!$A$1:$I$88,3,0)*VLOOKUP('Données projet'!$B$10,Paramètres!$A$1:$I$88,5,0)</f>
        <v>119.91095999999997</v>
      </c>
      <c r="AK42" s="14">
        <f t="shared" si="35"/>
        <v>31.654231279262589</v>
      </c>
      <c r="AL42" s="22">
        <f t="shared" si="4"/>
        <v>263.97604147804896</v>
      </c>
      <c r="AM42" s="62">
        <f t="shared" si="5"/>
        <v>557.30937481138221</v>
      </c>
      <c r="AN42" s="62">
        <f ca="1">AVERAGE(OFFSET($AM$3,0,0,'Données projet'!$E$10+1,1))-AVERAGE(OFFSET($H$3,0,0,'Données projet'!$E$10+1,1))</f>
        <v>179.61236179838011</v>
      </c>
      <c r="AO42" s="62">
        <f t="shared" si="36"/>
        <v>186.66130555850333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14.6</v>
      </c>
      <c r="BD42" s="13">
        <f>IF('Données projet'!$A$88&gt;35,BD41+BC42-BL41,IF(A42&lt;'Données projet'!$A$88,$BA$205^A42,IF(A42='Données projet'!$A$88,'Données projet'!$B$88,BD41+BC42-BL41)))</f>
        <v>252.39999999999992</v>
      </c>
      <c r="BE42" s="14">
        <f>BD42*VLOOKUP('Données projet'!$B$11,Paramètres!$A$1:$I$88,3,0)*VLOOKUP('Données projet'!$B$11,Paramètres!$A$1:$I$88,5,0)</f>
        <v>118.12319999999995</v>
      </c>
      <c r="BF42" s="14">
        <f t="shared" si="37"/>
        <v>31.236865730893584</v>
      </c>
      <c r="BG42" s="22">
        <f t="shared" si="7"/>
        <v>260.13544781463958</v>
      </c>
      <c r="BH42" s="62">
        <f t="shared" si="8"/>
        <v>553.46878114797289</v>
      </c>
      <c r="BI42" s="62">
        <f ca="1">AVERAGE(OFFSET($BH$3,0,0,'Données projet'!$E$11+1,1))-AVERAGE(OFFSET($H$3,0,0,'Données projet'!$E$11+1,1))</f>
        <v>335.00873408144395</v>
      </c>
      <c r="BJ42" s="62">
        <f t="shared" si="38"/>
        <v>106.28577694955948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9.5</v>
      </c>
      <c r="BY42" s="13">
        <f>IF('Données projet'!$A$114&gt;35,BY41+BX42-CG41,IF(A42&lt;'Données projet'!$A$114,$BV$205^A42,IF(A42='Données projet'!$A$114,'Données projet'!$B$114,BY41+BX42-CG41)))</f>
        <v>141.5</v>
      </c>
      <c r="BZ42" s="14">
        <f>BY42*VLOOKUP('Données projet'!$B$12,Paramètres!$A$1:$I$88,3,0)*VLOOKUP('Données projet'!$B$12,Paramètres!$A$1:$I$88,5,0)</f>
        <v>84.617000000000004</v>
      </c>
      <c r="CA42" s="14">
        <f t="shared" si="39"/>
        <v>23.262351905082731</v>
      </c>
      <c r="CB42" s="22">
        <f t="shared" si="10"/>
        <v>187.88987123468576</v>
      </c>
      <c r="CC42" s="62">
        <f t="shared" si="11"/>
        <v>481.22320456801907</v>
      </c>
      <c r="CD42" s="62">
        <f ca="1">AVERAGE(OFFSET($CC$3,0,0,'Données projet'!$E$12+1,1))-AVERAGE(OFFSET($H$3,0,0,'Données projet'!$E$12+1,1))</f>
        <v>136.47709057888358</v>
      </c>
      <c r="CE42" s="62">
        <f t="shared" si="40"/>
        <v>99.705248792886493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0</v>
      </c>
      <c r="CL42" s="23">
        <f>EXP(-LN(2)/25)*CL41+(1-EXP(-LN(2)/25))/(LN(2)/25)*Calculateur!CG42*Calculateur!CI42*VLOOKUP('Données projet'!$B$12,Paramètres!$A$1:$I$88,3,0)*0.475*44/12</f>
        <v>0</v>
      </c>
      <c r="CM42" s="23">
        <f>EXP(-LN(2)/2)*CM41+(1-EXP(-LN(2)/2))/(LN(2)/2)*CG42*CJ42*VLOOKUP('Données projet'!$B$12,Paramètres!$A$1:$I$88,3,0)*0.475*44/12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9</v>
      </c>
      <c r="CT42" s="13">
        <f>IF('Données projet'!$A$140&gt;35,CT41+CS42-DB41,IF(A42&lt;'Données projet'!$A$140,$CQ$205^A42,IF(A42='Données projet'!$A$140,'Données projet'!$B$140,CT41+CS42-DB41)))</f>
        <v>193</v>
      </c>
      <c r="CU42" s="18">
        <f>CT42*VLOOKUP('Données projet'!$B$13,Paramètres!$A$1:$I$88,3,0)*VLOOKUP('Données projet'!$B$13,Paramètres!$A$1:$I$88,5,0)</f>
        <v>92.832999999999998</v>
      </c>
      <c r="CV42" s="14">
        <f t="shared" si="41"/>
        <v>25.247239077388961</v>
      </c>
      <c r="CW42" s="22">
        <f t="shared" si="13"/>
        <v>205.65641639311912</v>
      </c>
      <c r="CX42" s="62">
        <f t="shared" si="14"/>
        <v>498.98974972645243</v>
      </c>
      <c r="CY42" s="62">
        <f ca="1">AVERAGE(OFFSET($CX$3,0,0,'Données projet'!$E$13+1,1))-AVERAGE(OFFSET($H$3,0,0,'Données projet'!$E$13+1,1))</f>
        <v>205.01234521498333</v>
      </c>
      <c r="CZ42" s="62">
        <f t="shared" si="42"/>
        <v>100.26042113972852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projet'!$B$13,Paramètres!$A$1:$I$88,3,0)*0.475*44/12</f>
        <v>0</v>
      </c>
      <c r="DG42" s="23">
        <f>EXP(-LN(2)/25)*DG41+(1-EXP(-LN(2)/25))/(LN(2)/25)*Calculateur!DB42*Calculateur!DD42*VLOOKUP('Données projet'!$B$13,Paramètres!$A$1:$I$88,3,0)*0.475*44/12</f>
        <v>0</v>
      </c>
      <c r="DH42" s="23">
        <f>EXP(-LN(2)/2)*DH41+(1-EXP(-LN(2)/2))/(LN(2)/2)*DB42*DE42*VLOOKUP('Données projet'!$B$13,Paramètres!$A$1:$I$88,3,0)*0.475*44/12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11.700000000000012</v>
      </c>
      <c r="D43" s="12">
        <f t="shared" si="32"/>
        <v>4.0494971001980327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121.57506533486212</v>
      </c>
      <c r="H43" s="70">
        <f t="shared" si="1"/>
        <v>320.76370744951157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114</v>
      </c>
      <c r="L43" s="13">
        <f>VLOOKUP(A43,'Données projet'!$A$35:$I$55,9,0)</f>
        <v>2.6</v>
      </c>
      <c r="M43" s="13">
        <f t="array" ref="M43">INDEX(L:L,MIN(IF(ISNUMBER(L43:L239),ROW(L43:L239),"")))</f>
        <v>2.6</v>
      </c>
      <c r="N43" s="14">
        <f>IF('Données projet'!$A$36&gt;35,N42+M43-V42,IF(A43&lt;'Données projet'!$A$36,$K$205^A43,IF(A43='Données projet'!$A$36,'Données projet'!$B$36,N42+M43-V42)))</f>
        <v>113.99999999999997</v>
      </c>
      <c r="O43" s="14">
        <f>N43*VLOOKUP('Données projet'!$B$9,Paramètres!$A$1:$I$88,3,0)*VLOOKUP('Données projet'!$B$9,Paramètres!$A$1:$I$88,5,0)</f>
        <v>115.59599999999998</v>
      </c>
      <c r="P43" s="14">
        <f t="shared" si="33"/>
        <v>30.645614103483879</v>
      </c>
      <c r="Q43" s="22">
        <f t="shared" si="53"/>
        <v>254.70414456356775</v>
      </c>
      <c r="R43" s="62">
        <f t="shared" si="0"/>
        <v>548.03747789690101</v>
      </c>
      <c r="S43" s="62">
        <f ca="1">AVERAGE(OFFSET($R$3,0,0,'Données projet'!$E$9+1,1))-AVERAGE(OFFSET($H$3,0,0,'Données projet'!$E$9+1,1))</f>
        <v>167.90363814107491</v>
      </c>
      <c r="T43" s="62">
        <f t="shared" si="34"/>
        <v>174.92847878212234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0</v>
      </c>
      <c r="AB43" s="23">
        <f>EXP(-LN(2)/2)*AB42+(1-EXP(-LN(2)/2))/(LN(2)/2)*V43*Y43*VLOOKUP('Données projet'!$B$9,Paramètres!$A$1:$I$88,3,0)*0.475*44/12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114</v>
      </c>
      <c r="AG43" s="13">
        <f>VLOOKUP(A43,'Données projet'!$A$61:$I$81,9,0)</f>
        <v>2.6</v>
      </c>
      <c r="AH43" s="13">
        <f t="array" ref="AH43">INDEX(AG:AG,MIN(IF(ISNUMBER(AG43:AG239),ROW(AG43:AG239),"")))</f>
        <v>2.6</v>
      </c>
      <c r="AI43" s="14">
        <f>IF('Données projet'!$A$62&gt;35,AI42+AH43-AQ42,IF(A43&lt;'Données projet'!$A$62,$AF$205^A43,IF(A43='Données projet'!$A$62,'Données projet'!$B$62,AI42+AH43-AQ42)))</f>
        <v>113.99999999999997</v>
      </c>
      <c r="AJ43" s="14">
        <f>AI43*VLOOKUP('Données projet'!$B$10,Paramètres!$A$1:$I$88,3,0)*VLOOKUP('Données projet'!$B$10,Paramètres!$A$1:$I$88,5,0)</f>
        <v>122.70959999999995</v>
      </c>
      <c r="AK43" s="14">
        <f t="shared" si="35"/>
        <v>32.306145387002253</v>
      </c>
      <c r="AL43" s="22">
        <f t="shared" si="4"/>
        <v>269.98575654902879</v>
      </c>
      <c r="AM43" s="62">
        <f t="shared" si="5"/>
        <v>563.31908988236205</v>
      </c>
      <c r="AN43" s="62">
        <f ca="1">AVERAGE(OFFSET($AM$3,0,0,'Données projet'!$E$10+1,1))-AVERAGE(OFFSET($H$3,0,0,'Données projet'!$E$10+1,1))</f>
        <v>179.61236179838011</v>
      </c>
      <c r="AO43" s="62">
        <f t="shared" si="36"/>
        <v>186.66130555850333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0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267</v>
      </c>
      <c r="BB43" s="13">
        <f>VLOOKUP(A43,'Données projet'!$A$87:$I$107,9,0)</f>
        <v>14.6</v>
      </c>
      <c r="BC43" s="13">
        <f t="array" ref="BC43">INDEX(BB:BB,MIN(IF(ISNUMBER(BB43:BB239),ROW(BB43:BB239),"")))</f>
        <v>14.6</v>
      </c>
      <c r="BD43" s="13">
        <f>IF('Données projet'!$A$88&gt;35,BD42+BC43-BL42,IF(A43&lt;'Données projet'!$A$88,$BA$205^A43,IF(A43='Données projet'!$A$88,'Données projet'!$B$88,BD42+BC43-BL42)))</f>
        <v>266.99999999999994</v>
      </c>
      <c r="BE43" s="14">
        <f>BD43*VLOOKUP('Données projet'!$B$11,Paramètres!$A$1:$I$88,3,0)*VLOOKUP('Données projet'!$B$11,Paramètres!$A$1:$I$88,5,0)</f>
        <v>124.95599999999997</v>
      </c>
      <c r="BF43" s="14">
        <f t="shared" si="37"/>
        <v>32.828168295117194</v>
      </c>
      <c r="BG43" s="22">
        <f t="shared" si="7"/>
        <v>274.80742644732908</v>
      </c>
      <c r="BH43" s="62">
        <f t="shared" si="8"/>
        <v>568.14075978066239</v>
      </c>
      <c r="BI43" s="62">
        <f ca="1">AVERAGE(OFFSET($BH$3,0,0,'Données projet'!$E$11+1,1))-AVERAGE(OFFSET($H$3,0,0,'Données projet'!$E$11+1,1))</f>
        <v>335.00873408144395</v>
      </c>
      <c r="BJ43" s="62">
        <f t="shared" si="38"/>
        <v>106.28577694955948</v>
      </c>
      <c r="BK43" s="16">
        <f>IF(ISNA(VLOOKUP(A43,'Données projet'!$A$87:$I$107,3,0)),0,VLOOKUP(A43,'Données projet'!$A$87:$I$107,3,0))</f>
        <v>1</v>
      </c>
      <c r="BL43" s="16">
        <f>IF(ISNA(VLOOKUP(A43,'Données projet'!$A$87:$I$107,4,0)),0,VLOOKUP(A43,'Données projet'!$A$87:$I$107,4,0))</f>
        <v>91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0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151</v>
      </c>
      <c r="BW43" s="13">
        <f>VLOOKUP(A43,'Données projet'!$A$113:$I$133,9,0)</f>
        <v>9.5</v>
      </c>
      <c r="BX43" s="13">
        <f t="array" ref="BX43">INDEX(BW:BW,MIN(IF(ISNUMBER(BW43:BW239),ROW(BW43:BW239),"")))</f>
        <v>9.5</v>
      </c>
      <c r="BY43" s="13">
        <f>IF('Données projet'!$A$114&gt;35,BY42+BX43-CG42,IF(A43&lt;'Données projet'!$A$114,$BV$205^A43,IF(A43='Données projet'!$A$114,'Données projet'!$B$114,BY42+BX43-CG42)))</f>
        <v>151</v>
      </c>
      <c r="BZ43" s="14">
        <f>BY43*VLOOKUP('Données projet'!$B$12,Paramètres!$A$1:$I$88,3,0)*VLOOKUP('Données projet'!$B$12,Paramètres!$A$1:$I$88,5,0)</f>
        <v>90.298000000000016</v>
      </c>
      <c r="CA43" s="14">
        <f t="shared" si="39"/>
        <v>24.637081585210524</v>
      </c>
      <c r="CB43" s="22">
        <f t="shared" si="10"/>
        <v>200.17860042757502</v>
      </c>
      <c r="CC43" s="62">
        <f t="shared" si="11"/>
        <v>493.51193376090833</v>
      </c>
      <c r="CD43" s="62">
        <f ca="1">AVERAGE(OFFSET($CC$3,0,0,'Données projet'!$E$12+1,1))-AVERAGE(OFFSET($H$3,0,0,'Données projet'!$E$12+1,1))</f>
        <v>136.47709057888358</v>
      </c>
      <c r="CE43" s="62">
        <f t="shared" si="40"/>
        <v>99.705248792886493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56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projet'!$B$12,Paramètres!$A$1:$I$88,3,0)*0.475*44/12</f>
        <v>0</v>
      </c>
      <c r="CL43" s="23">
        <f>EXP(-LN(2)/25)*CL42+(1-EXP(-LN(2)/25))/(LN(2)/25)*Calculateur!CG43*Calculateur!CI43*VLOOKUP('Données projet'!$B$12,Paramètres!$A$1:$I$88,3,0)*0.475*44/12</f>
        <v>0</v>
      </c>
      <c r="CM43" s="23">
        <f>EXP(-LN(2)/2)*CM42+(1-EXP(-LN(2)/2))/(LN(2)/2)*CG43*CJ43*VLOOKUP('Données projet'!$B$12,Paramètres!$A$1:$I$88,3,0)*0.475*44/12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202</v>
      </c>
      <c r="CR43" s="13">
        <f>VLOOKUP(A43,'Données projet'!$A$139:$I$159,9,0)</f>
        <v>9</v>
      </c>
      <c r="CS43" s="13">
        <f t="array" ref="CS43">INDEX(CR:CR,MIN(IF(ISNUMBER(CR43:CR239),ROW(CR43:CR239),"")))</f>
        <v>9</v>
      </c>
      <c r="CT43" s="13">
        <f>IF('Données projet'!$A$140&gt;35,CT42+CS43-DB42,IF(A43&lt;'Données projet'!$A$140,$CQ$205^A43,IF(A43='Données projet'!$A$140,'Données projet'!$B$140,CT42+CS43-DB42)))</f>
        <v>202</v>
      </c>
      <c r="CU43" s="18">
        <f>CT43*VLOOKUP('Données projet'!$B$13,Paramètres!$A$1:$I$88,3,0)*VLOOKUP('Données projet'!$B$13,Paramètres!$A$1:$I$88,5,0)</f>
        <v>97.161999999999992</v>
      </c>
      <c r="CV43" s="14">
        <f t="shared" si="41"/>
        <v>26.284754460059258</v>
      </c>
      <c r="CW43" s="22">
        <f t="shared" si="13"/>
        <v>215.00309735126984</v>
      </c>
      <c r="CX43" s="62">
        <f t="shared" si="14"/>
        <v>508.33643068460316</v>
      </c>
      <c r="CY43" s="62">
        <f ca="1">AVERAGE(OFFSET($CX$3,0,0,'Données projet'!$E$13+1,1))-AVERAGE(OFFSET($H$3,0,0,'Données projet'!$E$13+1,1))</f>
        <v>205.01234521498333</v>
      </c>
      <c r="CZ43" s="62">
        <f t="shared" si="42"/>
        <v>100.26042113972852</v>
      </c>
      <c r="DA43" s="16">
        <f>IF(ISNA(VLOOKUP(A43,'Données projet'!$A$139:$I$159,3,0)),0,VLOOKUP(A43,'Données projet'!$A$139:$I$159,3,0))</f>
        <v>1</v>
      </c>
      <c r="DB43" s="16">
        <f>IF(ISNA(VLOOKUP(A43,'Données projet'!$A$139:$I$159,4,0)),0,VLOOKUP(A43,'Données projet'!$A$139:$I$159,4,0))</f>
        <v>66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projet'!$B$13,Paramètres!$A$1:$I$88,3,0)*0.475*44/12</f>
        <v>0</v>
      </c>
      <c r="DG43" s="23">
        <f>EXP(-LN(2)/25)*DG42+(1-EXP(-LN(2)/25))/(LN(2)/25)*Calculateur!DB43*Calculateur!DD43*VLOOKUP('Données projet'!$B$13,Paramètres!$A$1:$I$88,3,0)*0.475*44/12</f>
        <v>0</v>
      </c>
      <c r="DH43" s="23">
        <f>EXP(-LN(2)/2)*DH42+(1-EXP(-LN(2)/2))/(LN(2)/2)*DB43*DE43*VLOOKUP('Données projet'!$B$13,Paramètres!$A$1:$I$88,3,0)*0.475*44/12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11.992500000000012</v>
      </c>
      <c r="D44" s="12">
        <f t="shared" si="32"/>
        <v>4.1388215315585493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124.52248199799594</v>
      </c>
      <c r="H44" s="70">
        <f t="shared" si="1"/>
        <v>321.42871833413113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2.4</v>
      </c>
      <c r="N44" s="14">
        <f>IF('Données projet'!$A$36&gt;35,N43+M44-V43,IF(A44&lt;'Données projet'!$A$36,$K$205^A44,IF(A44='Données projet'!$A$36,'Données projet'!$B$36,N43+M44-V43)))</f>
        <v>116.39999999999998</v>
      </c>
      <c r="O44" s="14">
        <f>N44*VLOOKUP('Données projet'!$B$9,Paramètres!$A$1:$I$88,3,0)*VLOOKUP('Données projet'!$B$9,Paramètres!$A$1:$I$88,5,0)</f>
        <v>118.02959999999997</v>
      </c>
      <c r="P44" s="14">
        <f t="shared" si="33"/>
        <v>31.214993965589844</v>
      </c>
      <c r="Q44" s="22">
        <f t="shared" si="53"/>
        <v>259.93433449006892</v>
      </c>
      <c r="R44" s="62">
        <f t="shared" si="0"/>
        <v>553.26766782340223</v>
      </c>
      <c r="S44" s="62">
        <f ca="1">AVERAGE(OFFSET($R$3,0,0,'Données projet'!$E$9+1,1))-AVERAGE(OFFSET($H$3,0,0,'Données projet'!$E$9+1,1))</f>
        <v>167.90363814107491</v>
      </c>
      <c r="T44" s="62">
        <f t="shared" si="34"/>
        <v>174.92847878212234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0</v>
      </c>
      <c r="AB44" s="23">
        <f>EXP(-LN(2)/2)*AB43+(1-EXP(-LN(2)/2))/(LN(2)/2)*V44*Y44*VLOOKUP('Données projet'!$B$9,Paramètres!$A$1:$I$88,3,0)*0.475*44/12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2.4</v>
      </c>
      <c r="AI44" s="14">
        <f>IF('Données projet'!$A$62&gt;35,AI43+AH44-AQ43,IF(A44&lt;'Données projet'!$A$62,$AF$205^A44,IF(A44='Données projet'!$A$62,'Données projet'!$B$62,AI43+AH44-AQ43)))</f>
        <v>116.39999999999998</v>
      </c>
      <c r="AJ44" s="14">
        <f>AI44*VLOOKUP('Données projet'!$B$10,Paramètres!$A$1:$I$88,3,0)*VLOOKUP('Données projet'!$B$10,Paramètres!$A$1:$I$88,5,0)</f>
        <v>125.29295999999997</v>
      </c>
      <c r="AK44" s="14">
        <f t="shared" si="35"/>
        <v>32.906377072473241</v>
      </c>
      <c r="AL44" s="22">
        <f t="shared" si="4"/>
        <v>275.53051206789081</v>
      </c>
      <c r="AM44" s="62">
        <f t="shared" si="5"/>
        <v>568.86384540122413</v>
      </c>
      <c r="AN44" s="62">
        <f ca="1">AVERAGE(OFFSET($AM$3,0,0,'Données projet'!$E$10+1,1))-AVERAGE(OFFSET($H$3,0,0,'Données projet'!$E$10+1,1))</f>
        <v>179.61236179838011</v>
      </c>
      <c r="AO44" s="62">
        <f t="shared" si="36"/>
        <v>186.66130555850333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0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20.399999999999999</v>
      </c>
      <c r="BD44" s="13">
        <f>IF('Données projet'!$A$88&gt;35,BD43+BC44-BL43,IF(A44&lt;'Données projet'!$A$88,$BA$205^A44,IF(A44='Données projet'!$A$88,'Données projet'!$B$88,BD43+BC44-BL43)))</f>
        <v>196.39999999999992</v>
      </c>
      <c r="BE44" s="14">
        <f>BD44*VLOOKUP('Données projet'!$B$11,Paramètres!$A$1:$I$88,3,0)*VLOOKUP('Données projet'!$B$11,Paramètres!$A$1:$I$88,5,0)</f>
        <v>91.915199999999956</v>
      </c>
      <c r="BF44" s="14">
        <f t="shared" si="37"/>
        <v>25.026557534351902</v>
      </c>
      <c r="BG44" s="22">
        <f t="shared" si="7"/>
        <v>203.67356103899616</v>
      </c>
      <c r="BH44" s="62">
        <f t="shared" si="8"/>
        <v>497.0068943723295</v>
      </c>
      <c r="BI44" s="62">
        <f ca="1">AVERAGE(OFFSET($BH$3,0,0,'Données projet'!$E$11+1,1))-AVERAGE(OFFSET($H$3,0,0,'Données projet'!$E$11+1,1))</f>
        <v>335.00873408144395</v>
      </c>
      <c r="BJ44" s="62">
        <f t="shared" si="38"/>
        <v>106.28577694955948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0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9.8888888888888893</v>
      </c>
      <c r="BY44" s="13">
        <f>IF('Données projet'!$A$114&gt;35,BY43+BX44-CG43,IF(A44&lt;'Données projet'!$A$114,$BV$205^A44,IF(A44='Données projet'!$A$114,'Données projet'!$B$114,BY43+BX44-CG43)))</f>
        <v>104.88888888888889</v>
      </c>
      <c r="BZ44" s="14">
        <f>BY44*VLOOKUP('Données projet'!$B$12,Paramètres!$A$1:$I$88,3,0)*VLOOKUP('Données projet'!$B$12,Paramètres!$A$1:$I$88,5,0)</f>
        <v>62.723555555555564</v>
      </c>
      <c r="CA44" s="14">
        <f t="shared" si="39"/>
        <v>17.855080142483615</v>
      </c>
      <c r="CB44" s="22">
        <f t="shared" si="10"/>
        <v>140.34112384075158</v>
      </c>
      <c r="CC44" s="62">
        <f t="shared" si="11"/>
        <v>433.67445717408486</v>
      </c>
      <c r="CD44" s="62">
        <f ca="1">AVERAGE(OFFSET($CC$3,0,0,'Données projet'!$E$12+1,1))-AVERAGE(OFFSET($H$3,0,0,'Données projet'!$E$12+1,1))</f>
        <v>136.47709057888358</v>
      </c>
      <c r="CE44" s="62">
        <f t="shared" si="40"/>
        <v>99.705248792886493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0</v>
      </c>
      <c r="CL44" s="23">
        <f>EXP(-LN(2)/25)*CL43+(1-EXP(-LN(2)/25))/(LN(2)/25)*Calculateur!CG44*Calculateur!CI44*VLOOKUP('Données projet'!$B$12,Paramètres!$A$1:$I$88,3,0)*0.475*44/12</f>
        <v>0</v>
      </c>
      <c r="CM44" s="23">
        <f>EXP(-LN(2)/2)*CM43+(1-EXP(-LN(2)/2))/(LN(2)/2)*CG44*CJ44*VLOOKUP('Données projet'!$B$12,Paramètres!$A$1:$I$88,3,0)*0.475*44/12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8.9</v>
      </c>
      <c r="CT44" s="13">
        <f>IF('Données projet'!$A$140&gt;35,CT43+CS44-DB43,IF(A44&lt;'Données projet'!$A$140,$CQ$205^A44,IF(A44='Données projet'!$A$140,'Données projet'!$B$140,CT43+CS44-DB43)))</f>
        <v>144.9</v>
      </c>
      <c r="CU44" s="18">
        <f>CT44*VLOOKUP('Données projet'!$B$13,Paramètres!$A$1:$I$88,3,0)*VLOOKUP('Données projet'!$B$13,Paramètres!$A$1:$I$88,5,0)</f>
        <v>69.696899999999999</v>
      </c>
      <c r="CV44" s="14">
        <f t="shared" si="41"/>
        <v>19.598168159561801</v>
      </c>
      <c r="CW44" s="22">
        <f t="shared" si="13"/>
        <v>155.52224371123677</v>
      </c>
      <c r="CX44" s="62">
        <f t="shared" si="14"/>
        <v>448.85557704457005</v>
      </c>
      <c r="CY44" s="62">
        <f ca="1">AVERAGE(OFFSET($CX$3,0,0,'Données projet'!$E$13+1,1))-AVERAGE(OFFSET($H$3,0,0,'Données projet'!$E$13+1,1))</f>
        <v>205.01234521498333</v>
      </c>
      <c r="CZ44" s="62">
        <f t="shared" si="42"/>
        <v>100.26042113972852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projet'!$B$13,Paramètres!$A$1:$I$88,3,0)*0.475*44/12</f>
        <v>0</v>
      </c>
      <c r="DG44" s="23">
        <f>EXP(-LN(2)/25)*DG43+(1-EXP(-LN(2)/25))/(LN(2)/25)*Calculateur!DB44*Calculateur!DD44*VLOOKUP('Données projet'!$B$13,Paramètres!$A$1:$I$88,3,0)*0.475*44/12</f>
        <v>0</v>
      </c>
      <c r="DH44" s="23">
        <f>EXP(-LN(2)/2)*DH43+(1-EXP(-LN(2)/2))/(LN(2)/2)*DB44*DE44*VLOOKUP('Données projet'!$B$13,Paramètres!$A$1:$I$88,3,0)*0.475*44/12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12.285000000000013</v>
      </c>
      <c r="D45" s="12">
        <f t="shared" si="32"/>
        <v>4.2278927017817765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127.46794366287696</v>
      </c>
      <c r="H45" s="70">
        <f t="shared" si="1"/>
        <v>322.09328812226994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2.4</v>
      </c>
      <c r="N45" s="14">
        <f>IF('Données projet'!$A$36&gt;35,N44+M45-V44,IF(A45&lt;'Données projet'!$A$36,$K$205^A45,IF(A45='Données projet'!$A$36,'Données projet'!$B$36,N44+M45-V44)))</f>
        <v>118.79999999999998</v>
      </c>
      <c r="O45" s="14">
        <f>N45*VLOOKUP('Données projet'!$B$9,Paramètres!$A$1:$I$88,3,0)*VLOOKUP('Données projet'!$B$9,Paramètres!$A$1:$I$88,5,0)</f>
        <v>120.46319999999999</v>
      </c>
      <c r="P45" s="14">
        <f t="shared" si="33"/>
        <v>31.783008852299023</v>
      </c>
      <c r="Q45" s="22">
        <f t="shared" si="53"/>
        <v>265.16214708442078</v>
      </c>
      <c r="R45" s="62">
        <f t="shared" si="0"/>
        <v>558.49548041775415</v>
      </c>
      <c r="S45" s="62">
        <f ca="1">AVERAGE(OFFSET($R$3,0,0,'Données projet'!$E$9+1,1))-AVERAGE(OFFSET($H$3,0,0,'Données projet'!$E$9+1,1))</f>
        <v>167.90363814107491</v>
      </c>
      <c r="T45" s="62">
        <f t="shared" si="34"/>
        <v>174.92847878212234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0</v>
      </c>
      <c r="AB45" s="23">
        <f>EXP(-LN(2)/2)*AB44+(1-EXP(-LN(2)/2))/(LN(2)/2)*V45*Y45*VLOOKUP('Données projet'!$B$9,Paramètres!$A$1:$I$88,3,0)*0.475*44/12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2.4</v>
      </c>
      <c r="AI45" s="14">
        <f>IF('Données projet'!$A$62&gt;35,AI44+AH45-AQ44,IF(A45&lt;'Données projet'!$A$62,$AF$205^A45,IF(A45='Données projet'!$A$62,'Données projet'!$B$62,AI44+AH45-AQ44)))</f>
        <v>118.79999999999998</v>
      </c>
      <c r="AJ45" s="14">
        <f>AI45*VLOOKUP('Données projet'!$B$10,Paramètres!$A$1:$I$88,3,0)*VLOOKUP('Données projet'!$B$10,Paramètres!$A$1:$I$88,5,0)</f>
        <v>127.87631999999998</v>
      </c>
      <c r="AK45" s="14">
        <f t="shared" si="35"/>
        <v>33.505169821414185</v>
      </c>
      <c r="AL45" s="22">
        <f t="shared" si="4"/>
        <v>281.07276143896297</v>
      </c>
      <c r="AM45" s="62">
        <f t="shared" si="5"/>
        <v>574.40609477229623</v>
      </c>
      <c r="AN45" s="62">
        <f ca="1">AVERAGE(OFFSET($AM$3,0,0,'Données projet'!$E$10+1,1))-AVERAGE(OFFSET($H$3,0,0,'Données projet'!$E$10+1,1))</f>
        <v>179.61236179838011</v>
      </c>
      <c r="AO45" s="62">
        <f t="shared" si="36"/>
        <v>186.66130555850333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0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20.399999999999999</v>
      </c>
      <c r="BD45" s="13">
        <f>IF('Données projet'!$A$88&gt;35,BD44+BC45-BL44,IF(A45&lt;'Données projet'!$A$88,$BA$205^A45,IF(A45='Données projet'!$A$88,'Données projet'!$B$88,BD44+BC45-BL44)))</f>
        <v>216.79999999999993</v>
      </c>
      <c r="BE45" s="14">
        <f>BD45*VLOOKUP('Données projet'!$B$11,Paramètres!$A$1:$I$88,3,0)*VLOOKUP('Données projet'!$B$11,Paramètres!$A$1:$I$88,5,0)</f>
        <v>101.46239999999997</v>
      </c>
      <c r="BF45" s="14">
        <f t="shared" si="37"/>
        <v>27.310099257465147</v>
      </c>
      <c r="BG45" s="22">
        <f t="shared" si="7"/>
        <v>224.27876954008505</v>
      </c>
      <c r="BH45" s="62">
        <f t="shared" si="8"/>
        <v>517.61210287341839</v>
      </c>
      <c r="BI45" s="62">
        <f ca="1">AVERAGE(OFFSET($BH$3,0,0,'Données projet'!$E$11+1,1))-AVERAGE(OFFSET($H$3,0,0,'Données projet'!$E$11+1,1))</f>
        <v>335.00873408144395</v>
      </c>
      <c r="BJ45" s="62">
        <f t="shared" si="38"/>
        <v>106.28577694955948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0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9.8888888888888893</v>
      </c>
      <c r="BY45" s="13">
        <f>IF('Données projet'!$A$114&gt;35,BY44+BX45-CG44,IF(A45&lt;'Données projet'!$A$114,$BV$205^A45,IF(A45='Données projet'!$A$114,'Données projet'!$B$114,BY44+BX45-CG44)))</f>
        <v>114.77777777777777</v>
      </c>
      <c r="BZ45" s="14">
        <f>BY45*VLOOKUP('Données projet'!$B$12,Paramètres!$A$1:$I$88,3,0)*VLOOKUP('Données projet'!$B$12,Paramètres!$A$1:$I$88,5,0)</f>
        <v>68.637111111111111</v>
      </c>
      <c r="CA45" s="14">
        <f t="shared" si="39"/>
        <v>19.334617901691367</v>
      </c>
      <c r="CB45" s="22">
        <f t="shared" si="10"/>
        <v>153.217428030631</v>
      </c>
      <c r="CC45" s="62">
        <f t="shared" si="11"/>
        <v>446.55076136396428</v>
      </c>
      <c r="CD45" s="62">
        <f ca="1">AVERAGE(OFFSET($CC$3,0,0,'Données projet'!$E$12+1,1))-AVERAGE(OFFSET($H$3,0,0,'Données projet'!$E$12+1,1))</f>
        <v>136.47709057888358</v>
      </c>
      <c r="CE45" s="62">
        <f t="shared" si="40"/>
        <v>99.705248792886493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0</v>
      </c>
      <c r="CL45" s="23">
        <f>EXP(-LN(2)/25)*CL44+(1-EXP(-LN(2)/25))/(LN(2)/25)*Calculateur!CG45*Calculateur!CI45*VLOOKUP('Données projet'!$B$12,Paramètres!$A$1:$I$88,3,0)*0.475*44/12</f>
        <v>0</v>
      </c>
      <c r="CM45" s="23">
        <f>EXP(-LN(2)/2)*CM44+(1-EXP(-LN(2)/2))/(LN(2)/2)*CG45*CJ45*VLOOKUP('Données projet'!$B$12,Paramètres!$A$1:$I$88,3,0)*0.475*44/12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8.9</v>
      </c>
      <c r="CT45" s="13">
        <f>IF('Données projet'!$A$140&gt;35,CT44+CS45-DB44,IF(A45&lt;'Données projet'!$A$140,$CQ$205^A45,IF(A45='Données projet'!$A$140,'Données projet'!$B$140,CT44+CS45-DB44)))</f>
        <v>153.80000000000001</v>
      </c>
      <c r="CU45" s="18">
        <f>CT45*VLOOKUP('Données projet'!$B$13,Paramètres!$A$1:$I$88,3,0)*VLOOKUP('Données projet'!$B$13,Paramètres!$A$1:$I$88,5,0)</f>
        <v>73.977800000000016</v>
      </c>
      <c r="CV45" s="14">
        <f t="shared" si="41"/>
        <v>20.658085586288006</v>
      </c>
      <c r="CW45" s="22">
        <f t="shared" si="13"/>
        <v>164.82416739611833</v>
      </c>
      <c r="CX45" s="62">
        <f t="shared" si="14"/>
        <v>458.15750072945161</v>
      </c>
      <c r="CY45" s="62">
        <f ca="1">AVERAGE(OFFSET($CX$3,0,0,'Données projet'!$E$13+1,1))-AVERAGE(OFFSET($H$3,0,0,'Données projet'!$E$13+1,1))</f>
        <v>205.01234521498333</v>
      </c>
      <c r="CZ45" s="62">
        <f t="shared" si="42"/>
        <v>100.26042113972852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projet'!$B$13,Paramètres!$A$1:$I$88,3,0)*0.475*44/12</f>
        <v>0</v>
      </c>
      <c r="DG45" s="23">
        <f>EXP(-LN(2)/25)*DG44+(1-EXP(-LN(2)/25))/(LN(2)/25)*Calculateur!DB45*Calculateur!DD45*VLOOKUP('Données projet'!$B$13,Paramètres!$A$1:$I$88,3,0)*0.475*44/12</f>
        <v>0</v>
      </c>
      <c r="DH45" s="23">
        <f>EXP(-LN(2)/2)*DH44+(1-EXP(-LN(2)/2))/(LN(2)/2)*DB45*DE45*VLOOKUP('Données projet'!$B$13,Paramètres!$A$1:$I$88,3,0)*0.475*44/12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12.577500000000013</v>
      </c>
      <c r="D46" s="12">
        <f t="shared" si="32"/>
        <v>4.3167173347545091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130.41150223319281</v>
      </c>
      <c r="H46" s="70">
        <f t="shared" si="1"/>
        <v>322.75742852469745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2.4</v>
      </c>
      <c r="N46" s="14">
        <f>IF('Données projet'!$A$36&gt;35,N45+M46-V45,IF(A46&lt;'Données projet'!$A$36,$K$205^A46,IF(A46='Données projet'!$A$36,'Données projet'!$B$36,N45+M46-V45)))</f>
        <v>121.19999999999999</v>
      </c>
      <c r="O46" s="14">
        <f>N46*VLOOKUP('Données projet'!$B$9,Paramètres!$A$1:$I$88,3,0)*VLOOKUP('Données projet'!$B$9,Paramètres!$A$1:$I$88,5,0)</f>
        <v>122.8968</v>
      </c>
      <c r="P46" s="14">
        <f t="shared" si="33"/>
        <v>32.349689516687121</v>
      </c>
      <c r="Q46" s="22">
        <f t="shared" si="53"/>
        <v>270.38763590823004</v>
      </c>
      <c r="R46" s="62">
        <f t="shared" si="0"/>
        <v>563.72096924156335</v>
      </c>
      <c r="S46" s="62">
        <f ca="1">AVERAGE(OFFSET($R$3,0,0,'Données projet'!$E$9+1,1))-AVERAGE(OFFSET($H$3,0,0,'Données projet'!$E$9+1,1))</f>
        <v>167.90363814107491</v>
      </c>
      <c r="T46" s="62">
        <f t="shared" si="34"/>
        <v>174.92847878212234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0</v>
      </c>
      <c r="AB46" s="23">
        <f>EXP(-LN(2)/2)*AB45+(1-EXP(-LN(2)/2))/(LN(2)/2)*V46*Y46*VLOOKUP('Données projet'!$B$9,Paramètres!$A$1:$I$88,3,0)*0.475*44/12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2.4</v>
      </c>
      <c r="AI46" s="14">
        <f>IF('Données projet'!$A$62&gt;35,AI45+AH46-AQ45,IF(A46&lt;'Données projet'!$A$62,$AF$205^A46,IF(A46='Données projet'!$A$62,'Données projet'!$B$62,AI45+AH46-AQ45)))</f>
        <v>121.19999999999999</v>
      </c>
      <c r="AJ46" s="14">
        <f>AI46*VLOOKUP('Données projet'!$B$10,Paramètres!$A$1:$I$88,3,0)*VLOOKUP('Données projet'!$B$10,Paramètres!$A$1:$I$88,5,0)</f>
        <v>130.45967999999999</v>
      </c>
      <c r="AK46" s="14">
        <f t="shared" si="35"/>
        <v>34.102556053254894</v>
      </c>
      <c r="AL46" s="22">
        <f t="shared" si="4"/>
        <v>286.61256112608561</v>
      </c>
      <c r="AM46" s="62">
        <f t="shared" si="5"/>
        <v>579.94589445941892</v>
      </c>
      <c r="AN46" s="62">
        <f ca="1">AVERAGE(OFFSET($AM$3,0,0,'Données projet'!$E$10+1,1))-AVERAGE(OFFSET($H$3,0,0,'Données projet'!$E$10+1,1))</f>
        <v>179.61236179838011</v>
      </c>
      <c r="AO46" s="62">
        <f t="shared" si="36"/>
        <v>186.66130555850333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0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20.399999999999999</v>
      </c>
      <c r="BD46" s="13">
        <f>IF('Données projet'!$A$88&gt;35,BD45+BC46-BL45,IF(A46&lt;'Données projet'!$A$88,$BA$205^A46,IF(A46='Données projet'!$A$88,'Données projet'!$B$88,BD45+BC46-BL45)))</f>
        <v>237.19999999999993</v>
      </c>
      <c r="BE46" s="14">
        <f>BD46*VLOOKUP('Données projet'!$B$11,Paramètres!$A$1:$I$88,3,0)*VLOOKUP('Données projet'!$B$11,Paramètres!$A$1:$I$88,5,0)</f>
        <v>111.00959999999996</v>
      </c>
      <c r="BF46" s="14">
        <f t="shared" si="37"/>
        <v>29.568727576170897</v>
      </c>
      <c r="BG46" s="22">
        <f t="shared" si="7"/>
        <v>244.8405871951642</v>
      </c>
      <c r="BH46" s="62">
        <f t="shared" si="8"/>
        <v>538.17392052849755</v>
      </c>
      <c r="BI46" s="62">
        <f ca="1">AVERAGE(OFFSET($BH$3,0,0,'Données projet'!$E$11+1,1))-AVERAGE(OFFSET($H$3,0,0,'Données projet'!$E$11+1,1))</f>
        <v>335.00873408144395</v>
      </c>
      <c r="BJ46" s="62">
        <f t="shared" si="38"/>
        <v>106.28577694955948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0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9.8888888888888893</v>
      </c>
      <c r="BY46" s="13">
        <f>IF('Données projet'!$A$114&gt;35,BY45+BX46-CG45,IF(A46&lt;'Données projet'!$A$114,$BV$205^A46,IF(A46='Données projet'!$A$114,'Données projet'!$B$114,BY45+BX46-CG45)))</f>
        <v>124.66666666666666</v>
      </c>
      <c r="BZ46" s="14">
        <f>BY46*VLOOKUP('Données projet'!$B$12,Paramètres!$A$1:$I$88,3,0)*VLOOKUP('Données projet'!$B$12,Paramètres!$A$1:$I$88,5,0)</f>
        <v>74.550666666666672</v>
      </c>
      <c r="CA46" s="14">
        <f t="shared" si="39"/>
        <v>20.799372750165091</v>
      </c>
      <c r="CB46" s="22">
        <f t="shared" si="10"/>
        <v>166.06798531764863</v>
      </c>
      <c r="CC46" s="62">
        <f t="shared" si="11"/>
        <v>459.40131865098192</v>
      </c>
      <c r="CD46" s="62">
        <f ca="1">AVERAGE(OFFSET($CC$3,0,0,'Données projet'!$E$12+1,1))-AVERAGE(OFFSET($H$3,0,0,'Données projet'!$E$12+1,1))</f>
        <v>136.47709057888358</v>
      </c>
      <c r="CE46" s="62">
        <f t="shared" si="40"/>
        <v>99.705248792886493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0</v>
      </c>
      <c r="CL46" s="23">
        <f>EXP(-LN(2)/25)*CL45+(1-EXP(-LN(2)/25))/(LN(2)/25)*Calculateur!CG46*Calculateur!CI46*VLOOKUP('Données projet'!$B$12,Paramètres!$A$1:$I$88,3,0)*0.475*44/12</f>
        <v>0</v>
      </c>
      <c r="CM46" s="23">
        <f>EXP(-LN(2)/2)*CM45+(1-EXP(-LN(2)/2))/(LN(2)/2)*CG46*CJ46*VLOOKUP('Données projet'!$B$12,Paramètres!$A$1:$I$88,3,0)*0.475*44/12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8.9</v>
      </c>
      <c r="CT46" s="13">
        <f>IF('Données projet'!$A$140&gt;35,CT45+CS46-DB45,IF(A46&lt;'Données projet'!$A$140,$CQ$205^A46,IF(A46='Données projet'!$A$140,'Données projet'!$B$140,CT45+CS46-DB45)))</f>
        <v>162.70000000000002</v>
      </c>
      <c r="CU46" s="18">
        <f>CT46*VLOOKUP('Données projet'!$B$13,Paramètres!$A$1:$I$88,3,0)*VLOOKUP('Données projet'!$B$13,Paramètres!$A$1:$I$88,5,0)</f>
        <v>78.258700000000005</v>
      </c>
      <c r="CV46" s="14">
        <f t="shared" si="41"/>
        <v>21.710883459441131</v>
      </c>
      <c r="CW46" s="22">
        <f t="shared" si="13"/>
        <v>174.11369119185997</v>
      </c>
      <c r="CX46" s="62">
        <f t="shared" si="14"/>
        <v>467.44702452519329</v>
      </c>
      <c r="CY46" s="62">
        <f ca="1">AVERAGE(OFFSET($CX$3,0,0,'Données projet'!$E$13+1,1))-AVERAGE(OFFSET($H$3,0,0,'Données projet'!$E$13+1,1))</f>
        <v>205.01234521498333</v>
      </c>
      <c r="CZ46" s="62">
        <f t="shared" si="42"/>
        <v>100.26042113972852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projet'!$B$13,Paramètres!$A$1:$I$88,3,0)*0.475*44/12</f>
        <v>0</v>
      </c>
      <c r="DG46" s="23">
        <f>EXP(-LN(2)/25)*DG45+(1-EXP(-LN(2)/25))/(LN(2)/25)*Calculateur!DB46*Calculateur!DD46*VLOOKUP('Données projet'!$B$13,Paramètres!$A$1:$I$88,3,0)*0.475*44/12</f>
        <v>0</v>
      </c>
      <c r="DH46" s="23">
        <f>EXP(-LN(2)/2)*DH45+(1-EXP(-LN(2)/2))/(LN(2)/2)*DB46*DE46*VLOOKUP('Données projet'!$B$13,Paramètres!$A$1:$I$88,3,0)*0.475*44/12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12.870000000000013</v>
      </c>
      <c r="D47" s="12">
        <f t="shared" si="32"/>
        <v>4.4053018237810608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133.35320706076618</v>
      </c>
      <c r="H47" s="70">
        <f t="shared" si="1"/>
        <v>323.42115067641868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2.4</v>
      </c>
      <c r="N47" s="14">
        <f>IF('Données projet'!$A$36&gt;35,N46+M47-V46,IF(A47&lt;'Données projet'!$A$36,$K$205^A47,IF(A47='Données projet'!$A$36,'Données projet'!$B$36,N46+M47-V46)))</f>
        <v>123.6</v>
      </c>
      <c r="O47" s="14">
        <f>N47*VLOOKUP('Données projet'!$B$9,Paramètres!$A$1:$I$88,3,0)*VLOOKUP('Données projet'!$B$9,Paramètres!$A$1:$I$88,5,0)</f>
        <v>125.33040000000001</v>
      </c>
      <c r="P47" s="14">
        <f t="shared" si="33"/>
        <v>32.915065424233788</v>
      </c>
      <c r="Q47" s="22">
        <f t="shared" si="53"/>
        <v>275.61085228054054</v>
      </c>
      <c r="R47" s="62">
        <f t="shared" si="0"/>
        <v>568.94418561387386</v>
      </c>
      <c r="S47" s="62">
        <f ca="1">AVERAGE(OFFSET($R$3,0,0,'Données projet'!$E$9+1,1))-AVERAGE(OFFSET($H$3,0,0,'Données projet'!$E$9+1,1))</f>
        <v>167.90363814107491</v>
      </c>
      <c r="T47" s="62">
        <f t="shared" si="34"/>
        <v>174.92847878212234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0</v>
      </c>
      <c r="AB47" s="23">
        <f>EXP(-LN(2)/2)*AB46+(1-EXP(-LN(2)/2))/(LN(2)/2)*V47*Y47*VLOOKUP('Données projet'!$B$9,Paramètres!$A$1:$I$88,3,0)*0.475*44/12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2.4</v>
      </c>
      <c r="AI47" s="14">
        <f>IF('Données projet'!$A$62&gt;35,AI46+AH47-AQ46,IF(A47&lt;'Données projet'!$A$62,$AF$205^A47,IF(A47='Données projet'!$A$62,'Données projet'!$B$62,AI46+AH47-AQ46)))</f>
        <v>123.6</v>
      </c>
      <c r="AJ47" s="14">
        <f>AI47*VLOOKUP('Données projet'!$B$10,Paramètres!$A$1:$I$88,3,0)*VLOOKUP('Données projet'!$B$10,Paramètres!$A$1:$I$88,5,0)</f>
        <v>133.04303999999999</v>
      </c>
      <c r="AK47" s="14">
        <f t="shared" si="35"/>
        <v>34.698566830060784</v>
      </c>
      <c r="AL47" s="22">
        <f t="shared" si="4"/>
        <v>292.14996522902254</v>
      </c>
      <c r="AM47" s="62">
        <f t="shared" si="5"/>
        <v>585.48329856235591</v>
      </c>
      <c r="AN47" s="62">
        <f ca="1">AVERAGE(OFFSET($AM$3,0,0,'Données projet'!$E$10+1,1))-AVERAGE(OFFSET($H$3,0,0,'Données projet'!$E$10+1,1))</f>
        <v>179.61236179838011</v>
      </c>
      <c r="AO47" s="62">
        <f t="shared" si="36"/>
        <v>186.66130555850333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0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20.399999999999999</v>
      </c>
      <c r="BD47" s="13">
        <f>IF('Données projet'!$A$88&gt;35,BD46+BC47-BL46,IF(A47&lt;'Données projet'!$A$88,$BA$205^A47,IF(A47='Données projet'!$A$88,'Données projet'!$B$88,BD46+BC47-BL46)))</f>
        <v>257.59999999999991</v>
      </c>
      <c r="BE47" s="14">
        <f>BD47*VLOOKUP('Données projet'!$B$11,Paramètres!$A$1:$I$88,3,0)*VLOOKUP('Données projet'!$B$11,Paramètres!$A$1:$I$88,5,0)</f>
        <v>120.55679999999995</v>
      </c>
      <c r="BF47" s="14">
        <f t="shared" si="37"/>
        <v>31.804828741198779</v>
      </c>
      <c r="BG47" s="22">
        <f t="shared" si="7"/>
        <v>265.36317005758775</v>
      </c>
      <c r="BH47" s="62">
        <f t="shared" si="8"/>
        <v>558.69650339092107</v>
      </c>
      <c r="BI47" s="62">
        <f ca="1">AVERAGE(OFFSET($BH$3,0,0,'Données projet'!$E$11+1,1))-AVERAGE(OFFSET($H$3,0,0,'Données projet'!$E$11+1,1))</f>
        <v>335.00873408144395</v>
      </c>
      <c r="BJ47" s="62">
        <f t="shared" si="38"/>
        <v>106.28577694955948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0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9.8888888888888893</v>
      </c>
      <c r="BY47" s="13">
        <f>IF('Données projet'!$A$114&gt;35,BY46+BX47-CG46,IF(A47&lt;'Données projet'!$A$114,$BV$205^A47,IF(A47='Données projet'!$A$114,'Données projet'!$B$114,BY46+BX47-CG46)))</f>
        <v>134.55555555555554</v>
      </c>
      <c r="BZ47" s="14">
        <f>BY47*VLOOKUP('Données projet'!$B$12,Paramètres!$A$1:$I$88,3,0)*VLOOKUP('Données projet'!$B$12,Paramètres!$A$1:$I$88,5,0)</f>
        <v>80.464222222222219</v>
      </c>
      <c r="CA47" s="14">
        <f t="shared" si="39"/>
        <v>22.250650624858352</v>
      </c>
      <c r="CB47" s="22">
        <f t="shared" si="10"/>
        <v>178.89507020866532</v>
      </c>
      <c r="CC47" s="62">
        <f t="shared" si="11"/>
        <v>472.22840354199866</v>
      </c>
      <c r="CD47" s="62">
        <f ca="1">AVERAGE(OFFSET($CC$3,0,0,'Données projet'!$E$12+1,1))-AVERAGE(OFFSET($H$3,0,0,'Données projet'!$E$12+1,1))</f>
        <v>136.47709057888358</v>
      </c>
      <c r="CE47" s="62">
        <f t="shared" si="40"/>
        <v>99.705248792886493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0</v>
      </c>
      <c r="CL47" s="23">
        <f>EXP(-LN(2)/25)*CL46+(1-EXP(-LN(2)/25))/(LN(2)/25)*Calculateur!CG47*Calculateur!CI47*VLOOKUP('Données projet'!$B$12,Paramètres!$A$1:$I$88,3,0)*0.475*44/12</f>
        <v>0</v>
      </c>
      <c r="CM47" s="23">
        <f>EXP(-LN(2)/2)*CM46+(1-EXP(-LN(2)/2))/(LN(2)/2)*CG47*CJ47*VLOOKUP('Données projet'!$B$12,Paramètres!$A$1:$I$88,3,0)*0.475*44/12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8.9</v>
      </c>
      <c r="CT47" s="13">
        <f>IF('Données projet'!$A$140&gt;35,CT46+CS47-DB46,IF(A47&lt;'Données projet'!$A$140,$CQ$205^A47,IF(A47='Données projet'!$A$140,'Données projet'!$B$140,CT46+CS47-DB46)))</f>
        <v>171.60000000000002</v>
      </c>
      <c r="CU47" s="18">
        <f>CT47*VLOOKUP('Données projet'!$B$13,Paramètres!$A$1:$I$88,3,0)*VLOOKUP('Données projet'!$B$13,Paramètres!$A$1:$I$88,5,0)</f>
        <v>82.539600000000007</v>
      </c>
      <c r="CV47" s="14">
        <f t="shared" si="41"/>
        <v>22.756995627482848</v>
      </c>
      <c r="CW47" s="22">
        <f t="shared" si="13"/>
        <v>183.39157071786599</v>
      </c>
      <c r="CX47" s="62">
        <f t="shared" si="14"/>
        <v>476.7249040511993</v>
      </c>
      <c r="CY47" s="62">
        <f ca="1">AVERAGE(OFFSET($CX$3,0,0,'Données projet'!$E$13+1,1))-AVERAGE(OFFSET($H$3,0,0,'Données projet'!$E$13+1,1))</f>
        <v>205.01234521498333</v>
      </c>
      <c r="CZ47" s="62">
        <f t="shared" si="42"/>
        <v>100.26042113972852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projet'!$B$13,Paramètres!$A$1:$I$88,3,0)*0.475*44/12</f>
        <v>0</v>
      </c>
      <c r="DG47" s="23">
        <f>EXP(-LN(2)/25)*DG46+(1-EXP(-LN(2)/25))/(LN(2)/25)*Calculateur!DB47*Calculateur!DD47*VLOOKUP('Données projet'!$B$13,Paramètres!$A$1:$I$88,3,0)*0.475*44/12</f>
        <v>0</v>
      </c>
      <c r="DH47" s="23">
        <f>EXP(-LN(2)/2)*DH46+(1-EXP(-LN(2)/2))/(LN(2)/2)*DB47*DE47*VLOOKUP('Données projet'!$B$13,Paramètres!$A$1:$I$88,3,0)*0.475*44/12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13.162500000000014</v>
      </c>
      <c r="D48" s="12">
        <f t="shared" si="32"/>
        <v>4.4936522549746725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136.29310512612037</v>
      </c>
      <c r="H48" s="70">
        <f t="shared" si="1"/>
        <v>324.08446517741424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126</v>
      </c>
      <c r="L48" s="13">
        <f>VLOOKUP(A48,'Données projet'!$A$35:$I$55,9,0)</f>
        <v>2.4</v>
      </c>
      <c r="M48" s="13">
        <f t="array" ref="M48">INDEX(L:L,MIN(IF(ISNUMBER(L48:L244),ROW(L48:L244),"")))</f>
        <v>2.4</v>
      </c>
      <c r="N48" s="14">
        <f>IF('Données projet'!$A$36&gt;35,N47+M48-V47,IF(A48&lt;'Données projet'!$A$36,$K$205^A48,IF(A48='Données projet'!$A$36,'Données projet'!$B$36,N47+M48-V47)))</f>
        <v>126</v>
      </c>
      <c r="O48" s="14">
        <f>N48*VLOOKUP('Données projet'!$B$9,Paramètres!$A$1:$I$88,3,0)*VLOOKUP('Données projet'!$B$9,Paramètres!$A$1:$I$88,5,0)</f>
        <v>127.76400000000001</v>
      </c>
      <c r="P48" s="14">
        <f t="shared" si="33"/>
        <v>33.479164830670051</v>
      </c>
      <c r="Q48" s="22">
        <f t="shared" si="53"/>
        <v>280.83184541341694</v>
      </c>
      <c r="R48" s="62">
        <f t="shared" si="0"/>
        <v>574.16517874675026</v>
      </c>
      <c r="S48" s="62">
        <f ca="1">AVERAGE(OFFSET($R$3,0,0,'Données projet'!$E$9+1,1))-AVERAGE(OFFSET($H$3,0,0,'Données projet'!$E$9+1,1))</f>
        <v>167.90363814107491</v>
      </c>
      <c r="T48" s="62">
        <f t="shared" si="34"/>
        <v>174.92847878212234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0</v>
      </c>
      <c r="AB48" s="23">
        <f>EXP(-LN(2)/2)*AB47+(1-EXP(-LN(2)/2))/(LN(2)/2)*V48*Y48*VLOOKUP('Données projet'!$B$9,Paramètres!$A$1:$I$88,3,0)*0.475*44/12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126</v>
      </c>
      <c r="AG48" s="13">
        <f>VLOOKUP(A48,'Données projet'!$A$61:$I$81,9,0)</f>
        <v>2.4</v>
      </c>
      <c r="AH48" s="13">
        <f t="array" ref="AH48">INDEX(AG:AG,MIN(IF(ISNUMBER(AG48:AG244),ROW(AG48:AG244),"")))</f>
        <v>2.4</v>
      </c>
      <c r="AI48" s="14">
        <f>IF('Données projet'!$A$62&gt;35,AI47+AH48-AQ47,IF(A48&lt;'Données projet'!$A$62,$AF$205^A48,IF(A48='Données projet'!$A$62,'Données projet'!$B$62,AI47+AH48-AQ47)))</f>
        <v>126</v>
      </c>
      <c r="AJ48" s="14">
        <f>AI48*VLOOKUP('Données projet'!$B$10,Paramètres!$A$1:$I$88,3,0)*VLOOKUP('Données projet'!$B$10,Paramètres!$A$1:$I$88,5,0)</f>
        <v>135.62639999999999</v>
      </c>
      <c r="AK48" s="14">
        <f t="shared" si="35"/>
        <v>35.293231938598481</v>
      </c>
      <c r="AL48" s="22">
        <f t="shared" si="4"/>
        <v>297.6850256263923</v>
      </c>
      <c r="AM48" s="62">
        <f t="shared" si="5"/>
        <v>591.01835895972567</v>
      </c>
      <c r="AN48" s="62">
        <f ca="1">AVERAGE(OFFSET($AM$3,0,0,'Données projet'!$E$10+1,1))-AVERAGE(OFFSET($H$3,0,0,'Données projet'!$E$10+1,1))</f>
        <v>179.61236179838011</v>
      </c>
      <c r="AO48" s="62">
        <f t="shared" si="36"/>
        <v>186.66130555850333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0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20.399999999999999</v>
      </c>
      <c r="BD48" s="13">
        <f>IF('Données projet'!$A$88&gt;35,BD47+BC48-BL47,IF(A48&lt;'Données projet'!$A$88,$BA$205^A48,IF(A48='Données projet'!$A$88,'Données projet'!$B$88,BD47+BC48-BL47)))</f>
        <v>277.99999999999989</v>
      </c>
      <c r="BE48" s="14">
        <f>BD48*VLOOKUP('Données projet'!$B$11,Paramètres!$A$1:$I$88,3,0)*VLOOKUP('Données projet'!$B$11,Paramètres!$A$1:$I$88,5,0)</f>
        <v>130.10399999999996</v>
      </c>
      <c r="BF48" s="14">
        <f t="shared" si="37"/>
        <v>34.020389560268086</v>
      </c>
      <c r="BG48" s="22">
        <f t="shared" si="7"/>
        <v>285.84997848413349</v>
      </c>
      <c r="BH48" s="62">
        <f t="shared" si="8"/>
        <v>579.1833118174668</v>
      </c>
      <c r="BI48" s="62">
        <f ca="1">AVERAGE(OFFSET($BH$3,0,0,'Données projet'!$E$11+1,1))-AVERAGE(OFFSET($H$3,0,0,'Données projet'!$E$11+1,1))</f>
        <v>335.00873408144395</v>
      </c>
      <c r="BJ48" s="62">
        <f t="shared" si="38"/>
        <v>106.28577694955948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0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9.8888888888888893</v>
      </c>
      <c r="BY48" s="13">
        <f>IF('Données projet'!$A$114&gt;35,BY47+BX48-CG47,IF(A48&lt;'Données projet'!$A$114,$BV$205^A48,IF(A48='Données projet'!$A$114,'Données projet'!$B$114,BY47+BX48-CG47)))</f>
        <v>144.44444444444443</v>
      </c>
      <c r="BZ48" s="14">
        <f>BY48*VLOOKUP('Données projet'!$B$12,Paramètres!$A$1:$I$88,3,0)*VLOOKUP('Données projet'!$B$12,Paramètres!$A$1:$I$88,5,0)</f>
        <v>86.37777777777778</v>
      </c>
      <c r="CA48" s="14">
        <f t="shared" si="39"/>
        <v>23.689554621982808</v>
      </c>
      <c r="CB48" s="22">
        <f t="shared" si="10"/>
        <v>191.70060392958302</v>
      </c>
      <c r="CC48" s="62">
        <f t="shared" si="11"/>
        <v>485.03393726291631</v>
      </c>
      <c r="CD48" s="62">
        <f ca="1">AVERAGE(OFFSET($CC$3,0,0,'Données projet'!$E$12+1,1))-AVERAGE(OFFSET($H$3,0,0,'Données projet'!$E$12+1,1))</f>
        <v>136.47709057888358</v>
      </c>
      <c r="CE48" s="62">
        <f t="shared" si="40"/>
        <v>99.705248792886493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0</v>
      </c>
      <c r="CL48" s="23">
        <f>EXP(-LN(2)/25)*CL47+(1-EXP(-LN(2)/25))/(LN(2)/25)*Calculateur!CG48*Calculateur!CI48*VLOOKUP('Données projet'!$B$12,Paramètres!$A$1:$I$88,3,0)*0.475*44/12</f>
        <v>0</v>
      </c>
      <c r="CM48" s="23">
        <f>EXP(-LN(2)/2)*CM47+(1-EXP(-LN(2)/2))/(LN(2)/2)*CG48*CJ48*VLOOKUP('Données projet'!$B$12,Paramètres!$A$1:$I$88,3,0)*0.475*44/12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8.9</v>
      </c>
      <c r="CT48" s="13">
        <f>IF('Données projet'!$A$140&gt;35,CT47+CS48-DB47,IF(A48&lt;'Données projet'!$A$140,$CQ$205^A48,IF(A48='Données projet'!$A$140,'Données projet'!$B$140,CT47+CS48-DB47)))</f>
        <v>180.50000000000003</v>
      </c>
      <c r="CU48" s="18">
        <f>CT48*VLOOKUP('Données projet'!$B$13,Paramètres!$A$1:$I$88,3,0)*VLOOKUP('Données projet'!$B$13,Paramètres!$A$1:$I$88,5,0)</f>
        <v>86.820500000000024</v>
      </c>
      <c r="CV48" s="14">
        <f t="shared" si="41"/>
        <v>23.796808394103852</v>
      </c>
      <c r="CW48" s="22">
        <f t="shared" si="13"/>
        <v>192.65847878639758</v>
      </c>
      <c r="CX48" s="62">
        <f t="shared" si="14"/>
        <v>485.99181211973087</v>
      </c>
      <c r="CY48" s="62">
        <f ca="1">AVERAGE(OFFSET($CX$3,0,0,'Données projet'!$E$13+1,1))-AVERAGE(OFFSET($H$3,0,0,'Données projet'!$E$13+1,1))</f>
        <v>205.01234521498333</v>
      </c>
      <c r="CZ48" s="62">
        <f t="shared" si="42"/>
        <v>100.26042113972852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projet'!$B$13,Paramètres!$A$1:$I$88,3,0)*0.475*44/12</f>
        <v>0</v>
      </c>
      <c r="DG48" s="23">
        <f>EXP(-LN(2)/25)*DG47+(1-EXP(-LN(2)/25))/(LN(2)/25)*Calculateur!DB48*Calculateur!DD48*VLOOKUP('Données projet'!$B$13,Paramètres!$A$1:$I$88,3,0)*0.475*44/12</f>
        <v>0</v>
      </c>
      <c r="DH48" s="23">
        <f>EXP(-LN(2)/2)*DH47+(1-EXP(-LN(2)/2))/(LN(2)/2)*DB48*DE48*VLOOKUP('Données projet'!$B$13,Paramètres!$A$1:$I$88,3,0)*0.475*44/12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13.455000000000014</v>
      </c>
      <c r="D49" s="12">
        <f t="shared" si="32"/>
        <v>4.581774428511042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139.2312412025415</v>
      </c>
      <c r="H49" s="70">
        <f t="shared" si="1"/>
        <v>324.74738212965673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2.2000000000000002</v>
      </c>
      <c r="N49" s="14">
        <f>IF('Données projet'!$A$36&gt;35,N48+M49-V48,IF(A49&lt;'Données projet'!$A$36,$K$205^A49,IF(A49='Données projet'!$A$36,'Données projet'!$B$36,N48+M49-V48)))</f>
        <v>128.19999999999999</v>
      </c>
      <c r="O49" s="14">
        <f>N49*VLOOKUP('Données projet'!$B$9,Paramètres!$A$1:$I$88,3,0)*VLOOKUP('Données projet'!$B$9,Paramètres!$A$1:$I$88,5,0)</f>
        <v>129.9948</v>
      </c>
      <c r="P49" s="14">
        <f t="shared" si="33"/>
        <v>33.995157762228239</v>
      </c>
      <c r="Q49" s="22">
        <f t="shared" si="53"/>
        <v>285.61584310254756</v>
      </c>
      <c r="R49" s="62">
        <f t="shared" si="0"/>
        <v>578.94917643588087</v>
      </c>
      <c r="S49" s="62">
        <f ca="1">AVERAGE(OFFSET($R$3,0,0,'Données projet'!$E$9+1,1))-AVERAGE(OFFSET($H$3,0,0,'Données projet'!$E$9+1,1))</f>
        <v>167.90363814107491</v>
      </c>
      <c r="T49" s="62">
        <f t="shared" si="34"/>
        <v>174.92847878212234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0</v>
      </c>
      <c r="AB49" s="23">
        <f>EXP(-LN(2)/2)*AB48+(1-EXP(-LN(2)/2))/(LN(2)/2)*V49*Y49*VLOOKUP('Données projet'!$B$9,Paramètres!$A$1:$I$88,3,0)*0.475*44/12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2.2000000000000002</v>
      </c>
      <c r="AI49" s="14">
        <f>IF('Données projet'!$A$62&gt;35,AI48+AH49-AQ48,IF(A49&lt;'Données projet'!$A$62,$AF$205^A49,IF(A49='Données projet'!$A$62,'Données projet'!$B$62,AI48+AH49-AQ48)))</f>
        <v>128.19999999999999</v>
      </c>
      <c r="AJ49" s="14">
        <f>AI49*VLOOKUP('Données projet'!$B$10,Paramètres!$A$1:$I$88,3,0)*VLOOKUP('Données projet'!$B$10,Paramètres!$A$1:$I$88,5,0)</f>
        <v>137.99447999999998</v>
      </c>
      <c r="AK49" s="14">
        <f t="shared" si="35"/>
        <v>35.837183924983655</v>
      </c>
      <c r="AL49" s="22">
        <f t="shared" si="4"/>
        <v>302.75681466934651</v>
      </c>
      <c r="AM49" s="62">
        <f t="shared" si="5"/>
        <v>596.09014800267983</v>
      </c>
      <c r="AN49" s="62">
        <f ca="1">AVERAGE(OFFSET($AM$3,0,0,'Données projet'!$E$10+1,1))-AVERAGE(OFFSET($H$3,0,0,'Données projet'!$E$10+1,1))</f>
        <v>179.61236179838011</v>
      </c>
      <c r="AO49" s="62">
        <f t="shared" si="36"/>
        <v>186.66130555850333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0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20.399999999999999</v>
      </c>
      <c r="BD49" s="13">
        <f>IF('Données projet'!$A$88&gt;35,BD48+BC49-BL48,IF(A49&lt;'Données projet'!$A$88,$BA$205^A49,IF(A49='Données projet'!$A$88,'Données projet'!$B$88,BD48+BC49-BL48)))</f>
        <v>298.39999999999986</v>
      </c>
      <c r="BE49" s="14">
        <f>BD49*VLOOKUP('Données projet'!$B$11,Paramètres!$A$1:$I$88,3,0)*VLOOKUP('Données projet'!$B$11,Paramètres!$A$1:$I$88,5,0)</f>
        <v>139.65119999999993</v>
      </c>
      <c r="BF49" s="14">
        <f t="shared" si="37"/>
        <v>36.217088715919452</v>
      </c>
      <c r="BG49" s="22">
        <f t="shared" si="7"/>
        <v>306.30393618022629</v>
      </c>
      <c r="BH49" s="62">
        <f t="shared" si="8"/>
        <v>599.63726951355966</v>
      </c>
      <c r="BI49" s="62">
        <f ca="1">AVERAGE(OFFSET($BH$3,0,0,'Données projet'!$E$11+1,1))-AVERAGE(OFFSET($H$3,0,0,'Données projet'!$E$11+1,1))</f>
        <v>335.00873408144395</v>
      </c>
      <c r="BJ49" s="62">
        <f t="shared" si="38"/>
        <v>106.28577694955948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0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9.8888888888888893</v>
      </c>
      <c r="BY49" s="13">
        <f>IF('Données projet'!$A$114&gt;35,BY48+BX49-CG48,IF(A49&lt;'Données projet'!$A$114,$BV$205^A49,IF(A49='Données projet'!$A$114,'Données projet'!$B$114,BY48+BX49-CG48)))</f>
        <v>154.33333333333331</v>
      </c>
      <c r="BZ49" s="14">
        <f>BY49*VLOOKUP('Données projet'!$B$12,Paramètres!$A$1:$I$88,3,0)*VLOOKUP('Données projet'!$B$12,Paramètres!$A$1:$I$88,5,0)</f>
        <v>92.291333333333327</v>
      </c>
      <c r="CA49" s="14">
        <f t="shared" si="39"/>
        <v>25.117028248833339</v>
      </c>
      <c r="CB49" s="22">
        <f t="shared" si="10"/>
        <v>204.48622975560693</v>
      </c>
      <c r="CC49" s="62">
        <f t="shared" si="11"/>
        <v>497.81956308894024</v>
      </c>
      <c r="CD49" s="62">
        <f ca="1">AVERAGE(OFFSET($CC$3,0,0,'Données projet'!$E$12+1,1))-AVERAGE(OFFSET($H$3,0,0,'Données projet'!$E$12+1,1))</f>
        <v>136.47709057888358</v>
      </c>
      <c r="CE49" s="62">
        <f t="shared" si="40"/>
        <v>99.705248792886493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0</v>
      </c>
      <c r="CL49" s="23">
        <f>EXP(-LN(2)/25)*CL48+(1-EXP(-LN(2)/25))/(LN(2)/25)*Calculateur!CG49*Calculateur!CI49*VLOOKUP('Données projet'!$B$12,Paramètres!$A$1:$I$88,3,0)*0.475*44/12</f>
        <v>0</v>
      </c>
      <c r="CM49" s="23">
        <f>EXP(-LN(2)/2)*CM48+(1-EXP(-LN(2)/2))/(LN(2)/2)*CG49*CJ49*VLOOKUP('Données projet'!$B$12,Paramètres!$A$1:$I$88,3,0)*0.475*44/12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8.9</v>
      </c>
      <c r="CT49" s="13">
        <f>IF('Données projet'!$A$140&gt;35,CT48+CS49-DB48,IF(A49&lt;'Données projet'!$A$140,$CQ$205^A49,IF(A49='Données projet'!$A$140,'Données projet'!$B$140,CT48+CS49-DB48)))</f>
        <v>189.40000000000003</v>
      </c>
      <c r="CU49" s="18">
        <f>CT49*VLOOKUP('Données projet'!$B$13,Paramètres!$A$1:$I$88,3,0)*VLOOKUP('Données projet'!$B$13,Paramètres!$A$1:$I$88,5,0)</f>
        <v>91.101400000000027</v>
      </c>
      <c r="CV49" s="14">
        <f t="shared" si="41"/>
        <v>24.830667815535264</v>
      </c>
      <c r="CW49" s="22">
        <f t="shared" si="13"/>
        <v>201.91501811205728</v>
      </c>
      <c r="CX49" s="62">
        <f t="shared" si="14"/>
        <v>495.2483514453906</v>
      </c>
      <c r="CY49" s="62">
        <f ca="1">AVERAGE(OFFSET($CX$3,0,0,'Données projet'!$E$13+1,1))-AVERAGE(OFFSET($H$3,0,0,'Données projet'!$E$13+1,1))</f>
        <v>205.01234521498333</v>
      </c>
      <c r="CZ49" s="62">
        <f t="shared" si="42"/>
        <v>100.26042113972852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projet'!$B$13,Paramètres!$A$1:$I$88,3,0)*0.475*44/12</f>
        <v>0</v>
      </c>
      <c r="DG49" s="23">
        <f>EXP(-LN(2)/25)*DG48+(1-EXP(-LN(2)/25))/(LN(2)/25)*Calculateur!DB49*Calculateur!DD49*VLOOKUP('Données projet'!$B$13,Paramètres!$A$1:$I$88,3,0)*0.475*44/12</f>
        <v>0</v>
      </c>
      <c r="DH49" s="23">
        <f>EXP(-LN(2)/2)*DH48+(1-EXP(-LN(2)/2))/(LN(2)/2)*DB49*DE49*VLOOKUP('Données projet'!$B$13,Paramètres!$A$1:$I$88,3,0)*0.475*44/12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13.747500000000015</v>
      </c>
      <c r="D50" s="12">
        <f t="shared" si="32"/>
        <v>4.669673877981622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142.1676580054723</v>
      </c>
      <c r="H50" s="70">
        <f t="shared" si="1"/>
        <v>325.40991117081802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2.2000000000000002</v>
      </c>
      <c r="N50" s="14">
        <f>IF('Données projet'!$A$36&gt;35,N49+M50-V49,IF(A50&lt;'Données projet'!$A$36,$K$205^A50,IF(A50='Données projet'!$A$36,'Données projet'!$B$36,N49+M50-V49)))</f>
        <v>130.39999999999998</v>
      </c>
      <c r="O50" s="14">
        <f>N50*VLOOKUP('Données projet'!$B$9,Paramètres!$A$1:$I$88,3,0)*VLOOKUP('Données projet'!$B$9,Paramètres!$A$1:$I$88,5,0)</f>
        <v>132.22559999999999</v>
      </c>
      <c r="P50" s="14">
        <f t="shared" si="33"/>
        <v>34.510120971187391</v>
      </c>
      <c r="Q50" s="22">
        <f t="shared" si="53"/>
        <v>290.39804735815136</v>
      </c>
      <c r="R50" s="62">
        <f t="shared" si="0"/>
        <v>583.73138069148467</v>
      </c>
      <c r="S50" s="62">
        <f ca="1">AVERAGE(OFFSET($R$3,0,0,'Données projet'!$E$9+1,1))-AVERAGE(OFFSET($H$3,0,0,'Données projet'!$E$9+1,1))</f>
        <v>167.90363814107491</v>
      </c>
      <c r="T50" s="62">
        <f t="shared" si="34"/>
        <v>174.92847878212234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0</v>
      </c>
      <c r="AB50" s="23">
        <f>EXP(-LN(2)/2)*AB49+(1-EXP(-LN(2)/2))/(LN(2)/2)*V50*Y50*VLOOKUP('Données projet'!$B$9,Paramètres!$A$1:$I$88,3,0)*0.475*44/12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2.2000000000000002</v>
      </c>
      <c r="AI50" s="14">
        <f>IF('Données projet'!$A$62&gt;35,AI49+AH50-AQ49,IF(A50&lt;'Données projet'!$A$62,$AF$205^A50,IF(A50='Données projet'!$A$62,'Données projet'!$B$62,AI49+AH50-AQ49)))</f>
        <v>130.39999999999998</v>
      </c>
      <c r="AJ50" s="14">
        <f>AI50*VLOOKUP('Données projet'!$B$10,Paramètres!$A$1:$I$88,3,0)*VLOOKUP('Données projet'!$B$10,Paramètres!$A$1:$I$88,5,0)</f>
        <v>140.36255999999995</v>
      </c>
      <c r="AK50" s="14">
        <f t="shared" si="35"/>
        <v>36.380050393295029</v>
      </c>
      <c r="AL50" s="22">
        <f t="shared" si="4"/>
        <v>307.8267131016554</v>
      </c>
      <c r="AM50" s="62">
        <f t="shared" si="5"/>
        <v>601.16004643498877</v>
      </c>
      <c r="AN50" s="62">
        <f ca="1">AVERAGE(OFFSET($AM$3,0,0,'Données projet'!$E$10+1,1))-AVERAGE(OFFSET($H$3,0,0,'Données projet'!$E$10+1,1))</f>
        <v>179.61236179838011</v>
      </c>
      <c r="AO50" s="62">
        <f t="shared" si="36"/>
        <v>186.66130555850333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0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20.399999999999999</v>
      </c>
      <c r="BD50" s="13">
        <f>IF('Données projet'!$A$88&gt;35,BD49+BC50-BL49,IF(A50&lt;'Données projet'!$A$88,$BA$205^A50,IF(A50='Données projet'!$A$88,'Données projet'!$B$88,BD49+BC50-BL49)))</f>
        <v>318.79999999999984</v>
      </c>
      <c r="BE50" s="14">
        <f>BD50*VLOOKUP('Données projet'!$B$11,Paramètres!$A$1:$I$88,3,0)*VLOOKUP('Données projet'!$B$11,Paramètres!$A$1:$I$88,5,0)</f>
        <v>149.19839999999994</v>
      </c>
      <c r="BF50" s="14">
        <f t="shared" si="37"/>
        <v>38.396362373864498</v>
      </c>
      <c r="BG50" s="22">
        <f t="shared" si="7"/>
        <v>326.72754446781386</v>
      </c>
      <c r="BH50" s="62">
        <f t="shared" si="8"/>
        <v>620.06087780114717</v>
      </c>
      <c r="BI50" s="62">
        <f ca="1">AVERAGE(OFFSET($BH$3,0,0,'Données projet'!$E$11+1,1))-AVERAGE(OFFSET($H$3,0,0,'Données projet'!$E$11+1,1))</f>
        <v>335.00873408144395</v>
      </c>
      <c r="BJ50" s="62">
        <f t="shared" si="38"/>
        <v>106.28577694955948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0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9.8888888888888893</v>
      </c>
      <c r="BY50" s="13">
        <f>IF('Données projet'!$A$114&gt;35,BY49+BX50-CG49,IF(A50&lt;'Données projet'!$A$114,$BV$205^A50,IF(A50='Données projet'!$A$114,'Données projet'!$B$114,BY49+BX50-CG49)))</f>
        <v>164.2222222222222</v>
      </c>
      <c r="BZ50" s="14">
        <f>BY50*VLOOKUP('Données projet'!$B$12,Paramètres!$A$1:$I$88,3,0)*VLOOKUP('Données projet'!$B$12,Paramètres!$A$1:$I$88,5,0)</f>
        <v>98.204888888888888</v>
      </c>
      <c r="CA50" s="14">
        <f t="shared" si="39"/>
        <v>26.533887266447675</v>
      </c>
      <c r="CB50" s="22">
        <f t="shared" si="10"/>
        <v>217.2533684705445</v>
      </c>
      <c r="CC50" s="62">
        <f t="shared" si="11"/>
        <v>510.58670180387782</v>
      </c>
      <c r="CD50" s="62">
        <f ca="1">AVERAGE(OFFSET($CC$3,0,0,'Données projet'!$E$12+1,1))-AVERAGE(OFFSET($H$3,0,0,'Données projet'!$E$12+1,1))</f>
        <v>136.47709057888358</v>
      </c>
      <c r="CE50" s="62">
        <f t="shared" si="40"/>
        <v>99.705248792886493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0</v>
      </c>
      <c r="CL50" s="23">
        <f>EXP(-LN(2)/25)*CL49+(1-EXP(-LN(2)/25))/(LN(2)/25)*Calculateur!CG50*Calculateur!CI50*VLOOKUP('Données projet'!$B$12,Paramètres!$A$1:$I$88,3,0)*0.475*44/12</f>
        <v>0</v>
      </c>
      <c r="CM50" s="23">
        <f>EXP(-LN(2)/2)*CM49+(1-EXP(-LN(2)/2))/(LN(2)/2)*CG50*CJ50*VLOOKUP('Données projet'!$B$12,Paramètres!$A$1:$I$88,3,0)*0.475*44/12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8.9</v>
      </c>
      <c r="CT50" s="13">
        <f>IF('Données projet'!$A$140&gt;35,CT49+CS50-DB49,IF(A50&lt;'Données projet'!$A$140,$CQ$205^A50,IF(A50='Données projet'!$A$140,'Données projet'!$B$140,CT49+CS50-DB49)))</f>
        <v>198.30000000000004</v>
      </c>
      <c r="CU50" s="18">
        <f>CT50*VLOOKUP('Données projet'!$B$13,Paramètres!$A$1:$I$88,3,0)*VLOOKUP('Données projet'!$B$13,Paramètres!$A$1:$I$88,5,0)</f>
        <v>95.382300000000015</v>
      </c>
      <c r="CV50" s="14">
        <f t="shared" si="41"/>
        <v>25.858885587408039</v>
      </c>
      <c r="CW50" s="22">
        <f t="shared" si="13"/>
        <v>211.16173156473567</v>
      </c>
      <c r="CX50" s="62">
        <f t="shared" si="14"/>
        <v>504.49506489806902</v>
      </c>
      <c r="CY50" s="62">
        <f ca="1">AVERAGE(OFFSET($CX$3,0,0,'Données projet'!$E$13+1,1))-AVERAGE(OFFSET($H$3,0,0,'Données projet'!$E$13+1,1))</f>
        <v>205.01234521498333</v>
      </c>
      <c r="CZ50" s="62">
        <f t="shared" si="42"/>
        <v>100.26042113972852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projet'!$B$13,Paramètres!$A$1:$I$88,3,0)*0.475*44/12</f>
        <v>0</v>
      </c>
      <c r="DG50" s="23">
        <f>EXP(-LN(2)/25)*DG49+(1-EXP(-LN(2)/25))/(LN(2)/25)*Calculateur!DB50*Calculateur!DD50*VLOOKUP('Données projet'!$B$13,Paramètres!$A$1:$I$88,3,0)*0.475*44/12</f>
        <v>0</v>
      </c>
      <c r="DH50" s="23">
        <f>EXP(-LN(2)/2)*DH49+(1-EXP(-LN(2)/2))/(LN(2)/2)*DB50*DE50*VLOOKUP('Données projet'!$B$13,Paramètres!$A$1:$I$88,3,0)*0.475*44/12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14.040000000000015</v>
      </c>
      <c r="D51" s="12">
        <f t="shared" si="32"/>
        <v>4.7573558880532945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145.10239632883258</v>
      </c>
      <c r="H51" s="70">
        <f t="shared" si="1"/>
        <v>326.07206150502617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2.2000000000000002</v>
      </c>
      <c r="N51" s="14">
        <f>IF('Données projet'!$A$36&gt;35,N50+M51-V50,IF(A51&lt;'Données projet'!$A$36,$K$205^A51,IF(A51='Données projet'!$A$36,'Données projet'!$B$36,N50+M51-V50)))</f>
        <v>132.59999999999997</v>
      </c>
      <c r="O51" s="14">
        <f>N51*VLOOKUP('Données projet'!$B$9,Paramètres!$A$1:$I$88,3,0)*VLOOKUP('Données projet'!$B$9,Paramètres!$A$1:$I$88,5,0)</f>
        <v>134.45639999999997</v>
      </c>
      <c r="P51" s="14">
        <f t="shared" si="33"/>
        <v>35.024073835162383</v>
      </c>
      <c r="Q51" s="22">
        <f t="shared" si="53"/>
        <v>295.17849192957436</v>
      </c>
      <c r="R51" s="62">
        <f t="shared" si="0"/>
        <v>588.51182526290768</v>
      </c>
      <c r="S51" s="62">
        <f ca="1">AVERAGE(OFFSET($R$3,0,0,'Données projet'!$E$9+1,1))-AVERAGE(OFFSET($H$3,0,0,'Données projet'!$E$9+1,1))</f>
        <v>167.90363814107491</v>
      </c>
      <c r="T51" s="62">
        <f t="shared" si="34"/>
        <v>174.92847878212234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0</v>
      </c>
      <c r="AB51" s="23">
        <f>EXP(-LN(2)/2)*AB50+(1-EXP(-LN(2)/2))/(LN(2)/2)*V51*Y51*VLOOKUP('Données projet'!$B$9,Paramètres!$A$1:$I$88,3,0)*0.475*44/12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2.2000000000000002</v>
      </c>
      <c r="AI51" s="14">
        <f>IF('Données projet'!$A$62&gt;35,AI50+AH51-AQ50,IF(A51&lt;'Données projet'!$A$62,$AF$205^A51,IF(A51='Données projet'!$A$62,'Données projet'!$B$62,AI50+AH51-AQ50)))</f>
        <v>132.59999999999997</v>
      </c>
      <c r="AJ51" s="14">
        <f>AI51*VLOOKUP('Données projet'!$B$10,Paramètres!$A$1:$I$88,3,0)*VLOOKUP('Données projet'!$B$10,Paramètres!$A$1:$I$88,5,0)</f>
        <v>142.73063999999997</v>
      </c>
      <c r="AK51" s="14">
        <f t="shared" si="35"/>
        <v>36.921851771122689</v>
      </c>
      <c r="AL51" s="22">
        <f t="shared" si="4"/>
        <v>312.89475650137189</v>
      </c>
      <c r="AM51" s="62">
        <f t="shared" si="5"/>
        <v>606.2280898347052</v>
      </c>
      <c r="AN51" s="62">
        <f ca="1">AVERAGE(OFFSET($AM$3,0,0,'Données projet'!$E$10+1,1))-AVERAGE(OFFSET($H$3,0,0,'Données projet'!$E$10+1,1))</f>
        <v>179.61236179838011</v>
      </c>
      <c r="AO51" s="62">
        <f t="shared" si="36"/>
        <v>186.66130555850333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0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20.399999999999999</v>
      </c>
      <c r="BD51" s="13">
        <f>IF('Données projet'!$A$88&gt;35,BD50+BC51-BL50,IF(A51&lt;'Données projet'!$A$88,$BA$205^A51,IF(A51='Données projet'!$A$88,'Données projet'!$B$88,BD50+BC51-BL50)))</f>
        <v>339.19999999999982</v>
      </c>
      <c r="BE51" s="14">
        <f>BD51*VLOOKUP('Données projet'!$B$11,Paramètres!$A$1:$I$88,3,0)*VLOOKUP('Données projet'!$B$11,Paramètres!$A$1:$I$88,5,0)</f>
        <v>158.74559999999991</v>
      </c>
      <c r="BF51" s="14">
        <f t="shared" si="37"/>
        <v>40.559452507902058</v>
      </c>
      <c r="BG51" s="22">
        <f t="shared" si="7"/>
        <v>347.12296645126258</v>
      </c>
      <c r="BH51" s="62">
        <f t="shared" si="8"/>
        <v>640.4562997845959</v>
      </c>
      <c r="BI51" s="62">
        <f ca="1">AVERAGE(OFFSET($BH$3,0,0,'Données projet'!$E$11+1,1))-AVERAGE(OFFSET($H$3,0,0,'Données projet'!$E$11+1,1))</f>
        <v>335.00873408144395</v>
      </c>
      <c r="BJ51" s="62">
        <f t="shared" si="38"/>
        <v>106.28577694955948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0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9.8888888888888893</v>
      </c>
      <c r="BY51" s="13">
        <f>IF('Données projet'!$A$114&gt;35,BY50+BX51-CG50,IF(A51&lt;'Données projet'!$A$114,$BV$205^A51,IF(A51='Données projet'!$A$114,'Données projet'!$B$114,BY50+BX51-CG50)))</f>
        <v>174.11111111111109</v>
      </c>
      <c r="BZ51" s="14">
        <f>BY51*VLOOKUP('Données projet'!$B$12,Paramètres!$A$1:$I$88,3,0)*VLOOKUP('Données projet'!$B$12,Paramètres!$A$1:$I$88,5,0)</f>
        <v>104.11844444444444</v>
      </c>
      <c r="CA51" s="14">
        <f t="shared" si="39"/>
        <v>27.940843640496194</v>
      </c>
      <c r="CB51" s="22">
        <f t="shared" si="10"/>
        <v>230.00326008127158</v>
      </c>
      <c r="CC51" s="62">
        <f t="shared" si="11"/>
        <v>523.33659341460486</v>
      </c>
      <c r="CD51" s="62">
        <f ca="1">AVERAGE(OFFSET($CC$3,0,0,'Données projet'!$E$12+1,1))-AVERAGE(OFFSET($H$3,0,0,'Données projet'!$E$12+1,1))</f>
        <v>136.47709057888358</v>
      </c>
      <c r="CE51" s="62">
        <f t="shared" si="40"/>
        <v>99.705248792886493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0</v>
      </c>
      <c r="CL51" s="23">
        <f>EXP(-LN(2)/25)*CL50+(1-EXP(-LN(2)/25))/(LN(2)/25)*Calculateur!CG51*Calculateur!CI51*VLOOKUP('Données projet'!$B$12,Paramètres!$A$1:$I$88,3,0)*0.475*44/12</f>
        <v>0</v>
      </c>
      <c r="CM51" s="23">
        <f>EXP(-LN(2)/2)*CM50+(1-EXP(-LN(2)/2))/(LN(2)/2)*CG51*CJ51*VLOOKUP('Données projet'!$B$12,Paramètres!$A$1:$I$88,3,0)*0.475*44/12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8.9</v>
      </c>
      <c r="CT51" s="13">
        <f>IF('Données projet'!$A$140&gt;35,CT50+CS51-DB50,IF(A51&lt;'Données projet'!$A$140,$CQ$205^A51,IF(A51='Données projet'!$A$140,'Données projet'!$B$140,CT50+CS51-DB50)))</f>
        <v>207.20000000000005</v>
      </c>
      <c r="CU51" s="18">
        <f>CT51*VLOOKUP('Données projet'!$B$13,Paramètres!$A$1:$I$88,3,0)*VLOOKUP('Données projet'!$B$13,Paramètres!$A$1:$I$88,5,0)</f>
        <v>99.663200000000018</v>
      </c>
      <c r="CV51" s="14">
        <f t="shared" si="41"/>
        <v>26.881743844910037</v>
      </c>
      <c r="CW51" s="22">
        <f t="shared" si="13"/>
        <v>220.39911052988498</v>
      </c>
      <c r="CX51" s="62">
        <f t="shared" si="14"/>
        <v>513.73244386321835</v>
      </c>
      <c r="CY51" s="62">
        <f ca="1">AVERAGE(OFFSET($CX$3,0,0,'Données projet'!$E$13+1,1))-AVERAGE(OFFSET($H$3,0,0,'Données projet'!$E$13+1,1))</f>
        <v>205.01234521498333</v>
      </c>
      <c r="CZ51" s="62">
        <f t="shared" si="42"/>
        <v>100.26042113972852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projet'!$B$13,Paramètres!$A$1:$I$88,3,0)*0.475*44/12</f>
        <v>0</v>
      </c>
      <c r="DG51" s="23">
        <f>EXP(-LN(2)/25)*DG50+(1-EXP(-LN(2)/25))/(LN(2)/25)*Calculateur!DB51*Calculateur!DD51*VLOOKUP('Données projet'!$B$13,Paramètres!$A$1:$I$88,3,0)*0.475*44/12</f>
        <v>0</v>
      </c>
      <c r="DH51" s="23">
        <f>EXP(-LN(2)/2)*DH50+(1-EXP(-LN(2)/2))/(LN(2)/2)*DB51*DE51*VLOOKUP('Données projet'!$B$13,Paramètres!$A$1:$I$88,3,0)*0.475*44/12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14.332500000000016</v>
      </c>
      <c r="D52" s="12">
        <f t="shared" si="32"/>
        <v>4.8448255106149336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148.03549516965927</v>
      </c>
      <c r="H52" s="70">
        <f t="shared" si="1"/>
        <v>326.73384193098769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2.2000000000000002</v>
      </c>
      <c r="N52" s="14">
        <f>IF('Données projet'!$A$36&gt;35,N51+M52-V51,IF(A52&lt;'Données projet'!$A$36,$K$205^A52,IF(A52='Données projet'!$A$36,'Données projet'!$B$36,N51+M52-V51)))</f>
        <v>134.79999999999995</v>
      </c>
      <c r="O52" s="14">
        <f>N52*VLOOKUP('Données projet'!$B$9,Paramètres!$A$1:$I$88,3,0)*VLOOKUP('Données projet'!$B$9,Paramètres!$A$1:$I$88,5,0)</f>
        <v>136.68719999999996</v>
      </c>
      <c r="P52" s="14">
        <f t="shared" si="33"/>
        <v>35.537035051911147</v>
      </c>
      <c r="Q52" s="22">
        <f t="shared" si="53"/>
        <v>299.95720938207853</v>
      </c>
      <c r="R52" s="62">
        <f t="shared" si="0"/>
        <v>593.2905427154119</v>
      </c>
      <c r="S52" s="62">
        <f ca="1">AVERAGE(OFFSET($R$3,0,0,'Données projet'!$E$9+1,1))-AVERAGE(OFFSET($H$3,0,0,'Données projet'!$E$9+1,1))</f>
        <v>167.90363814107491</v>
      </c>
      <c r="T52" s="62">
        <f t="shared" si="34"/>
        <v>174.92847878212234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0</v>
      </c>
      <c r="AB52" s="23">
        <f>EXP(-LN(2)/2)*AB51+(1-EXP(-LN(2)/2))/(LN(2)/2)*V52*Y52*VLOOKUP('Données projet'!$B$9,Paramètres!$A$1:$I$88,3,0)*0.475*44/12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2.2000000000000002</v>
      </c>
      <c r="AI52" s="14">
        <f>IF('Données projet'!$A$62&gt;35,AI51+AH52-AQ51,IF(A52&lt;'Données projet'!$A$62,$AF$205^A52,IF(A52='Données projet'!$A$62,'Données projet'!$B$62,AI51+AH52-AQ51)))</f>
        <v>134.79999999999995</v>
      </c>
      <c r="AJ52" s="14">
        <f>AI52*VLOOKUP('Données projet'!$B$10,Paramètres!$A$1:$I$88,3,0)*VLOOKUP('Données projet'!$B$10,Paramètres!$A$1:$I$88,5,0)</f>
        <v>145.09871999999993</v>
      </c>
      <c r="AK52" s="14">
        <f t="shared" si="35"/>
        <v>37.462607769361767</v>
      </c>
      <c r="AL52" s="22">
        <f t="shared" si="4"/>
        <v>317.96097919830498</v>
      </c>
      <c r="AM52" s="62">
        <f t="shared" si="5"/>
        <v>611.2943125316383</v>
      </c>
      <c r="AN52" s="62">
        <f ca="1">AVERAGE(OFFSET($AM$3,0,0,'Données projet'!$E$10+1,1))-AVERAGE(OFFSET($H$3,0,0,'Données projet'!$E$10+1,1))</f>
        <v>179.61236179838011</v>
      </c>
      <c r="AO52" s="62">
        <f t="shared" si="36"/>
        <v>186.66130555850333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0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20.399999999999999</v>
      </c>
      <c r="BD52" s="13">
        <f>IF('Données projet'!$A$88&gt;35,BD51+BC52-BL51,IF(A52&lt;'Données projet'!$A$88,$BA$205^A52,IF(A52='Données projet'!$A$88,'Données projet'!$B$88,BD51+BC52-BL51)))</f>
        <v>359.5999999999998</v>
      </c>
      <c r="BE52" s="14">
        <f>BD52*VLOOKUP('Données projet'!$B$11,Paramètres!$A$1:$I$88,3,0)*VLOOKUP('Données projet'!$B$11,Paramètres!$A$1:$I$88,5,0)</f>
        <v>168.29279999999991</v>
      </c>
      <c r="BF52" s="14">
        <f t="shared" si="37"/>
        <v>42.707443263135069</v>
      </c>
      <c r="BG52" s="22">
        <f t="shared" si="7"/>
        <v>367.49209034996011</v>
      </c>
      <c r="BH52" s="62">
        <f t="shared" si="8"/>
        <v>660.82542368329337</v>
      </c>
      <c r="BI52" s="62">
        <f ca="1">AVERAGE(OFFSET($BH$3,0,0,'Données projet'!$E$11+1,1))-AVERAGE(OFFSET($H$3,0,0,'Données projet'!$E$11+1,1))</f>
        <v>335.00873408144395</v>
      </c>
      <c r="BJ52" s="62">
        <f t="shared" si="38"/>
        <v>106.28577694955948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0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>
        <f>VLOOKUP(A52,'Données projet'!$A$113:$I$133,2,0)</f>
        <v>184</v>
      </c>
      <c r="BW52" s="13">
        <f>VLOOKUP(A52,'Données projet'!$A$113:$I$133,9,0)</f>
        <v>9.8888888888888893</v>
      </c>
      <c r="BX52" s="13">
        <f t="array" ref="BX52">INDEX(BW:BW,MIN(IF(ISNUMBER(BW52:BW248),ROW(BW52:BW248),"")))</f>
        <v>9.8888888888888893</v>
      </c>
      <c r="BY52" s="13">
        <f>IF('Données projet'!$A$114&gt;35,BY51+BX52-CG51,IF(A52&lt;'Données projet'!$A$114,$BV$205^A52,IF(A52='Données projet'!$A$114,'Données projet'!$B$114,BY51+BX52-CG51)))</f>
        <v>183.99999999999997</v>
      </c>
      <c r="BZ52" s="14">
        <f>BY52*VLOOKUP('Données projet'!$B$12,Paramètres!$A$1:$I$88,3,0)*VLOOKUP('Données projet'!$B$12,Paramètres!$A$1:$I$88,5,0)</f>
        <v>110.03199999999998</v>
      </c>
      <c r="CA52" s="14">
        <f t="shared" si="39"/>
        <v>29.338523894513916</v>
      </c>
      <c r="CB52" s="22">
        <f t="shared" si="10"/>
        <v>242.736995782945</v>
      </c>
      <c r="CC52" s="62">
        <f t="shared" si="11"/>
        <v>536.07032911627834</v>
      </c>
      <c r="CD52" s="62">
        <f ca="1">AVERAGE(OFFSET($CC$3,0,0,'Données projet'!$E$12+1,1))-AVERAGE(OFFSET($H$3,0,0,'Données projet'!$E$12+1,1))</f>
        <v>136.47709057888358</v>
      </c>
      <c r="CE52" s="62">
        <f t="shared" si="40"/>
        <v>99.705248792886493</v>
      </c>
      <c r="CF52" s="16">
        <f>IF(ISNA(VLOOKUP(A52,'Données projet'!$A$113:$I$133,3,0)),0,VLOOKUP(A52,'Données projet'!$A$113:$I$133,3,0))</f>
        <v>3</v>
      </c>
      <c r="CG52" s="16">
        <f>IF(ISNA(VLOOKUP(A52,'Données projet'!$A$113:$I$133,4,0)),0,VLOOKUP(A52,'Données projet'!$A$113:$I$133,4,0))</f>
        <v>64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0</v>
      </c>
      <c r="CL52" s="23">
        <f>EXP(-LN(2)/25)*CL51+(1-EXP(-LN(2)/25))/(LN(2)/25)*Calculateur!CG52*Calculateur!CI52*VLOOKUP('Données projet'!$B$12,Paramètres!$A$1:$I$88,3,0)*0.475*44/12</f>
        <v>0</v>
      </c>
      <c r="CM52" s="23">
        <f>EXP(-LN(2)/2)*CM51+(1-EXP(-LN(2)/2))/(LN(2)/2)*CG52*CJ52*VLOOKUP('Données projet'!$B$12,Paramètres!$A$1:$I$88,3,0)*0.475*44/12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8.9</v>
      </c>
      <c r="CT52" s="13">
        <f>IF('Données projet'!$A$140&gt;35,CT51+CS52-DB51,IF(A52&lt;'Données projet'!$A$140,$CQ$205^A52,IF(A52='Données projet'!$A$140,'Données projet'!$B$140,CT51+CS52-DB51)))</f>
        <v>216.10000000000005</v>
      </c>
      <c r="CU52" s="18">
        <f>CT52*VLOOKUP('Données projet'!$B$13,Paramètres!$A$1:$I$88,3,0)*VLOOKUP('Données projet'!$B$13,Paramètres!$A$1:$I$88,5,0)</f>
        <v>103.94410000000003</v>
      </c>
      <c r="CV52" s="14">
        <f t="shared" si="41"/>
        <v>27.899499114944149</v>
      </c>
      <c r="CW52" s="22">
        <f t="shared" si="13"/>
        <v>229.62760179186114</v>
      </c>
      <c r="CX52" s="62">
        <f t="shared" si="14"/>
        <v>522.96093512519451</v>
      </c>
      <c r="CY52" s="62">
        <f ca="1">AVERAGE(OFFSET($CX$3,0,0,'Données projet'!$E$13+1,1))-AVERAGE(OFFSET($H$3,0,0,'Données projet'!$E$13+1,1))</f>
        <v>205.01234521498333</v>
      </c>
      <c r="CZ52" s="62">
        <f t="shared" si="42"/>
        <v>100.26042113972852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projet'!$B$13,Paramètres!$A$1:$I$88,3,0)*0.475*44/12</f>
        <v>0</v>
      </c>
      <c r="DG52" s="23">
        <f>EXP(-LN(2)/25)*DG51+(1-EXP(-LN(2)/25))/(LN(2)/25)*Calculateur!DB52*Calculateur!DD52*VLOOKUP('Données projet'!$B$13,Paramètres!$A$1:$I$88,3,0)*0.475*44/12</f>
        <v>0</v>
      </c>
      <c r="DH52" s="23">
        <f>EXP(-LN(2)/2)*DH51+(1-EXP(-LN(2)/2))/(LN(2)/2)*DB52*DE52*VLOOKUP('Données projet'!$B$13,Paramètres!$A$1:$I$88,3,0)*0.475*44/12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14.625000000000016</v>
      </c>
      <c r="D53" s="12">
        <f t="shared" si="32"/>
        <v>4.9320875795686048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150.96699184228407</v>
      </c>
      <c r="H53" s="70">
        <f t="shared" si="1"/>
        <v>327.39526086774868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137</v>
      </c>
      <c r="L53" s="13">
        <f>VLOOKUP(A53,'Données projet'!$A$35:$I$55,9,0)</f>
        <v>2.2000000000000002</v>
      </c>
      <c r="M53" s="13">
        <f t="array" ref="M53">INDEX(L:L,MIN(IF(ISNUMBER(L53:L249),ROW(L53:L249),"")))</f>
        <v>2.2000000000000002</v>
      </c>
      <c r="N53" s="14">
        <f>IF('Données projet'!$A$36&gt;35,N52+M53-V52,IF(A53&lt;'Données projet'!$A$36,$K$205^A53,IF(A53='Données projet'!$A$36,'Données projet'!$B$36,N52+M53-V52)))</f>
        <v>136.99999999999994</v>
      </c>
      <c r="O53" s="14">
        <f>N53*VLOOKUP('Données projet'!$B$9,Paramètres!$A$1:$I$88,3,0)*VLOOKUP('Données projet'!$B$9,Paramètres!$A$1:$I$88,5,0)</f>
        <v>138.91799999999995</v>
      </c>
      <c r="P53" s="14">
        <f t="shared" si="33"/>
        <v>36.049022673886341</v>
      </c>
      <c r="Q53" s="22">
        <f t="shared" si="53"/>
        <v>304.7342311570186</v>
      </c>
      <c r="R53" s="62">
        <f t="shared" si="0"/>
        <v>598.06756449035197</v>
      </c>
      <c r="S53" s="62">
        <f ca="1">AVERAGE(OFFSET($R$3,0,0,'Données projet'!$E$9+1,1))-AVERAGE(OFFSET($H$3,0,0,'Données projet'!$E$9+1,1))</f>
        <v>167.90363814107491</v>
      </c>
      <c r="T53" s="62">
        <f t="shared" si="34"/>
        <v>174.92847878212234</v>
      </c>
      <c r="U53" s="16">
        <f>IF(ISNA(VLOOKUP(A53,'Données projet'!$A$35:$I$55,3,0)),0,VLOOKUP(A53,'Données projet'!$A$35:$I$55,3,0))</f>
        <v>1</v>
      </c>
      <c r="V53" s="16">
        <f>IF(ISNA(VLOOKUP(A53,'Données projet'!$A$35:$I$55,4,0)),0,VLOOKUP(A53,'Données projet'!$A$35:$I$55,4,0))</f>
        <v>40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0</v>
      </c>
      <c r="AB53" s="23">
        <f>EXP(-LN(2)/2)*AB52+(1-EXP(-LN(2)/2))/(LN(2)/2)*V53*Y53*VLOOKUP('Données projet'!$B$9,Paramètres!$A$1:$I$88,3,0)*0.475*44/12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137</v>
      </c>
      <c r="AG53" s="13">
        <f>VLOOKUP(A53,'Données projet'!$A$61:$I$81,9,0)</f>
        <v>2.2000000000000002</v>
      </c>
      <c r="AH53" s="13">
        <f t="array" ref="AH53">INDEX(AG:AG,MIN(IF(ISNUMBER(AG53:AG249),ROW(AG53:AG249),"")))</f>
        <v>2.2000000000000002</v>
      </c>
      <c r="AI53" s="14">
        <f>IF('Données projet'!$A$62&gt;35,AI52+AH53-AQ52,IF(A53&lt;'Données projet'!$A$62,$AF$205^A53,IF(A53='Données projet'!$A$62,'Données projet'!$B$62,AI52+AH53-AQ52)))</f>
        <v>136.99999999999994</v>
      </c>
      <c r="AJ53" s="14">
        <f>AI53*VLOOKUP('Données projet'!$B$10,Paramètres!$A$1:$I$88,3,0)*VLOOKUP('Données projet'!$B$10,Paramètres!$A$1:$I$88,5,0)</f>
        <v>147.46679999999995</v>
      </c>
      <c r="AK53" s="14">
        <f t="shared" si="35"/>
        <v>38.002337418636273</v>
      </c>
      <c r="AL53" s="22">
        <f t="shared" si="4"/>
        <v>323.02541433745807</v>
      </c>
      <c r="AM53" s="62">
        <f t="shared" si="5"/>
        <v>616.35874767079144</v>
      </c>
      <c r="AN53" s="62">
        <f ca="1">AVERAGE(OFFSET($AM$3,0,0,'Données projet'!$E$10+1,1))-AVERAGE(OFFSET($H$3,0,0,'Données projet'!$E$10+1,1))</f>
        <v>179.61236179838011</v>
      </c>
      <c r="AO53" s="62">
        <f t="shared" si="36"/>
        <v>186.66130555850333</v>
      </c>
      <c r="AP53" s="16">
        <f>IF(ISNA(VLOOKUP(A53,'Données projet'!$A$61:$I$81,3,0)),0,VLOOKUP(A53,'Données projet'!$A$61:$I$81,3,0))</f>
        <v>1</v>
      </c>
      <c r="AQ53" s="16">
        <f>IF(ISNA(VLOOKUP(A53,'Données projet'!$A$61:$I$81,4,0)),0,VLOOKUP(A53,'Données projet'!$A$61:$I$81,4,0))</f>
        <v>40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0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380</v>
      </c>
      <c r="BB53" s="13">
        <f>VLOOKUP(A53,'Données projet'!$A$87:$I$107,9,0)</f>
        <v>20.399999999999999</v>
      </c>
      <c r="BC53" s="13">
        <f t="array" ref="BC53">INDEX(BB:BB,MIN(IF(ISNUMBER(BB53:BB249),ROW(BB53:BB249),"")))</f>
        <v>20.399999999999999</v>
      </c>
      <c r="BD53" s="13">
        <f>IF('Données projet'!$A$88&gt;35,BD52+BC53-BL52,IF(A53&lt;'Données projet'!$A$88,$BA$205^A53,IF(A53='Données projet'!$A$88,'Données projet'!$B$88,BD52+BC53-BL52)))</f>
        <v>379.99999999999977</v>
      </c>
      <c r="BE53" s="14">
        <f>BD53*VLOOKUP('Données projet'!$B$11,Paramètres!$A$1:$I$88,3,0)*VLOOKUP('Données projet'!$B$11,Paramètres!$A$1:$I$88,5,0)</f>
        <v>177.83999999999992</v>
      </c>
      <c r="BF53" s="14">
        <f t="shared" si="37"/>
        <v>44.841288830609102</v>
      </c>
      <c r="BG53" s="22">
        <f t="shared" si="7"/>
        <v>387.83657804664404</v>
      </c>
      <c r="BH53" s="62">
        <f t="shared" si="8"/>
        <v>681.16991137997729</v>
      </c>
      <c r="BI53" s="62">
        <f ca="1">AVERAGE(OFFSET($BH$3,0,0,'Données projet'!$E$11+1,1))-AVERAGE(OFFSET($H$3,0,0,'Données projet'!$E$11+1,1))</f>
        <v>335.00873408144395</v>
      </c>
      <c r="BJ53" s="62">
        <f t="shared" si="38"/>
        <v>106.28577694955948</v>
      </c>
      <c r="BK53" s="16">
        <f>IF(ISNA(VLOOKUP(A53,'Données projet'!$A$87:$I$107,3,0)),0,VLOOKUP(A53,'Données projet'!$A$87:$I$107,3,0))</f>
        <v>2</v>
      </c>
      <c r="BL53" s="16">
        <f>IF(ISNA(VLOOKUP(A53,'Données projet'!$A$87:$I$107,4,0)),0,VLOOKUP(A53,'Données projet'!$A$87:$I$107,4,0))</f>
        <v>91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0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8.7272727272727266</v>
      </c>
      <c r="BY53" s="13">
        <f>IF('Données projet'!$A$114&gt;35,BY52+BX53-CG52,IF(A53&lt;'Données projet'!$A$114,$BV$205^A53,IF(A53='Données projet'!$A$114,'Données projet'!$B$114,BY52+BX53-CG52)))</f>
        <v>128.72727272727269</v>
      </c>
      <c r="BZ53" s="14">
        <f>BY53*VLOOKUP('Données projet'!$B$12,Paramètres!$A$1:$I$88,3,0)*VLOOKUP('Données projet'!$B$12,Paramètres!$A$1:$I$88,5,0)</f>
        <v>76.97890909090907</v>
      </c>
      <c r="CA53" s="14">
        <f t="shared" si="39"/>
        <v>21.396864927225952</v>
      </c>
      <c r="CB53" s="22">
        <f t="shared" si="10"/>
        <v>171.33780641491845</v>
      </c>
      <c r="CC53" s="62">
        <f t="shared" si="11"/>
        <v>464.67113974825179</v>
      </c>
      <c r="CD53" s="62">
        <f ca="1">AVERAGE(OFFSET($CC$3,0,0,'Données projet'!$E$12+1,1))-AVERAGE(OFFSET($H$3,0,0,'Données projet'!$E$12+1,1))</f>
        <v>136.47709057888358</v>
      </c>
      <c r="CE53" s="62">
        <f t="shared" si="40"/>
        <v>99.705248792886493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projet'!$B$12,Paramètres!$A$1:$I$88,3,0)*0.475*44/12</f>
        <v>0</v>
      </c>
      <c r="CL53" s="23">
        <f>EXP(-LN(2)/25)*CL52+(1-EXP(-LN(2)/25))/(LN(2)/25)*Calculateur!CG53*Calculateur!CI53*VLOOKUP('Données projet'!$B$12,Paramètres!$A$1:$I$88,3,0)*0.475*44/12</f>
        <v>0</v>
      </c>
      <c r="CM53" s="23">
        <f>EXP(-LN(2)/2)*CM52+(1-EXP(-LN(2)/2))/(LN(2)/2)*CG53*CJ53*VLOOKUP('Données projet'!$B$12,Paramètres!$A$1:$I$88,3,0)*0.475*44/12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225</v>
      </c>
      <c r="CR53" s="13">
        <f>VLOOKUP(A53,'Données projet'!$A$139:$I$159,9,0)</f>
        <v>8.9</v>
      </c>
      <c r="CS53" s="13">
        <f t="array" ref="CS53">INDEX(CR:CR,MIN(IF(ISNUMBER(CR53:CR249),ROW(CR53:CR249),"")))</f>
        <v>8.9</v>
      </c>
      <c r="CT53" s="13">
        <f>IF('Données projet'!$A$140&gt;35,CT52+CS53-DB52,IF(A53&lt;'Données projet'!$A$140,$CQ$205^A53,IF(A53='Données projet'!$A$140,'Données projet'!$B$140,CT52+CS53-DB52)))</f>
        <v>225.00000000000006</v>
      </c>
      <c r="CU53" s="18">
        <f>CT53*VLOOKUP('Données projet'!$B$13,Paramètres!$A$1:$I$88,3,0)*VLOOKUP('Données projet'!$B$13,Paramètres!$A$1:$I$88,5,0)</f>
        <v>108.22500000000002</v>
      </c>
      <c r="CV53" s="14">
        <f t="shared" si="41"/>
        <v>28.912385598873438</v>
      </c>
      <c r="CW53" s="22">
        <f t="shared" si="13"/>
        <v>238.84761325137129</v>
      </c>
      <c r="CX53" s="62">
        <f t="shared" si="14"/>
        <v>532.18094658470454</v>
      </c>
      <c r="CY53" s="62">
        <f ca="1">AVERAGE(OFFSET($CX$3,0,0,'Données projet'!$E$13+1,1))-AVERAGE(OFFSET($H$3,0,0,'Données projet'!$E$13+1,1))</f>
        <v>205.01234521498333</v>
      </c>
      <c r="CZ53" s="62">
        <f t="shared" si="42"/>
        <v>100.26042113972852</v>
      </c>
      <c r="DA53" s="16">
        <f>IF(ISNA(VLOOKUP(A53,'Données projet'!$A$139:$I$159,3,0)),0,VLOOKUP(A53,'Données projet'!$A$139:$I$159,3,0))</f>
        <v>2</v>
      </c>
      <c r="DB53" s="16">
        <f>IF(ISNA(VLOOKUP(A53,'Données projet'!$A$139:$I$159,4,0)),0,VLOOKUP(A53,'Données projet'!$A$139:$I$159,4,0))</f>
        <v>58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projet'!$B$13,Paramètres!$A$1:$I$88,3,0)*0.475*44/12</f>
        <v>0</v>
      </c>
      <c r="DG53" s="23">
        <f>EXP(-LN(2)/25)*DG52+(1-EXP(-LN(2)/25))/(LN(2)/25)*Calculateur!DB53*Calculateur!DD53*VLOOKUP('Données projet'!$B$13,Paramètres!$A$1:$I$88,3,0)*0.475*44/12</f>
        <v>0</v>
      </c>
      <c r="DH53" s="23">
        <f>EXP(-LN(2)/2)*DH52+(1-EXP(-LN(2)/2))/(LN(2)/2)*DB53*DE53*VLOOKUP('Données projet'!$B$13,Paramètres!$A$1:$I$88,3,0)*0.475*44/12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14.917500000000016</v>
      </c>
      <c r="D54" s="12">
        <f t="shared" si="32"/>
        <v>5.0191467244040666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153.89692208311925</v>
      </c>
      <c r="H54" s="70">
        <f t="shared" si="1"/>
        <v>328.05632637833708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</v>
      </c>
      <c r="N54" s="14">
        <f>IF('Données projet'!$A$36&gt;35,N53+M54-V53,IF(A54&lt;'Données projet'!$A$36,$K$205^A54,IF(A54='Données projet'!$A$36,'Données projet'!$B$36,N53+M54-V53)))</f>
        <v>98.999999999999943</v>
      </c>
      <c r="O54" s="14">
        <f>N54*VLOOKUP('Données projet'!$B$9,Paramètres!$A$1:$I$88,3,0)*VLOOKUP('Données projet'!$B$9,Paramètres!$A$1:$I$88,5,0)</f>
        <v>100.38599999999995</v>
      </c>
      <c r="P54" s="14">
        <f t="shared" si="33"/>
        <v>27.05393609634266</v>
      </c>
      <c r="Q54" s="22">
        <f t="shared" si="53"/>
        <v>221.95788870113006</v>
      </c>
      <c r="R54" s="62">
        <f t="shared" si="0"/>
        <v>515.29122203446332</v>
      </c>
      <c r="S54" s="62">
        <f ca="1">AVERAGE(OFFSET($R$3,0,0,'Données projet'!$E$9+1,1))-AVERAGE(OFFSET($H$3,0,0,'Données projet'!$E$9+1,1))</f>
        <v>167.90363814107491</v>
      </c>
      <c r="T54" s="62">
        <f t="shared" si="34"/>
        <v>174.92847878212234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0</v>
      </c>
      <c r="AB54" s="23">
        <f>EXP(-LN(2)/2)*AB53+(1-EXP(-LN(2)/2))/(LN(2)/2)*V54*Y54*VLOOKUP('Données projet'!$B$9,Paramètres!$A$1:$I$88,3,0)*0.475*44/12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2</v>
      </c>
      <c r="AI54" s="14">
        <f>IF('Données projet'!$A$62&gt;35,AI53+AH54-AQ53,IF(A54&lt;'Données projet'!$A$62,$AF$205^A54,IF(A54='Données projet'!$A$62,'Données projet'!$B$62,AI53+AH54-AQ53)))</f>
        <v>98.999999999999943</v>
      </c>
      <c r="AJ54" s="14">
        <f>AI54*VLOOKUP('Données projet'!$B$10,Paramètres!$A$1:$I$88,3,0)*VLOOKUP('Données projet'!$B$10,Paramètres!$A$1:$I$88,5,0)</f>
        <v>106.56359999999994</v>
      </c>
      <c r="AK54" s="14">
        <f t="shared" si="35"/>
        <v>28.519852461359374</v>
      </c>
      <c r="AL54" s="22">
        <f t="shared" si="4"/>
        <v>235.27034637020077</v>
      </c>
      <c r="AM54" s="62">
        <f t="shared" si="5"/>
        <v>528.60367970353411</v>
      </c>
      <c r="AN54" s="62">
        <f ca="1">AVERAGE(OFFSET($AM$3,0,0,'Données projet'!$E$10+1,1))-AVERAGE(OFFSET($H$3,0,0,'Données projet'!$E$10+1,1))</f>
        <v>179.61236179838011</v>
      </c>
      <c r="AO54" s="62">
        <f t="shared" si="36"/>
        <v>186.66130555850333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0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22.7</v>
      </c>
      <c r="BD54" s="13">
        <f>IF('Données projet'!$A$88&gt;35,BD53+BC54-BL53,IF(A54&lt;'Données projet'!$A$88,$BA$205^A54,IF(A54='Données projet'!$A$88,'Données projet'!$B$88,BD53+BC54-BL53)))</f>
        <v>311.69999999999976</v>
      </c>
      <c r="BE54" s="14">
        <f>BD54*VLOOKUP('Données projet'!$B$11,Paramètres!$A$1:$I$88,3,0)*VLOOKUP('Données projet'!$B$11,Paramètres!$A$1:$I$88,5,0)</f>
        <v>145.87559999999988</v>
      </c>
      <c r="BF54" s="14">
        <f t="shared" si="37"/>
        <v>37.639785440563593</v>
      </c>
      <c r="BG54" s="22">
        <f t="shared" si="7"/>
        <v>319.62262964231468</v>
      </c>
      <c r="BH54" s="62">
        <f t="shared" si="8"/>
        <v>612.95596297564794</v>
      </c>
      <c r="BI54" s="62">
        <f ca="1">AVERAGE(OFFSET($BH$3,0,0,'Données projet'!$E$11+1,1))-AVERAGE(OFFSET($H$3,0,0,'Données projet'!$E$11+1,1))</f>
        <v>335.00873408144395</v>
      </c>
      <c r="BJ54" s="62">
        <f t="shared" si="38"/>
        <v>106.28577694955948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0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8.7272727272727266</v>
      </c>
      <c r="BY54" s="13">
        <f>IF('Données projet'!$A$114&gt;35,BY53+BX54-CG53,IF(A54&lt;'Données projet'!$A$114,$BV$205^A54,IF(A54='Données projet'!$A$114,'Données projet'!$B$114,BY53+BX54-CG53)))</f>
        <v>137.45454545454541</v>
      </c>
      <c r="BZ54" s="14">
        <f>BY54*VLOOKUP('Données projet'!$B$12,Paramètres!$A$1:$I$88,3,0)*VLOOKUP('Données projet'!$B$12,Paramètres!$A$1:$I$88,5,0)</f>
        <v>82.197818181818164</v>
      </c>
      <c r="CA54" s="14">
        <f t="shared" si="39"/>
        <v>22.673711538153317</v>
      </c>
      <c r="CB54" s="22">
        <f t="shared" si="10"/>
        <v>182.65124759561698</v>
      </c>
      <c r="CC54" s="62">
        <f t="shared" si="11"/>
        <v>475.98458092895032</v>
      </c>
      <c r="CD54" s="62">
        <f ca="1">AVERAGE(OFFSET($CC$3,0,0,'Données projet'!$E$12+1,1))-AVERAGE(OFFSET($H$3,0,0,'Données projet'!$E$12+1,1))</f>
        <v>136.47709057888358</v>
      </c>
      <c r="CE54" s="62">
        <f t="shared" si="40"/>
        <v>99.705248792886493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0</v>
      </c>
      <c r="CL54" s="23">
        <f>EXP(-LN(2)/25)*CL53+(1-EXP(-LN(2)/25))/(LN(2)/25)*Calculateur!CG54*Calculateur!CI54*VLOOKUP('Données projet'!$B$12,Paramètres!$A$1:$I$88,3,0)*0.475*44/12</f>
        <v>0</v>
      </c>
      <c r="CM54" s="23">
        <f>EXP(-LN(2)/2)*CM53+(1-EXP(-LN(2)/2))/(LN(2)/2)*CG54*CJ54*VLOOKUP('Données projet'!$B$12,Paramètres!$A$1:$I$88,3,0)*0.475*44/12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9.4</v>
      </c>
      <c r="CT54" s="13">
        <f>IF('Données projet'!$A$140&gt;35,CT53+CS54-DB53,IF(A54&lt;'Données projet'!$A$140,$CQ$205^A54,IF(A54='Données projet'!$A$140,'Données projet'!$B$140,CT53+CS54-DB53)))</f>
        <v>176.40000000000006</v>
      </c>
      <c r="CU54" s="18">
        <f>CT54*VLOOKUP('Données projet'!$B$13,Paramètres!$A$1:$I$88,3,0)*VLOOKUP('Données projet'!$B$13,Paramètres!$A$1:$I$88,5,0)</f>
        <v>84.848400000000041</v>
      </c>
      <c r="CV54" s="14">
        <f t="shared" si="41"/>
        <v>23.318553158641894</v>
      </c>
      <c r="CW54" s="22">
        <f t="shared" si="13"/>
        <v>188.39077675130136</v>
      </c>
      <c r="CX54" s="62">
        <f t="shared" si="14"/>
        <v>481.72411008463467</v>
      </c>
      <c r="CY54" s="62">
        <f ca="1">AVERAGE(OFFSET($CX$3,0,0,'Données projet'!$E$13+1,1))-AVERAGE(OFFSET($H$3,0,0,'Données projet'!$E$13+1,1))</f>
        <v>205.01234521498333</v>
      </c>
      <c r="CZ54" s="62">
        <f t="shared" si="42"/>
        <v>100.26042113972852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projet'!$B$13,Paramètres!$A$1:$I$88,3,0)*0.475*44/12</f>
        <v>0</v>
      </c>
      <c r="DG54" s="23">
        <f>EXP(-LN(2)/25)*DG53+(1-EXP(-LN(2)/25))/(LN(2)/25)*Calculateur!DB54*Calculateur!DD54*VLOOKUP('Données projet'!$B$13,Paramètres!$A$1:$I$88,3,0)*0.475*44/12</f>
        <v>0</v>
      </c>
      <c r="DH54" s="23">
        <f>EXP(-LN(2)/2)*DH53+(1-EXP(-LN(2)/2))/(LN(2)/2)*DB54*DE54*VLOOKUP('Données projet'!$B$13,Paramètres!$A$1:$I$88,3,0)*0.475*44/12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15.210000000000017</v>
      </c>
      <c r="D55" s="12">
        <f t="shared" si="32"/>
        <v>5.1060073826785377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156.82532014699237</v>
      </c>
      <c r="H55" s="70">
        <f t="shared" si="1"/>
        <v>328.71704619149847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2</v>
      </c>
      <c r="N55" s="14">
        <f>IF('Données projet'!$A$36&gt;35,N54+M55-V54,IF(A55&lt;'Données projet'!$A$36,$K$205^A55,IF(A55='Données projet'!$A$36,'Données projet'!$B$36,N54+M55-V54)))</f>
        <v>100.99999999999994</v>
      </c>
      <c r="O55" s="14">
        <f>N55*VLOOKUP('Données projet'!$B$9,Paramètres!$A$1:$I$88,3,0)*VLOOKUP('Données projet'!$B$9,Paramètres!$A$1:$I$88,5,0)</f>
        <v>102.41399999999994</v>
      </c>
      <c r="P55" s="14">
        <f t="shared" si="33"/>
        <v>27.536298938471081</v>
      </c>
      <c r="Q55" s="22">
        <f t="shared" si="53"/>
        <v>226.33010398450369</v>
      </c>
      <c r="R55" s="62">
        <f t="shared" si="0"/>
        <v>519.66343731783695</v>
      </c>
      <c r="S55" s="62">
        <f ca="1">AVERAGE(OFFSET($R$3,0,0,'Données projet'!$E$9+1,1))-AVERAGE(OFFSET($H$3,0,0,'Données projet'!$E$9+1,1))</f>
        <v>167.90363814107491</v>
      </c>
      <c r="T55" s="62">
        <f t="shared" si="34"/>
        <v>174.92847878212234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0</v>
      </c>
      <c r="AB55" s="23">
        <f>EXP(-LN(2)/2)*AB54+(1-EXP(-LN(2)/2))/(LN(2)/2)*V55*Y55*VLOOKUP('Données projet'!$B$9,Paramètres!$A$1:$I$88,3,0)*0.475*44/12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2</v>
      </c>
      <c r="AI55" s="14">
        <f>IF('Données projet'!$A$62&gt;35,AI54+AH55-AQ54,IF(A55&lt;'Données projet'!$A$62,$AF$205^A55,IF(A55='Données projet'!$A$62,'Données projet'!$B$62,AI54+AH55-AQ54)))</f>
        <v>100.99999999999994</v>
      </c>
      <c r="AJ55" s="14">
        <f>AI55*VLOOKUP('Données projet'!$B$10,Paramètres!$A$1:$I$88,3,0)*VLOOKUP('Données projet'!$B$10,Paramètres!$A$1:$I$88,5,0)</f>
        <v>108.71639999999994</v>
      </c>
      <c r="AK55" s="14">
        <f t="shared" si="35"/>
        <v>29.028352113363987</v>
      </c>
      <c r="AL55" s="22">
        <f t="shared" si="4"/>
        <v>239.90544326410884</v>
      </c>
      <c r="AM55" s="62">
        <f t="shared" si="5"/>
        <v>533.23877659744221</v>
      </c>
      <c r="AN55" s="62">
        <f ca="1">AVERAGE(OFFSET($AM$3,0,0,'Données projet'!$E$10+1,1))-AVERAGE(OFFSET($H$3,0,0,'Données projet'!$E$10+1,1))</f>
        <v>179.61236179838011</v>
      </c>
      <c r="AO55" s="62">
        <f t="shared" si="36"/>
        <v>186.66130555850333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0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22.7</v>
      </c>
      <c r="BD55" s="13">
        <f>IF('Données projet'!$A$88&gt;35,BD54+BC55-BL54,IF(A55&lt;'Données projet'!$A$88,$BA$205^A55,IF(A55='Données projet'!$A$88,'Données projet'!$B$88,BD54+BC55-BL54)))</f>
        <v>334.39999999999975</v>
      </c>
      <c r="BE55" s="14">
        <f>BD55*VLOOKUP('Données projet'!$B$11,Paramètres!$A$1:$I$88,3,0)*VLOOKUP('Données projet'!$B$11,Paramètres!$A$1:$I$88,5,0)</f>
        <v>156.49919999999989</v>
      </c>
      <c r="BF55" s="14">
        <f t="shared" si="37"/>
        <v>40.051886402928353</v>
      </c>
      <c r="BG55" s="22">
        <f t="shared" si="7"/>
        <v>342.32647548509999</v>
      </c>
      <c r="BH55" s="62">
        <f t="shared" si="8"/>
        <v>635.65980881843325</v>
      </c>
      <c r="BI55" s="62">
        <f ca="1">AVERAGE(OFFSET($BH$3,0,0,'Données projet'!$E$11+1,1))-AVERAGE(OFFSET($H$3,0,0,'Données projet'!$E$11+1,1))</f>
        <v>335.00873408144395</v>
      </c>
      <c r="BJ55" s="62">
        <f t="shared" si="38"/>
        <v>106.28577694955948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0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8.7272727272727266</v>
      </c>
      <c r="BY55" s="13">
        <f>IF('Données projet'!$A$114&gt;35,BY54+BX55-CG54,IF(A55&lt;'Données projet'!$A$114,$BV$205^A55,IF(A55='Données projet'!$A$114,'Données projet'!$B$114,BY54+BX55-CG54)))</f>
        <v>146.18181818181813</v>
      </c>
      <c r="BZ55" s="14">
        <f>BY55*VLOOKUP('Données projet'!$B$12,Paramètres!$A$1:$I$88,3,0)*VLOOKUP('Données projet'!$B$12,Paramètres!$A$1:$I$88,5,0)</f>
        <v>87.416727272727243</v>
      </c>
      <c r="CA55" s="14">
        <f t="shared" si="39"/>
        <v>23.941149758006731</v>
      </c>
      <c r="CB55" s="22">
        <f t="shared" si="10"/>
        <v>193.94830249519498</v>
      </c>
      <c r="CC55" s="62">
        <f t="shared" si="11"/>
        <v>487.28163582852829</v>
      </c>
      <c r="CD55" s="62">
        <f ca="1">AVERAGE(OFFSET($CC$3,0,0,'Données projet'!$E$12+1,1))-AVERAGE(OFFSET($H$3,0,0,'Données projet'!$E$12+1,1))</f>
        <v>136.47709057888358</v>
      </c>
      <c r="CE55" s="62">
        <f t="shared" si="40"/>
        <v>99.705248792886493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0</v>
      </c>
      <c r="CL55" s="23">
        <f>EXP(-LN(2)/25)*CL54+(1-EXP(-LN(2)/25))/(LN(2)/25)*Calculateur!CG55*Calculateur!CI55*VLOOKUP('Données projet'!$B$12,Paramètres!$A$1:$I$88,3,0)*0.475*44/12</f>
        <v>0</v>
      </c>
      <c r="CM55" s="23">
        <f>EXP(-LN(2)/2)*CM54+(1-EXP(-LN(2)/2))/(LN(2)/2)*CG55*CJ55*VLOOKUP('Données projet'!$B$12,Paramètres!$A$1:$I$88,3,0)*0.475*44/12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9.4</v>
      </c>
      <c r="CT55" s="13">
        <f>IF('Données projet'!$A$140&gt;35,CT54+CS55-DB54,IF(A55&lt;'Données projet'!$A$140,$CQ$205^A55,IF(A55='Données projet'!$A$140,'Données projet'!$B$140,CT54+CS55-DB54)))</f>
        <v>185.80000000000007</v>
      </c>
      <c r="CU55" s="18">
        <f>CT55*VLOOKUP('Données projet'!$B$13,Paramètres!$A$1:$I$88,3,0)*VLOOKUP('Données projet'!$B$13,Paramètres!$A$1:$I$88,5,0)</f>
        <v>89.369800000000041</v>
      </c>
      <c r="CV55" s="14">
        <f t="shared" si="41"/>
        <v>24.413173827089459</v>
      </c>
      <c r="CW55" s="22">
        <f t="shared" si="13"/>
        <v>198.17201274884755</v>
      </c>
      <c r="CX55" s="62">
        <f t="shared" si="14"/>
        <v>491.50534608218084</v>
      </c>
      <c r="CY55" s="62">
        <f ca="1">AVERAGE(OFFSET($CX$3,0,0,'Données projet'!$E$13+1,1))-AVERAGE(OFFSET($H$3,0,0,'Données projet'!$E$13+1,1))</f>
        <v>205.01234521498333</v>
      </c>
      <c r="CZ55" s="62">
        <f t="shared" si="42"/>
        <v>100.26042113972852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projet'!$B$13,Paramètres!$A$1:$I$88,3,0)*0.475*44/12</f>
        <v>0</v>
      </c>
      <c r="DG55" s="23">
        <f>EXP(-LN(2)/25)*DG54+(1-EXP(-LN(2)/25))/(LN(2)/25)*Calculateur!DB55*Calculateur!DD55*VLOOKUP('Données projet'!$B$13,Paramètres!$A$1:$I$88,3,0)*0.475*44/12</f>
        <v>0</v>
      </c>
      <c r="DH55" s="23">
        <f>EXP(-LN(2)/2)*DH54+(1-EXP(-LN(2)/2))/(LN(2)/2)*DB55*DE55*VLOOKUP('Données projet'!$B$13,Paramètres!$A$1:$I$88,3,0)*0.475*44/12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15.502500000000017</v>
      </c>
      <c r="D56" s="12">
        <f t="shared" si="32"/>
        <v>5.1926738115093034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159.75221889586143</v>
      </c>
      <c r="H56" s="70">
        <f t="shared" si="1"/>
        <v>329.37742772171202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2</v>
      </c>
      <c r="N56" s="14">
        <f>IF('Données projet'!$A$36&gt;35,N55+M56-V55,IF(A56&lt;'Données projet'!$A$36,$K$205^A56,IF(A56='Données projet'!$A$36,'Données projet'!$B$36,N55+M56-V55)))</f>
        <v>102.99999999999994</v>
      </c>
      <c r="O56" s="14">
        <f>N56*VLOOKUP('Données projet'!$B$9,Paramètres!$A$1:$I$88,3,0)*VLOOKUP('Données projet'!$B$9,Paramètres!$A$1:$I$88,5,0)</f>
        <v>104.44199999999994</v>
      </c>
      <c r="P56" s="14">
        <f t="shared" si="33"/>
        <v>28.01755116176626</v>
      </c>
      <c r="Q56" s="22">
        <f t="shared" si="53"/>
        <v>230.70038494007611</v>
      </c>
      <c r="R56" s="62">
        <f t="shared" si="0"/>
        <v>524.03371827340948</v>
      </c>
      <c r="S56" s="62">
        <f ca="1">AVERAGE(OFFSET($R$3,0,0,'Données projet'!$E$9+1,1))-AVERAGE(OFFSET($H$3,0,0,'Données projet'!$E$9+1,1))</f>
        <v>167.90363814107491</v>
      </c>
      <c r="T56" s="62">
        <f t="shared" si="34"/>
        <v>174.92847878212234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0</v>
      </c>
      <c r="AB56" s="23">
        <f>EXP(-LN(2)/2)*AB55+(1-EXP(-LN(2)/2))/(LN(2)/2)*V56*Y56*VLOOKUP('Données projet'!$B$9,Paramètres!$A$1:$I$88,3,0)*0.475*44/12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2</v>
      </c>
      <c r="AI56" s="14">
        <f>IF('Données projet'!$A$62&gt;35,AI55+AH56-AQ55,IF(A56&lt;'Données projet'!$A$62,$AF$205^A56,IF(A56='Données projet'!$A$62,'Données projet'!$B$62,AI55+AH56-AQ55)))</f>
        <v>102.99999999999994</v>
      </c>
      <c r="AJ56" s="14">
        <f>AI56*VLOOKUP('Données projet'!$B$10,Paramètres!$A$1:$I$88,3,0)*VLOOKUP('Données projet'!$B$10,Paramètres!$A$1:$I$88,5,0)</f>
        <v>110.86919999999992</v>
      </c>
      <c r="AK56" s="14">
        <f t="shared" si="35"/>
        <v>29.535680967701595</v>
      </c>
      <c r="AL56" s="22">
        <f t="shared" si="4"/>
        <v>244.53850101874676</v>
      </c>
      <c r="AM56" s="62">
        <f t="shared" si="5"/>
        <v>537.8718343520801</v>
      </c>
      <c r="AN56" s="62">
        <f ca="1">AVERAGE(OFFSET($AM$3,0,0,'Données projet'!$E$10+1,1))-AVERAGE(OFFSET($H$3,0,0,'Données projet'!$E$10+1,1))</f>
        <v>179.61236179838011</v>
      </c>
      <c r="AO56" s="62">
        <f t="shared" si="36"/>
        <v>186.66130555850333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0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22.7</v>
      </c>
      <c r="BD56" s="13">
        <f>IF('Données projet'!$A$88&gt;35,BD55+BC56-BL55,IF(A56&lt;'Données projet'!$A$88,$BA$205^A56,IF(A56='Données projet'!$A$88,'Données projet'!$B$88,BD55+BC56-BL55)))</f>
        <v>357.09999999999974</v>
      </c>
      <c r="BE56" s="14">
        <f>BD56*VLOOKUP('Données projet'!$B$11,Paramètres!$A$1:$I$88,3,0)*VLOOKUP('Données projet'!$B$11,Paramètres!$A$1:$I$88,5,0)</f>
        <v>167.12279999999987</v>
      </c>
      <c r="BF56" s="14">
        <f t="shared" si="37"/>
        <v>42.444987720629342</v>
      </c>
      <c r="BG56" s="22">
        <f t="shared" si="7"/>
        <v>364.99723028009589</v>
      </c>
      <c r="BH56" s="62">
        <f t="shared" si="8"/>
        <v>658.33056361342915</v>
      </c>
      <c r="BI56" s="62">
        <f ca="1">AVERAGE(OFFSET($BH$3,0,0,'Données projet'!$E$11+1,1))-AVERAGE(OFFSET($H$3,0,0,'Données projet'!$E$11+1,1))</f>
        <v>335.00873408144395</v>
      </c>
      <c r="BJ56" s="62">
        <f t="shared" si="38"/>
        <v>106.28577694955948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0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8.7272727272727266</v>
      </c>
      <c r="BY56" s="13">
        <f>IF('Données projet'!$A$114&gt;35,BY55+BX56-CG55,IF(A56&lt;'Données projet'!$A$114,$BV$205^A56,IF(A56='Données projet'!$A$114,'Données projet'!$B$114,BY55+BX56-CG55)))</f>
        <v>154.90909090909085</v>
      </c>
      <c r="BZ56" s="14">
        <f>BY56*VLOOKUP('Données projet'!$B$12,Paramètres!$A$1:$I$88,3,0)*VLOOKUP('Données projet'!$B$12,Paramètres!$A$1:$I$88,5,0)</f>
        <v>92.635636363636337</v>
      </c>
      <c r="CA56" s="14">
        <f t="shared" si="39"/>
        <v>25.199805254378727</v>
      </c>
      <c r="CB56" s="22">
        <f t="shared" si="10"/>
        <v>205.23006081804292</v>
      </c>
      <c r="CC56" s="62">
        <f t="shared" si="11"/>
        <v>498.5633941513762</v>
      </c>
      <c r="CD56" s="62">
        <f ca="1">AVERAGE(OFFSET($CC$3,0,0,'Données projet'!$E$12+1,1))-AVERAGE(OFFSET($H$3,0,0,'Données projet'!$E$12+1,1))</f>
        <v>136.47709057888358</v>
      </c>
      <c r="CE56" s="62">
        <f t="shared" si="40"/>
        <v>99.705248792886493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0</v>
      </c>
      <c r="CL56" s="23">
        <f>EXP(-LN(2)/25)*CL55+(1-EXP(-LN(2)/25))/(LN(2)/25)*Calculateur!CG56*Calculateur!CI56*VLOOKUP('Données projet'!$B$12,Paramètres!$A$1:$I$88,3,0)*0.475*44/12</f>
        <v>0</v>
      </c>
      <c r="CM56" s="23">
        <f>EXP(-LN(2)/2)*CM55+(1-EXP(-LN(2)/2))/(LN(2)/2)*CG56*CJ56*VLOOKUP('Données projet'!$B$12,Paramètres!$A$1:$I$88,3,0)*0.475*44/12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9.4</v>
      </c>
      <c r="CT56" s="13">
        <f>IF('Données projet'!$A$140&gt;35,CT55+CS56-DB55,IF(A56&lt;'Données projet'!$A$140,$CQ$205^A56,IF(A56='Données projet'!$A$140,'Données projet'!$B$140,CT55+CS56-DB55)))</f>
        <v>195.20000000000007</v>
      </c>
      <c r="CU56" s="18">
        <f>CT56*VLOOKUP('Données projet'!$B$13,Paramètres!$A$1:$I$88,3,0)*VLOOKUP('Données projet'!$B$13,Paramètres!$A$1:$I$88,5,0)</f>
        <v>93.89120000000004</v>
      </c>
      <c r="CV56" s="14">
        <f t="shared" si="41"/>
        <v>25.501364417068771</v>
      </c>
      <c r="CW56" s="22">
        <f t="shared" si="13"/>
        <v>207.94204969306148</v>
      </c>
      <c r="CX56" s="62">
        <f t="shared" si="14"/>
        <v>501.27538302639482</v>
      </c>
      <c r="CY56" s="62">
        <f ca="1">AVERAGE(OFFSET($CX$3,0,0,'Données projet'!$E$13+1,1))-AVERAGE(OFFSET($H$3,0,0,'Données projet'!$E$13+1,1))</f>
        <v>205.01234521498333</v>
      </c>
      <c r="CZ56" s="62">
        <f t="shared" si="42"/>
        <v>100.26042113972852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projet'!$B$13,Paramètres!$A$1:$I$88,3,0)*0.475*44/12</f>
        <v>0</v>
      </c>
      <c r="DG56" s="23">
        <f>EXP(-LN(2)/25)*DG55+(1-EXP(-LN(2)/25))/(LN(2)/25)*Calculateur!DB56*Calculateur!DD56*VLOOKUP('Données projet'!$B$13,Paramètres!$A$1:$I$88,3,0)*0.475*44/12</f>
        <v>0</v>
      </c>
      <c r="DH56" s="23">
        <f>EXP(-LN(2)/2)*DH55+(1-EXP(-LN(2)/2))/(LN(2)/2)*DB56*DE56*VLOOKUP('Données projet'!$B$13,Paramètres!$A$1:$I$88,3,0)*0.475*44/12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15.795000000000018</v>
      </c>
      <c r="D57" s="12">
        <f t="shared" si="32"/>
        <v>5.2791500981744779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162.67764988064525</v>
      </c>
      <c r="H57" s="70">
        <f t="shared" si="1"/>
        <v>330.03747808765388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2</v>
      </c>
      <c r="N57" s="14">
        <f>IF('Données projet'!$A$36&gt;35,N56+M57-V56,IF(A57&lt;'Données projet'!$A$36,$K$205^A57,IF(A57='Données projet'!$A$36,'Données projet'!$B$36,N56+M57-V56)))</f>
        <v>104.99999999999994</v>
      </c>
      <c r="O57" s="14">
        <f>N57*VLOOKUP('Données projet'!$B$9,Paramètres!$A$1:$I$88,3,0)*VLOOKUP('Données projet'!$B$9,Paramètres!$A$1:$I$88,5,0)</f>
        <v>106.46999999999996</v>
      </c>
      <c r="P57" s="14">
        <f t="shared" si="33"/>
        <v>28.497716817718885</v>
      </c>
      <c r="Q57" s="22">
        <f t="shared" si="53"/>
        <v>235.06877345752696</v>
      </c>
      <c r="R57" s="62">
        <f t="shared" si="0"/>
        <v>528.40210679086022</v>
      </c>
      <c r="S57" s="62">
        <f ca="1">AVERAGE(OFFSET($R$3,0,0,'Données projet'!$E$9+1,1))-AVERAGE(OFFSET($H$3,0,0,'Données projet'!$E$9+1,1))</f>
        <v>167.90363814107491</v>
      </c>
      <c r="T57" s="62">
        <f t="shared" si="34"/>
        <v>174.92847878212234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0</v>
      </c>
      <c r="AB57" s="23">
        <f>EXP(-LN(2)/2)*AB56+(1-EXP(-LN(2)/2))/(LN(2)/2)*V57*Y57*VLOOKUP('Données projet'!$B$9,Paramètres!$A$1:$I$88,3,0)*0.475*44/12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2</v>
      </c>
      <c r="AI57" s="14">
        <f>IF('Données projet'!$A$62&gt;35,AI56+AH57-AQ56,IF(A57&lt;'Données projet'!$A$62,$AF$205^A57,IF(A57='Données projet'!$A$62,'Données projet'!$B$62,AI56+AH57-AQ56)))</f>
        <v>104.99999999999994</v>
      </c>
      <c r="AJ57" s="14">
        <f>AI57*VLOOKUP('Données projet'!$B$10,Paramètres!$A$1:$I$88,3,0)*VLOOKUP('Données projet'!$B$10,Paramètres!$A$1:$I$88,5,0)</f>
        <v>113.02199999999995</v>
      </c>
      <c r="AK57" s="14">
        <f t="shared" si="35"/>
        <v>30.041864379091827</v>
      </c>
      <c r="AL57" s="22">
        <f t="shared" si="4"/>
        <v>249.16956379358484</v>
      </c>
      <c r="AM57" s="62">
        <f t="shared" si="5"/>
        <v>542.50289712691813</v>
      </c>
      <c r="AN57" s="62">
        <f ca="1">AVERAGE(OFFSET($AM$3,0,0,'Données projet'!$E$10+1,1))-AVERAGE(OFFSET($H$3,0,0,'Données projet'!$E$10+1,1))</f>
        <v>179.61236179838011</v>
      </c>
      <c r="AO57" s="62">
        <f t="shared" si="36"/>
        <v>186.66130555850333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0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22.7</v>
      </c>
      <c r="BD57" s="13">
        <f>IF('Données projet'!$A$88&gt;35,BD56+BC57-BL56,IF(A57&lt;'Données projet'!$A$88,$BA$205^A57,IF(A57='Données projet'!$A$88,'Données projet'!$B$88,BD56+BC57-BL56)))</f>
        <v>379.79999999999973</v>
      </c>
      <c r="BE57" s="14">
        <f>BD57*VLOOKUP('Données projet'!$B$11,Paramètres!$A$1:$I$88,3,0)*VLOOKUP('Données projet'!$B$11,Paramètres!$A$1:$I$88,5,0)</f>
        <v>177.74639999999988</v>
      </c>
      <c r="BF57" s="14">
        <f t="shared" si="37"/>
        <v>44.820434632332443</v>
      </c>
      <c r="BG57" s="22">
        <f t="shared" si="7"/>
        <v>387.63723698464543</v>
      </c>
      <c r="BH57" s="62">
        <f t="shared" si="8"/>
        <v>680.97057031797874</v>
      </c>
      <c r="BI57" s="62">
        <f ca="1">AVERAGE(OFFSET($BH$3,0,0,'Données projet'!$E$11+1,1))-AVERAGE(OFFSET($H$3,0,0,'Données projet'!$E$11+1,1))</f>
        <v>335.00873408144395</v>
      </c>
      <c r="BJ57" s="62">
        <f t="shared" si="38"/>
        <v>106.28577694955948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0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8.7272727272727266</v>
      </c>
      <c r="BY57" s="13">
        <f>IF('Données projet'!$A$114&gt;35,BY56+BX57-CG56,IF(A57&lt;'Données projet'!$A$114,$BV$205^A57,IF(A57='Données projet'!$A$114,'Données projet'!$B$114,BY56+BX57-CG56)))</f>
        <v>163.63636363636357</v>
      </c>
      <c r="BZ57" s="14">
        <f>BY57*VLOOKUP('Données projet'!$B$12,Paramètres!$A$1:$I$88,3,0)*VLOOKUP('Données projet'!$B$12,Paramètres!$A$1:$I$88,5,0)</f>
        <v>97.854545454545431</v>
      </c>
      <c r="CA57" s="14">
        <f t="shared" si="39"/>
        <v>26.450229215353271</v>
      </c>
      <c r="CB57" s="22">
        <f t="shared" si="10"/>
        <v>216.49748255007356</v>
      </c>
      <c r="CC57" s="62">
        <f t="shared" si="11"/>
        <v>509.8308158834069</v>
      </c>
      <c r="CD57" s="62">
        <f ca="1">AVERAGE(OFFSET($CC$3,0,0,'Données projet'!$E$12+1,1))-AVERAGE(OFFSET($H$3,0,0,'Données projet'!$E$12+1,1))</f>
        <v>136.47709057888358</v>
      </c>
      <c r="CE57" s="62">
        <f t="shared" si="40"/>
        <v>99.705248792886493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0</v>
      </c>
      <c r="CL57" s="23">
        <f>EXP(-LN(2)/25)*CL56+(1-EXP(-LN(2)/25))/(LN(2)/25)*Calculateur!CG57*Calculateur!CI57*VLOOKUP('Données projet'!$B$12,Paramètres!$A$1:$I$88,3,0)*0.475*44/12</f>
        <v>0</v>
      </c>
      <c r="CM57" s="23">
        <f>EXP(-LN(2)/2)*CM56+(1-EXP(-LN(2)/2))/(LN(2)/2)*CG57*CJ57*VLOOKUP('Données projet'!$B$12,Paramètres!$A$1:$I$88,3,0)*0.475*44/12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9.4</v>
      </c>
      <c r="CT57" s="13">
        <f>IF('Données projet'!$A$140&gt;35,CT56+CS57-DB56,IF(A57&lt;'Données projet'!$A$140,$CQ$205^A57,IF(A57='Données projet'!$A$140,'Données projet'!$B$140,CT56+CS57-DB56)))</f>
        <v>204.60000000000008</v>
      </c>
      <c r="CU57" s="18">
        <f>CT57*VLOOKUP('Données projet'!$B$13,Paramètres!$A$1:$I$88,3,0)*VLOOKUP('Données projet'!$B$13,Paramètres!$A$1:$I$88,5,0)</f>
        <v>98.41260000000004</v>
      </c>
      <c r="CV57" s="14">
        <f t="shared" si="41"/>
        <v>26.583469922255617</v>
      </c>
      <c r="CW57" s="22">
        <f t="shared" si="13"/>
        <v>217.7014884479286</v>
      </c>
      <c r="CX57" s="62">
        <f t="shared" si="14"/>
        <v>511.03482178126194</v>
      </c>
      <c r="CY57" s="62">
        <f ca="1">AVERAGE(OFFSET($CX$3,0,0,'Données projet'!$E$13+1,1))-AVERAGE(OFFSET($H$3,0,0,'Données projet'!$E$13+1,1))</f>
        <v>205.01234521498333</v>
      </c>
      <c r="CZ57" s="62">
        <f t="shared" si="42"/>
        <v>100.26042113972852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projet'!$B$13,Paramètres!$A$1:$I$88,3,0)*0.475*44/12</f>
        <v>0</v>
      </c>
      <c r="DG57" s="23">
        <f>EXP(-LN(2)/25)*DG56+(1-EXP(-LN(2)/25))/(LN(2)/25)*Calculateur!DB57*Calculateur!DD57*VLOOKUP('Données projet'!$B$13,Paramètres!$A$1:$I$88,3,0)*0.475*44/12</f>
        <v>0</v>
      </c>
      <c r="DH57" s="23">
        <f>EXP(-LN(2)/2)*DH56+(1-EXP(-LN(2)/2))/(LN(2)/2)*DB57*DE57*VLOOKUP('Données projet'!$B$13,Paramètres!$A$1:$I$88,3,0)*0.475*44/12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16.087500000000016</v>
      </c>
      <c r="D58" s="12">
        <f t="shared" si="32"/>
        <v>5.3654401699062699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165.60164341682045</v>
      </c>
      <c r="H58" s="70">
        <f t="shared" si="1"/>
        <v>330.69720412925341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107</v>
      </c>
      <c r="L58" s="13">
        <f>VLOOKUP(A58,'Données projet'!$A$35:$I$55,9,0)</f>
        <v>2</v>
      </c>
      <c r="M58" s="13">
        <f t="array" ref="M58">INDEX(L:L,MIN(IF(ISNUMBER(L58:L254),ROW(L58:L254),"")))</f>
        <v>2</v>
      </c>
      <c r="N58" s="14">
        <f>IF('Données projet'!$A$36&gt;35,N57+M58-V57,IF(A58&lt;'Données projet'!$A$36,$K$205^A58,IF(A58='Données projet'!$A$36,'Données projet'!$B$36,N57+M58-V57)))</f>
        <v>106.99999999999994</v>
      </c>
      <c r="O58" s="14">
        <f>N58*VLOOKUP('Données projet'!$B$9,Paramètres!$A$1:$I$88,3,0)*VLOOKUP('Données projet'!$B$9,Paramètres!$A$1:$I$88,5,0)</f>
        <v>108.49799999999996</v>
      </c>
      <c r="P58" s="14">
        <f t="shared" si="33"/>
        <v>28.976818989145258</v>
      </c>
      <c r="Q58" s="22">
        <f t="shared" si="53"/>
        <v>239.43530973942788</v>
      </c>
      <c r="R58" s="62">
        <f t="shared" si="0"/>
        <v>532.76864307276117</v>
      </c>
      <c r="S58" s="62">
        <f ca="1">AVERAGE(OFFSET($R$3,0,0,'Données projet'!$E$9+1,1))-AVERAGE(OFFSET($H$3,0,0,'Données projet'!$E$9+1,1))</f>
        <v>167.90363814107491</v>
      </c>
      <c r="T58" s="62">
        <f t="shared" si="34"/>
        <v>174.92847878212234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0</v>
      </c>
      <c r="AB58" s="23">
        <f>EXP(-LN(2)/2)*AB57+(1-EXP(-LN(2)/2))/(LN(2)/2)*V58*Y58*VLOOKUP('Données projet'!$B$9,Paramètres!$A$1:$I$88,3,0)*0.475*44/12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107</v>
      </c>
      <c r="AG58" s="13">
        <f>VLOOKUP(A58,'Données projet'!$A$61:$I$81,9,0)</f>
        <v>2</v>
      </c>
      <c r="AH58" s="13">
        <f t="array" ref="AH58">INDEX(AG:AG,MIN(IF(ISNUMBER(AG58:AG254),ROW(AG58:AG254),"")))</f>
        <v>2</v>
      </c>
      <c r="AI58" s="14">
        <f>IF('Données projet'!$A$62&gt;35,AI57+AH58-AQ57,IF(A58&lt;'Données projet'!$A$62,$AF$205^A58,IF(A58='Données projet'!$A$62,'Données projet'!$B$62,AI57+AH58-AQ57)))</f>
        <v>106.99999999999994</v>
      </c>
      <c r="AJ58" s="14">
        <f>AI58*VLOOKUP('Données projet'!$B$10,Paramètres!$A$1:$I$88,3,0)*VLOOKUP('Données projet'!$B$10,Paramètres!$A$1:$I$88,5,0)</f>
        <v>115.17479999999993</v>
      </c>
      <c r="AK58" s="14">
        <f t="shared" si="35"/>
        <v>30.546926681092469</v>
      </c>
      <c r="AL58" s="22">
        <f t="shared" si="4"/>
        <v>253.79867396956925</v>
      </c>
      <c r="AM58" s="62">
        <f t="shared" si="5"/>
        <v>547.13200730290259</v>
      </c>
      <c r="AN58" s="62">
        <f ca="1">AVERAGE(OFFSET($AM$3,0,0,'Données projet'!$E$10+1,1))-AVERAGE(OFFSET($H$3,0,0,'Données projet'!$E$10+1,1))</f>
        <v>179.61236179838011</v>
      </c>
      <c r="AO58" s="62">
        <f t="shared" si="36"/>
        <v>186.66130555850333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0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22.7</v>
      </c>
      <c r="BD58" s="13">
        <f>IF('Données projet'!$A$88&gt;35,BD57+BC58-BL57,IF(A58&lt;'Données projet'!$A$88,$BA$205^A58,IF(A58='Données projet'!$A$88,'Données projet'!$B$88,BD57+BC58-BL57)))</f>
        <v>402.49999999999972</v>
      </c>
      <c r="BE58" s="14">
        <f>BD58*VLOOKUP('Données projet'!$B$11,Paramètres!$A$1:$I$88,3,0)*VLOOKUP('Données projet'!$B$11,Paramètres!$A$1:$I$88,5,0)</f>
        <v>188.36999999999986</v>
      </c>
      <c r="BF58" s="14">
        <f t="shared" si="37"/>
        <v>47.179402486491256</v>
      </c>
      <c r="BG58" s="22">
        <f t="shared" si="7"/>
        <v>410.24854266397205</v>
      </c>
      <c r="BH58" s="62">
        <f t="shared" si="8"/>
        <v>703.58187599730536</v>
      </c>
      <c r="BI58" s="62">
        <f ca="1">AVERAGE(OFFSET($BH$3,0,0,'Données projet'!$E$11+1,1))-AVERAGE(OFFSET($H$3,0,0,'Données projet'!$E$11+1,1))</f>
        <v>335.00873408144395</v>
      </c>
      <c r="BJ58" s="62">
        <f t="shared" si="38"/>
        <v>106.28577694955948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0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8.7272727272727266</v>
      </c>
      <c r="BY58" s="13">
        <f>IF('Données projet'!$A$114&gt;35,BY57+BX58-CG57,IF(A58&lt;'Données projet'!$A$114,$BV$205^A58,IF(A58='Données projet'!$A$114,'Données projet'!$B$114,BY57+BX58-CG57)))</f>
        <v>172.36363636363629</v>
      </c>
      <c r="BZ58" s="14">
        <f>BY58*VLOOKUP('Données projet'!$B$12,Paramètres!$A$1:$I$88,3,0)*VLOOKUP('Données projet'!$B$12,Paramètres!$A$1:$I$88,5,0)</f>
        <v>103.07345454545451</v>
      </c>
      <c r="CA58" s="14">
        <f t="shared" si="39"/>
        <v>27.692910715051308</v>
      </c>
      <c r="CB58" s="22">
        <f t="shared" si="10"/>
        <v>227.75141949538093</v>
      </c>
      <c r="CC58" s="62">
        <f t="shared" si="11"/>
        <v>521.08475282871427</v>
      </c>
      <c r="CD58" s="62">
        <f ca="1">AVERAGE(OFFSET($CC$3,0,0,'Données projet'!$E$12+1,1))-AVERAGE(OFFSET($H$3,0,0,'Données projet'!$E$12+1,1))</f>
        <v>136.47709057888358</v>
      </c>
      <c r="CE58" s="62">
        <f t="shared" si="40"/>
        <v>99.705248792886493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0</v>
      </c>
      <c r="CL58" s="23">
        <f>EXP(-LN(2)/25)*CL57+(1-EXP(-LN(2)/25))/(LN(2)/25)*Calculateur!CG58*Calculateur!CI58*VLOOKUP('Données projet'!$B$12,Paramètres!$A$1:$I$88,3,0)*0.475*44/12</f>
        <v>0</v>
      </c>
      <c r="CM58" s="23">
        <f>EXP(-LN(2)/2)*CM57+(1-EXP(-LN(2)/2))/(LN(2)/2)*CG58*CJ58*VLOOKUP('Données projet'!$B$12,Paramètres!$A$1:$I$88,3,0)*0.475*44/12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9.4</v>
      </c>
      <c r="CT58" s="13">
        <f>IF('Données projet'!$A$140&gt;35,CT57+CS58-DB57,IF(A58&lt;'Données projet'!$A$140,$CQ$205^A58,IF(A58='Données projet'!$A$140,'Données projet'!$B$140,CT57+CS58-DB57)))</f>
        <v>214.00000000000009</v>
      </c>
      <c r="CU58" s="18">
        <f>CT58*VLOOKUP('Données projet'!$B$13,Paramètres!$A$1:$I$88,3,0)*VLOOKUP('Données projet'!$B$13,Paramètres!$A$1:$I$88,5,0)</f>
        <v>102.93400000000005</v>
      </c>
      <c r="CV58" s="14">
        <f t="shared" si="41"/>
        <v>27.659801844290865</v>
      </c>
      <c r="CW58" s="22">
        <f t="shared" si="13"/>
        <v>227.45087154547332</v>
      </c>
      <c r="CX58" s="62">
        <f t="shared" si="14"/>
        <v>520.78420487880658</v>
      </c>
      <c r="CY58" s="62">
        <f ca="1">AVERAGE(OFFSET($CX$3,0,0,'Données projet'!$E$13+1,1))-AVERAGE(OFFSET($H$3,0,0,'Données projet'!$E$13+1,1))</f>
        <v>205.01234521498333</v>
      </c>
      <c r="CZ58" s="62">
        <f t="shared" si="42"/>
        <v>100.26042113972852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projet'!$B$13,Paramètres!$A$1:$I$88,3,0)*0.475*44/12</f>
        <v>0</v>
      </c>
      <c r="DG58" s="23">
        <f>EXP(-LN(2)/25)*DG57+(1-EXP(-LN(2)/25))/(LN(2)/25)*Calculateur!DB58*Calculateur!DD58*VLOOKUP('Données projet'!$B$13,Paramètres!$A$1:$I$88,3,0)*0.475*44/12</f>
        <v>0</v>
      </c>
      <c r="DH58" s="23">
        <f>EXP(-LN(2)/2)*DH57+(1-EXP(-LN(2)/2))/(LN(2)/2)*DB58*DE58*VLOOKUP('Données projet'!$B$13,Paramètres!$A$1:$I$88,3,0)*0.475*44/12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16.380000000000017</v>
      </c>
      <c r="D59" s="12">
        <f t="shared" si="32"/>
        <v>5.4515478029518878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168.5242286543656</v>
      </c>
      <c r="H59" s="70">
        <f t="shared" si="1"/>
        <v>331.35661242347453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1.8</v>
      </c>
      <c r="N59" s="14">
        <f>IF('Données projet'!$A$36&gt;35,N58+M59-V58,IF(A59&lt;'Données projet'!$A$36,$K$205^A59,IF(A59='Données projet'!$A$36,'Données projet'!$B$36,N58+M59-V58)))</f>
        <v>108.79999999999994</v>
      </c>
      <c r="O59" s="14">
        <f>N59*VLOOKUP('Données projet'!$B$9,Paramètres!$A$1:$I$88,3,0)*VLOOKUP('Données projet'!$B$9,Paramètres!$A$1:$I$88,5,0)</f>
        <v>110.32319999999996</v>
      </c>
      <c r="P59" s="14">
        <f t="shared" si="33"/>
        <v>29.407120006092001</v>
      </c>
      <c r="Q59" s="22">
        <f t="shared" si="53"/>
        <v>243.36364067727683</v>
      </c>
      <c r="R59" s="62">
        <f t="shared" si="0"/>
        <v>536.69697401061012</v>
      </c>
      <c r="S59" s="62">
        <f ca="1">AVERAGE(OFFSET($R$3,0,0,'Données projet'!$E$9+1,1))-AVERAGE(OFFSET($H$3,0,0,'Données projet'!$E$9+1,1))</f>
        <v>167.90363814107491</v>
      </c>
      <c r="T59" s="62">
        <f t="shared" si="34"/>
        <v>174.92847878212234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0</v>
      </c>
      <c r="AB59" s="23">
        <f>EXP(-LN(2)/2)*AB58+(1-EXP(-LN(2)/2))/(LN(2)/2)*V59*Y59*VLOOKUP('Données projet'!$B$9,Paramètres!$A$1:$I$88,3,0)*0.475*44/12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1.8</v>
      </c>
      <c r="AI59" s="14">
        <f>IF('Données projet'!$A$62&gt;35,AI58+AH59-AQ58,IF(A59&lt;'Données projet'!$A$62,$AF$205^A59,IF(A59='Données projet'!$A$62,'Données projet'!$B$62,AI58+AH59-AQ58)))</f>
        <v>108.79999999999994</v>
      </c>
      <c r="AJ59" s="14">
        <f>AI59*VLOOKUP('Données projet'!$B$10,Paramètres!$A$1:$I$88,3,0)*VLOOKUP('Données projet'!$B$10,Paramètres!$A$1:$I$88,5,0)</f>
        <v>117.11231999999994</v>
      </c>
      <c r="AK59" s="14">
        <f t="shared" si="35"/>
        <v>31.000543540154752</v>
      </c>
      <c r="AL59" s="22">
        <f t="shared" si="4"/>
        <v>257.96323733243611</v>
      </c>
      <c r="AM59" s="62">
        <f t="shared" si="5"/>
        <v>551.29657066576942</v>
      </c>
      <c r="AN59" s="62">
        <f ca="1">AVERAGE(OFFSET($AM$3,0,0,'Données projet'!$E$10+1,1))-AVERAGE(OFFSET($H$3,0,0,'Données projet'!$E$10+1,1))</f>
        <v>179.61236179838011</v>
      </c>
      <c r="AO59" s="62">
        <f t="shared" si="36"/>
        <v>186.66130555850333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0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22.7</v>
      </c>
      <c r="BD59" s="13">
        <f>IF('Données projet'!$A$88&gt;35,BD58+BC59-BL58,IF(A59&lt;'Données projet'!$A$88,$BA$205^A59,IF(A59='Données projet'!$A$88,'Données projet'!$B$88,BD58+BC59-BL58)))</f>
        <v>425.1999999999997</v>
      </c>
      <c r="BE59" s="14">
        <f>BD59*VLOOKUP('Données projet'!$B$11,Paramètres!$A$1:$I$88,3,0)*VLOOKUP('Données projet'!$B$11,Paramètres!$A$1:$I$88,5,0)</f>
        <v>198.99359999999987</v>
      </c>
      <c r="BF59" s="14">
        <f t="shared" si="37"/>
        <v>49.522926570252494</v>
      </c>
      <c r="BG59" s="22">
        <f t="shared" si="7"/>
        <v>432.83295044318953</v>
      </c>
      <c r="BH59" s="62">
        <f t="shared" si="8"/>
        <v>726.16628377652285</v>
      </c>
      <c r="BI59" s="62">
        <f ca="1">AVERAGE(OFFSET($BH$3,0,0,'Données projet'!$E$11+1,1))-AVERAGE(OFFSET($H$3,0,0,'Données projet'!$E$11+1,1))</f>
        <v>335.00873408144395</v>
      </c>
      <c r="BJ59" s="62">
        <f t="shared" si="38"/>
        <v>106.28577694955948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0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8.7272727272727266</v>
      </c>
      <c r="BY59" s="13">
        <f>IF('Données projet'!$A$114&gt;35,BY58+BX59-CG58,IF(A59&lt;'Données projet'!$A$114,$BV$205^A59,IF(A59='Données projet'!$A$114,'Données projet'!$B$114,BY58+BX59-CG58)))</f>
        <v>181.09090909090901</v>
      </c>
      <c r="BZ59" s="14">
        <f>BY59*VLOOKUP('Données projet'!$B$12,Paramètres!$A$1:$I$88,3,0)*VLOOKUP('Données projet'!$B$12,Paramètres!$A$1:$I$88,5,0)</f>
        <v>108.2923636363636</v>
      </c>
      <c r="CA59" s="14">
        <f t="shared" si="39"/>
        <v>28.928286503528717</v>
      </c>
      <c r="CB59" s="22">
        <f t="shared" si="10"/>
        <v>238.99263232697908</v>
      </c>
      <c r="CC59" s="62">
        <f t="shared" si="11"/>
        <v>532.32596566031236</v>
      </c>
      <c r="CD59" s="62">
        <f ca="1">AVERAGE(OFFSET($CC$3,0,0,'Données projet'!$E$12+1,1))-AVERAGE(OFFSET($H$3,0,0,'Données projet'!$E$12+1,1))</f>
        <v>136.47709057888358</v>
      </c>
      <c r="CE59" s="62">
        <f t="shared" si="40"/>
        <v>99.705248792886493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0</v>
      </c>
      <c r="CL59" s="23">
        <f>EXP(-LN(2)/25)*CL58+(1-EXP(-LN(2)/25))/(LN(2)/25)*Calculateur!CG59*Calculateur!CI59*VLOOKUP('Données projet'!$B$12,Paramètres!$A$1:$I$88,3,0)*0.475*44/12</f>
        <v>0</v>
      </c>
      <c r="CM59" s="23">
        <f>EXP(-LN(2)/2)*CM58+(1-EXP(-LN(2)/2))/(LN(2)/2)*CG59*CJ59*VLOOKUP('Données projet'!$B$12,Paramètres!$A$1:$I$88,3,0)*0.475*44/12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IF('Données projet'!$A$140&gt;35,CT58+CS59-DB58,IF(A59&lt;'Données projet'!$A$140,$CQ$205^A59,IF(A59='Données projet'!$A$140,'Données projet'!$B$140,CT58+CS59-DB58)))</f>
        <v>223.40000000000009</v>
      </c>
      <c r="CU59" s="18">
        <f>CT59*VLOOKUP('Données projet'!$B$13,Paramètres!$A$1:$I$88,3,0)*VLOOKUP('Données projet'!$B$13,Paramètres!$A$1:$I$88,5,0)</f>
        <v>107.45540000000004</v>
      </c>
      <c r="CV59" s="14">
        <f t="shared" si="41"/>
        <v>28.730642771885091</v>
      </c>
      <c r="CW59" s="22">
        <f t="shared" si="13"/>
        <v>237.19069116103324</v>
      </c>
      <c r="CX59" s="62">
        <f t="shared" si="14"/>
        <v>530.52402449436659</v>
      </c>
      <c r="CY59" s="62">
        <f ca="1">AVERAGE(OFFSET($CX$3,0,0,'Données projet'!$E$13+1,1))-AVERAGE(OFFSET($H$3,0,0,'Données projet'!$E$13+1,1))</f>
        <v>205.01234521498333</v>
      </c>
      <c r="CZ59" s="62">
        <f t="shared" si="42"/>
        <v>100.26042113972852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projet'!$B$13,Paramètres!$A$1:$I$88,3,0)*0.475*44/12</f>
        <v>0</v>
      </c>
      <c r="DG59" s="23">
        <f>EXP(-LN(2)/25)*DG58+(1-EXP(-LN(2)/25))/(LN(2)/25)*Calculateur!DB59*Calculateur!DD59*VLOOKUP('Données projet'!$B$13,Paramètres!$A$1:$I$88,3,0)*0.475*44/12</f>
        <v>0</v>
      </c>
      <c r="DH59" s="23">
        <f>EXP(-LN(2)/2)*DH58+(1-EXP(-LN(2)/2))/(LN(2)/2)*DB59*DE59*VLOOKUP('Données projet'!$B$13,Paramètres!$A$1:$I$88,3,0)*0.475*44/12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16.672500000000017</v>
      </c>
      <c r="D60" s="12">
        <f t="shared" si="32"/>
        <v>5.5374766309689072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171.44543364256711</v>
      </c>
      <c r="H60" s="70">
        <f t="shared" si="1"/>
        <v>332.01570929893751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1.8</v>
      </c>
      <c r="N60" s="14">
        <f>IF('Données projet'!$A$36&gt;35,N59+M60-V59,IF(A60&lt;'Données projet'!$A$36,$K$205^A60,IF(A60='Données projet'!$A$36,'Données projet'!$B$36,N59+M60-V59)))</f>
        <v>110.59999999999994</v>
      </c>
      <c r="O60" s="14">
        <f>N60*VLOOKUP('Données projet'!$B$9,Paramètres!$A$1:$I$88,3,0)*VLOOKUP('Données projet'!$B$9,Paramètres!$A$1:$I$88,5,0)</f>
        <v>112.14839999999994</v>
      </c>
      <c r="P60" s="14">
        <f t="shared" si="33"/>
        <v>29.836593134618877</v>
      </c>
      <c r="Q60" s="22">
        <f t="shared" si="53"/>
        <v>247.29052970946111</v>
      </c>
      <c r="R60" s="62">
        <f t="shared" si="0"/>
        <v>540.62386304279448</v>
      </c>
      <c r="S60" s="62">
        <f ca="1">AVERAGE(OFFSET($R$3,0,0,'Données projet'!$E$9+1,1))-AVERAGE(OFFSET($H$3,0,0,'Données projet'!$E$9+1,1))</f>
        <v>167.90363814107491</v>
      </c>
      <c r="T60" s="62">
        <f t="shared" si="34"/>
        <v>174.92847878212234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0</v>
      </c>
      <c r="AB60" s="23">
        <f>EXP(-LN(2)/2)*AB59+(1-EXP(-LN(2)/2))/(LN(2)/2)*V60*Y60*VLOOKUP('Données projet'!$B$9,Paramètres!$A$1:$I$88,3,0)*0.475*44/12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1.8</v>
      </c>
      <c r="AI60" s="14">
        <f>IF('Données projet'!$A$62&gt;35,AI59+AH60-AQ59,IF(A60&lt;'Données projet'!$A$62,$AF$205^A60,IF(A60='Données projet'!$A$62,'Données projet'!$B$62,AI59+AH60-AQ59)))</f>
        <v>110.59999999999994</v>
      </c>
      <c r="AJ60" s="14">
        <f>AI60*VLOOKUP('Données projet'!$B$10,Paramètres!$A$1:$I$88,3,0)*VLOOKUP('Données projet'!$B$10,Paramètres!$A$1:$I$88,5,0)</f>
        <v>119.04983999999993</v>
      </c>
      <c r="AK60" s="14">
        <f t="shared" si="35"/>
        <v>31.453287651698659</v>
      </c>
      <c r="AL60" s="22">
        <f t="shared" si="4"/>
        <v>262.12628066004174</v>
      </c>
      <c r="AM60" s="62">
        <f t="shared" si="5"/>
        <v>555.45961399337511</v>
      </c>
      <c r="AN60" s="62">
        <f ca="1">AVERAGE(OFFSET($AM$3,0,0,'Données projet'!$E$10+1,1))-AVERAGE(OFFSET($H$3,0,0,'Données projet'!$E$10+1,1))</f>
        <v>179.61236179838011</v>
      </c>
      <c r="AO60" s="62">
        <f t="shared" si="36"/>
        <v>186.66130555850333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0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22.7</v>
      </c>
      <c r="BD60" s="13">
        <f>IF('Données projet'!$A$88&gt;35,BD59+BC60-BL59,IF(A60&lt;'Données projet'!$A$88,$BA$205^A60,IF(A60='Données projet'!$A$88,'Données projet'!$B$88,BD59+BC60-BL59)))</f>
        <v>447.89999999999969</v>
      </c>
      <c r="BE60" s="14">
        <f>BD60*VLOOKUP('Données projet'!$B$11,Paramètres!$A$1:$I$88,3,0)*VLOOKUP('Données projet'!$B$11,Paramètres!$A$1:$I$88,5,0)</f>
        <v>209.61719999999985</v>
      </c>
      <c r="BF60" s="14">
        <f t="shared" si="37"/>
        <v>51.851925386563117</v>
      </c>
      <c r="BG60" s="22">
        <f t="shared" si="7"/>
        <v>455.39206004826383</v>
      </c>
      <c r="BH60" s="62">
        <f t="shared" si="8"/>
        <v>748.72539338159709</v>
      </c>
      <c r="BI60" s="62">
        <f ca="1">AVERAGE(OFFSET($BH$3,0,0,'Données projet'!$E$11+1,1))-AVERAGE(OFFSET($H$3,0,0,'Données projet'!$E$11+1,1))</f>
        <v>335.00873408144395</v>
      </c>
      <c r="BJ60" s="62">
        <f t="shared" si="38"/>
        <v>106.28577694955948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0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8.7272727272727266</v>
      </c>
      <c r="BY60" s="13">
        <f>IF('Données projet'!$A$114&gt;35,BY59+BX60-CG59,IF(A60&lt;'Données projet'!$A$114,$BV$205^A60,IF(A60='Données projet'!$A$114,'Données projet'!$B$114,BY59+BX60-CG59)))</f>
        <v>189.81818181818173</v>
      </c>
      <c r="BZ60" s="14">
        <f>BY60*VLOOKUP('Données projet'!$B$12,Paramètres!$A$1:$I$88,3,0)*VLOOKUP('Données projet'!$B$12,Paramètres!$A$1:$I$88,5,0)</f>
        <v>113.51127272727268</v>
      </c>
      <c r="CA60" s="14">
        <f t="shared" si="39"/>
        <v>30.156748855957495</v>
      </c>
      <c r="CB60" s="22">
        <f t="shared" si="10"/>
        <v>250.22180425745921</v>
      </c>
      <c r="CC60" s="62">
        <f t="shared" si="11"/>
        <v>543.55513759079258</v>
      </c>
      <c r="CD60" s="62">
        <f ca="1">AVERAGE(OFFSET($CC$3,0,0,'Données projet'!$E$12+1,1))-AVERAGE(OFFSET($H$3,0,0,'Données projet'!$E$12+1,1))</f>
        <v>136.47709057888358</v>
      </c>
      <c r="CE60" s="62">
        <f t="shared" si="40"/>
        <v>99.705248792886493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0</v>
      </c>
      <c r="CL60" s="23">
        <f>EXP(-LN(2)/25)*CL59+(1-EXP(-LN(2)/25))/(LN(2)/25)*Calculateur!CG60*Calculateur!CI60*VLOOKUP('Données projet'!$B$12,Paramètres!$A$1:$I$88,3,0)*0.475*44/12</f>
        <v>0</v>
      </c>
      <c r="CM60" s="23">
        <f>EXP(-LN(2)/2)*CM59+(1-EXP(-LN(2)/2))/(LN(2)/2)*CG60*CJ60*VLOOKUP('Données projet'!$B$12,Paramètres!$A$1:$I$88,3,0)*0.475*44/12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IF('Données projet'!$A$140&gt;35,CT59+CS60-DB59,IF(A60&lt;'Données projet'!$A$140,$CQ$205^A60,IF(A60='Données projet'!$A$140,'Données projet'!$B$140,CT59+CS60-DB59)))</f>
        <v>232.8000000000001</v>
      </c>
      <c r="CU60" s="18">
        <f>CT60*VLOOKUP('Données projet'!$B$13,Paramètres!$A$1:$I$88,3,0)*VLOOKUP('Données projet'!$B$13,Paramètres!$A$1:$I$88,5,0)</f>
        <v>111.97680000000005</v>
      </c>
      <c r="CV60" s="14">
        <f t="shared" si="41"/>
        <v>29.796250167500443</v>
      </c>
      <c r="CW60" s="22">
        <f t="shared" si="13"/>
        <v>246.92139570839672</v>
      </c>
      <c r="CX60" s="62">
        <f t="shared" si="14"/>
        <v>540.25472904173</v>
      </c>
      <c r="CY60" s="62">
        <f ca="1">AVERAGE(OFFSET($CX$3,0,0,'Données projet'!$E$13+1,1))-AVERAGE(OFFSET($H$3,0,0,'Données projet'!$E$13+1,1))</f>
        <v>205.01234521498333</v>
      </c>
      <c r="CZ60" s="62">
        <f t="shared" si="42"/>
        <v>100.26042113972852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projet'!$B$13,Paramètres!$A$1:$I$88,3,0)*0.475*44/12</f>
        <v>0</v>
      </c>
      <c r="DG60" s="23">
        <f>EXP(-LN(2)/25)*DG59+(1-EXP(-LN(2)/25))/(LN(2)/25)*Calculateur!DB60*Calculateur!DD60*VLOOKUP('Données projet'!$B$13,Paramètres!$A$1:$I$88,3,0)*0.475*44/12</f>
        <v>0</v>
      </c>
      <c r="DH60" s="23">
        <f>EXP(-LN(2)/2)*DH59+(1-EXP(-LN(2)/2))/(LN(2)/2)*DB60*DE60*VLOOKUP('Données projet'!$B$13,Paramètres!$A$1:$I$88,3,0)*0.475*44/12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16.965000000000018</v>
      </c>
      <c r="D61" s="12">
        <f t="shared" si="32"/>
        <v>5.6232301528148101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174.36528539014955</v>
      </c>
      <c r="H61" s="70">
        <f t="shared" si="1"/>
        <v>332.67450084948581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1.8</v>
      </c>
      <c r="N61" s="14">
        <f>IF('Données projet'!$A$36&gt;35,N60+M61-V60,IF(A61&lt;'Données projet'!$A$36,$K$205^A61,IF(A61='Données projet'!$A$36,'Données projet'!$B$36,N60+M61-V60)))</f>
        <v>112.39999999999993</v>
      </c>
      <c r="O61" s="14">
        <f>N61*VLOOKUP('Données projet'!$B$9,Paramètres!$A$1:$I$88,3,0)*VLOOKUP('Données projet'!$B$9,Paramètres!$A$1:$I$88,5,0)</f>
        <v>113.97359999999995</v>
      </c>
      <c r="P61" s="14">
        <f t="shared" si="33"/>
        <v>30.265253403942555</v>
      </c>
      <c r="Q61" s="22">
        <f t="shared" si="53"/>
        <v>251.21600301186652</v>
      </c>
      <c r="R61" s="62">
        <f t="shared" si="0"/>
        <v>544.54933634519989</v>
      </c>
      <c r="S61" s="62">
        <f ca="1">AVERAGE(OFFSET($R$3,0,0,'Données projet'!$E$9+1,1))-AVERAGE(OFFSET($H$3,0,0,'Données projet'!$E$9+1,1))</f>
        <v>167.90363814107491</v>
      </c>
      <c r="T61" s="62">
        <f t="shared" si="34"/>
        <v>174.92847878212234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0</v>
      </c>
      <c r="AB61" s="23">
        <f>EXP(-LN(2)/2)*AB60+(1-EXP(-LN(2)/2))/(LN(2)/2)*V61*Y61*VLOOKUP('Données projet'!$B$9,Paramètres!$A$1:$I$88,3,0)*0.475*44/12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1.8</v>
      </c>
      <c r="AI61" s="14">
        <f>IF('Données projet'!$A$62&gt;35,AI60+AH61-AQ60,IF(A61&lt;'Données projet'!$A$62,$AF$205^A61,IF(A61='Données projet'!$A$62,'Données projet'!$B$62,AI60+AH61-AQ60)))</f>
        <v>112.39999999999993</v>
      </c>
      <c r="AJ61" s="14">
        <f>AI61*VLOOKUP('Données projet'!$B$10,Paramètres!$A$1:$I$88,3,0)*VLOOKUP('Données projet'!$B$10,Paramètres!$A$1:$I$88,5,0)</f>
        <v>120.98735999999994</v>
      </c>
      <c r="AK61" s="14">
        <f t="shared" si="35"/>
        <v>31.905174859298388</v>
      </c>
      <c r="AL61" s="22">
        <f t="shared" si="4"/>
        <v>266.28783154661124</v>
      </c>
      <c r="AM61" s="62">
        <f t="shared" si="5"/>
        <v>559.62116487994456</v>
      </c>
      <c r="AN61" s="62">
        <f ca="1">AVERAGE(OFFSET($AM$3,0,0,'Données projet'!$E$10+1,1))-AVERAGE(OFFSET($H$3,0,0,'Données projet'!$E$10+1,1))</f>
        <v>179.61236179838011</v>
      </c>
      <c r="AO61" s="62">
        <f t="shared" si="36"/>
        <v>186.66130555850333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0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22.7</v>
      </c>
      <c r="BD61" s="13">
        <f>IF('Données projet'!$A$88&gt;35,BD60+BC61-BL60,IF(A61&lt;'Données projet'!$A$88,$BA$205^A61,IF(A61='Données projet'!$A$88,'Données projet'!$B$88,BD60+BC61-BL60)))</f>
        <v>470.59999999999968</v>
      </c>
      <c r="BE61" s="14">
        <f>BD61*VLOOKUP('Données projet'!$B$11,Paramètres!$A$1:$I$88,3,0)*VLOOKUP('Données projet'!$B$11,Paramètres!$A$1:$I$88,5,0)</f>
        <v>220.24079999999987</v>
      </c>
      <c r="BF61" s="14">
        <f t="shared" si="37"/>
        <v>54.167219078226751</v>
      </c>
      <c r="BG61" s="22">
        <f t="shared" si="7"/>
        <v>477.92729989457803</v>
      </c>
      <c r="BH61" s="62">
        <f t="shared" si="8"/>
        <v>771.26063322791128</v>
      </c>
      <c r="BI61" s="62">
        <f ca="1">AVERAGE(OFFSET($BH$3,0,0,'Données projet'!$E$11+1,1))-AVERAGE(OFFSET($H$3,0,0,'Données projet'!$E$11+1,1))</f>
        <v>335.00873408144395</v>
      </c>
      <c r="BJ61" s="62">
        <f t="shared" si="38"/>
        <v>106.28577694955948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0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8.7272727272727266</v>
      </c>
      <c r="BY61" s="13">
        <f>IF('Données projet'!$A$114&gt;35,BY60+BX61-CG60,IF(A61&lt;'Données projet'!$A$114,$BV$205^A61,IF(A61='Données projet'!$A$114,'Données projet'!$B$114,BY60+BX61-CG60)))</f>
        <v>198.54545454545445</v>
      </c>
      <c r="BZ61" s="14">
        <f>BY61*VLOOKUP('Données projet'!$B$12,Paramètres!$A$1:$I$88,3,0)*VLOOKUP('Données projet'!$B$12,Paramètres!$A$1:$I$88,5,0)</f>
        <v>118.73018181818176</v>
      </c>
      <c r="CA61" s="14">
        <f t="shared" si="39"/>
        <v>31.37865193745295</v>
      </c>
      <c r="CB61" s="22">
        <f t="shared" si="10"/>
        <v>261.43955212439715</v>
      </c>
      <c r="CC61" s="62">
        <f t="shared" si="11"/>
        <v>554.77288545773047</v>
      </c>
      <c r="CD61" s="62">
        <f ca="1">AVERAGE(OFFSET($CC$3,0,0,'Données projet'!$E$12+1,1))-AVERAGE(OFFSET($H$3,0,0,'Données projet'!$E$12+1,1))</f>
        <v>136.47709057888358</v>
      </c>
      <c r="CE61" s="62">
        <f t="shared" si="40"/>
        <v>99.705248792886493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0</v>
      </c>
      <c r="CL61" s="23">
        <f>EXP(-LN(2)/25)*CL60+(1-EXP(-LN(2)/25))/(LN(2)/25)*Calculateur!CG61*Calculateur!CI61*VLOOKUP('Données projet'!$B$12,Paramètres!$A$1:$I$88,3,0)*0.475*44/12</f>
        <v>0</v>
      </c>
      <c r="CM61" s="23">
        <f>EXP(-LN(2)/2)*CM60+(1-EXP(-LN(2)/2))/(LN(2)/2)*CG61*CJ61*VLOOKUP('Données projet'!$B$12,Paramètres!$A$1:$I$88,3,0)*0.475*44/12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IF('Données projet'!$A$140&gt;35,CT60+CS61-DB60,IF(A61&lt;'Données projet'!$A$140,$CQ$205^A61,IF(A61='Données projet'!$A$140,'Données projet'!$B$140,CT60+CS61-DB60)))</f>
        <v>242.2000000000001</v>
      </c>
      <c r="CU61" s="18">
        <f>CT61*VLOOKUP('Données projet'!$B$13,Paramètres!$A$1:$I$88,3,0)*VLOOKUP('Données projet'!$B$13,Paramètres!$A$1:$I$88,5,0)</f>
        <v>116.49820000000004</v>
      </c>
      <c r="CV61" s="14">
        <f t="shared" si="41"/>
        <v>30.856859525217992</v>
      </c>
      <c r="CW61" s="22">
        <f t="shared" si="13"/>
        <v>256.6433953397547</v>
      </c>
      <c r="CX61" s="62">
        <f t="shared" si="14"/>
        <v>549.97672867308802</v>
      </c>
      <c r="CY61" s="62">
        <f ca="1">AVERAGE(OFFSET($CX$3,0,0,'Données projet'!$E$13+1,1))-AVERAGE(OFFSET($H$3,0,0,'Données projet'!$E$13+1,1))</f>
        <v>205.01234521498333</v>
      </c>
      <c r="CZ61" s="62">
        <f t="shared" si="42"/>
        <v>100.26042113972852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projet'!$B$13,Paramètres!$A$1:$I$88,3,0)*0.475*44/12</f>
        <v>0</v>
      </c>
      <c r="DG61" s="23">
        <f>EXP(-LN(2)/25)*DG60+(1-EXP(-LN(2)/25))/(LN(2)/25)*Calculateur!DB61*Calculateur!DD61*VLOOKUP('Données projet'!$B$13,Paramètres!$A$1:$I$88,3,0)*0.475*44/12</f>
        <v>0</v>
      </c>
      <c r="DH61" s="23">
        <f>EXP(-LN(2)/2)*DH60+(1-EXP(-LN(2)/2))/(LN(2)/2)*DB61*DE61*VLOOKUP('Données projet'!$B$13,Paramètres!$A$1:$I$88,3,0)*0.475*44/12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17.257500000000018</v>
      </c>
      <c r="D62" s="12">
        <f t="shared" si="32"/>
        <v>5.7088117397840934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177.28380992114049</v>
      </c>
      <c r="H62" s="70">
        <f t="shared" si="1"/>
        <v>333.33299294679063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1.8</v>
      </c>
      <c r="N62" s="14">
        <f>IF('Données projet'!$A$36&gt;35,N61+M62-V61,IF(A62&lt;'Données projet'!$A$36,$K$205^A62,IF(A62='Données projet'!$A$36,'Données projet'!$B$36,N61+M62-V61)))</f>
        <v>114.19999999999993</v>
      </c>
      <c r="O62" s="14">
        <f>N62*VLOOKUP('Données projet'!$B$9,Paramètres!$A$1:$I$88,3,0)*VLOOKUP('Données projet'!$B$9,Paramètres!$A$1:$I$88,5,0)</f>
        <v>115.79879999999994</v>
      </c>
      <c r="P62" s="14">
        <f t="shared" si="33"/>
        <v>30.693115334311045</v>
      </c>
      <c r="Q62" s="22">
        <f t="shared" si="53"/>
        <v>255.14008587392496</v>
      </c>
      <c r="R62" s="62">
        <f t="shared" si="0"/>
        <v>548.4734192072583</v>
      </c>
      <c r="S62" s="62">
        <f ca="1">AVERAGE(OFFSET($R$3,0,0,'Données projet'!$E$9+1,1))-AVERAGE(OFFSET($H$3,0,0,'Données projet'!$E$9+1,1))</f>
        <v>167.90363814107491</v>
      </c>
      <c r="T62" s="62">
        <f t="shared" si="34"/>
        <v>174.92847878212234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0</v>
      </c>
      <c r="AB62" s="23">
        <f>EXP(-LN(2)/2)*AB61+(1-EXP(-LN(2)/2))/(LN(2)/2)*V62*Y62*VLOOKUP('Données projet'!$B$9,Paramètres!$A$1:$I$88,3,0)*0.475*44/12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1.8</v>
      </c>
      <c r="AI62" s="14">
        <f>IF('Données projet'!$A$62&gt;35,AI61+AH62-AQ61,IF(A62&lt;'Données projet'!$A$62,$AF$205^A62,IF(A62='Données projet'!$A$62,'Données projet'!$B$62,AI61+AH62-AQ61)))</f>
        <v>114.19999999999993</v>
      </c>
      <c r="AJ62" s="14">
        <f>AI62*VLOOKUP('Données projet'!$B$10,Paramètres!$A$1:$I$88,3,0)*VLOOKUP('Données projet'!$B$10,Paramètres!$A$1:$I$88,5,0)</f>
        <v>122.92487999999992</v>
      </c>
      <c r="AK62" s="14">
        <f t="shared" si="35"/>
        <v>32.356220469980919</v>
      </c>
      <c r="AL62" s="22">
        <f t="shared" si="4"/>
        <v>270.44791665188325</v>
      </c>
      <c r="AM62" s="62">
        <f t="shared" si="5"/>
        <v>563.78124998521662</v>
      </c>
      <c r="AN62" s="62">
        <f ca="1">AVERAGE(OFFSET($AM$3,0,0,'Données projet'!$E$10+1,1))-AVERAGE(OFFSET($H$3,0,0,'Données projet'!$E$10+1,1))</f>
        <v>179.61236179838011</v>
      </c>
      <c r="AO62" s="62">
        <f t="shared" si="36"/>
        <v>186.66130555850333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0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22.7</v>
      </c>
      <c r="BD62" s="13">
        <f>IF('Données projet'!$A$88&gt;35,BD61+BC62-BL61,IF(A62&lt;'Données projet'!$A$88,$BA$205^A62,IF(A62='Données projet'!$A$88,'Données projet'!$B$88,BD61+BC62-BL61)))</f>
        <v>493.29999999999967</v>
      </c>
      <c r="BE62" s="14">
        <f>BD62*VLOOKUP('Données projet'!$B$11,Paramètres!$A$1:$I$88,3,0)*VLOOKUP('Données projet'!$B$11,Paramètres!$A$1:$I$88,5,0)</f>
        <v>230.86439999999985</v>
      </c>
      <c r="BF62" s="14">
        <f t="shared" si="37"/>
        <v>56.469544196332308</v>
      </c>
      <c r="BG62" s="22">
        <f t="shared" si="7"/>
        <v>500.43995280861185</v>
      </c>
      <c r="BH62" s="62">
        <f t="shared" si="8"/>
        <v>793.77328614194516</v>
      </c>
      <c r="BI62" s="62">
        <f ca="1">AVERAGE(OFFSET($BH$3,0,0,'Données projet'!$E$11+1,1))-AVERAGE(OFFSET($H$3,0,0,'Données projet'!$E$11+1,1))</f>
        <v>335.00873408144395</v>
      </c>
      <c r="BJ62" s="62">
        <f t="shared" si="38"/>
        <v>106.28577694955948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0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8.7272727272727266</v>
      </c>
      <c r="BY62" s="13">
        <f>IF('Données projet'!$A$114&gt;35,BY61+BX62-CG61,IF(A62&lt;'Données projet'!$A$114,$BV$205^A62,IF(A62='Données projet'!$A$114,'Données projet'!$B$114,BY61+BX62-CG61)))</f>
        <v>207.27272727272717</v>
      </c>
      <c r="BZ62" s="14">
        <f>BY62*VLOOKUP('Données projet'!$B$12,Paramètres!$A$1:$I$88,3,0)*VLOOKUP('Données projet'!$B$12,Paramètres!$A$1:$I$88,5,0)</f>
        <v>123.94909090909086</v>
      </c>
      <c r="CA62" s="14">
        <f t="shared" si="39"/>
        <v>32.59431701721995</v>
      </c>
      <c r="CB62" s="22">
        <f t="shared" si="10"/>
        <v>272.64643547165798</v>
      </c>
      <c r="CC62" s="62">
        <f t="shared" si="11"/>
        <v>565.97976880499129</v>
      </c>
      <c r="CD62" s="62">
        <f ca="1">AVERAGE(OFFSET($CC$3,0,0,'Données projet'!$E$12+1,1))-AVERAGE(OFFSET($H$3,0,0,'Données projet'!$E$12+1,1))</f>
        <v>136.47709057888358</v>
      </c>
      <c r="CE62" s="62">
        <f t="shared" si="40"/>
        <v>99.705248792886493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0</v>
      </c>
      <c r="CL62" s="23">
        <f>EXP(-LN(2)/25)*CL61+(1-EXP(-LN(2)/25))/(LN(2)/25)*Calculateur!CG62*Calculateur!CI62*VLOOKUP('Données projet'!$B$12,Paramètres!$A$1:$I$88,3,0)*0.475*44/12</f>
        <v>0</v>
      </c>
      <c r="CM62" s="23">
        <f>EXP(-LN(2)/2)*CM61+(1-EXP(-LN(2)/2))/(LN(2)/2)*CG62*CJ62*VLOOKUP('Données projet'!$B$12,Paramètres!$A$1:$I$88,3,0)*0.475*44/12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IF('Données projet'!$A$140&gt;35,CT61+CS62-DB61,IF(A62&lt;'Données projet'!$A$140,$CQ$205^A62,IF(A62='Données projet'!$A$140,'Données projet'!$B$140,CT61+CS62-DB61)))</f>
        <v>251.60000000000011</v>
      </c>
      <c r="CU62" s="18">
        <f>CT62*VLOOKUP('Données projet'!$B$13,Paramètres!$A$1:$I$88,3,0)*VLOOKUP('Données projet'!$B$13,Paramètres!$A$1:$I$88,5,0)</f>
        <v>121.01960000000005</v>
      </c>
      <c r="CV62" s="14">
        <f t="shared" si="41"/>
        <v>31.912687024575664</v>
      </c>
      <c r="CW62" s="22">
        <f t="shared" si="13"/>
        <v>266.35706656780263</v>
      </c>
      <c r="CX62" s="62">
        <f t="shared" si="14"/>
        <v>559.69039990113595</v>
      </c>
      <c r="CY62" s="62">
        <f ca="1">AVERAGE(OFFSET($CX$3,0,0,'Données projet'!$E$13+1,1))-AVERAGE(OFFSET($H$3,0,0,'Données projet'!$E$13+1,1))</f>
        <v>205.01234521498333</v>
      </c>
      <c r="CZ62" s="62">
        <f t="shared" si="42"/>
        <v>100.26042113972852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projet'!$B$13,Paramètres!$A$1:$I$88,3,0)*0.475*44/12</f>
        <v>0</v>
      </c>
      <c r="DG62" s="23">
        <f>EXP(-LN(2)/25)*DG61+(1-EXP(-LN(2)/25))/(LN(2)/25)*Calculateur!DB62*Calculateur!DD62*VLOOKUP('Données projet'!$B$13,Paramètres!$A$1:$I$88,3,0)*0.475*44/12</f>
        <v>0</v>
      </c>
      <c r="DH62" s="23">
        <f>EXP(-LN(2)/2)*DH61+(1-EXP(-LN(2)/2))/(LN(2)/2)*DB62*DE62*VLOOKUP('Données projet'!$B$13,Paramètres!$A$1:$I$88,3,0)*0.475*44/12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17.550000000000018</v>
      </c>
      <c r="D63" s="12">
        <f t="shared" si="32"/>
        <v>5.794224642340839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180.20103232684173</v>
      </c>
      <c r="H63" s="70">
        <f t="shared" si="1"/>
        <v>333.99119125207699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116</v>
      </c>
      <c r="L63" s="13">
        <f>VLOOKUP(A63,'Données projet'!$A$35:$I$55,9,0)</f>
        <v>1.8</v>
      </c>
      <c r="M63" s="13">
        <f t="array" ref="M63">INDEX(L:L,MIN(IF(ISNUMBER(L63:L259),ROW(L63:L259),"")))</f>
        <v>1.8</v>
      </c>
      <c r="N63" s="14">
        <f>IF('Données projet'!$A$36&gt;35,N62+M63-V62,IF(A63&lt;'Données projet'!$A$36,$K$205^A63,IF(A63='Données projet'!$A$36,'Données projet'!$B$36,N62+M63-V62)))</f>
        <v>115.99999999999993</v>
      </c>
      <c r="O63" s="14">
        <f>N63*VLOOKUP('Données projet'!$B$9,Paramètres!$A$1:$I$88,3,0)*VLOOKUP('Données projet'!$B$9,Paramètres!$A$1:$I$88,5,0)</f>
        <v>117.62399999999995</v>
      </c>
      <c r="P63" s="14">
        <f t="shared" si="33"/>
        <v>31.120192961985413</v>
      </c>
      <c r="Q63" s="22">
        <f t="shared" si="53"/>
        <v>259.06280274212452</v>
      </c>
      <c r="R63" s="62">
        <f t="shared" si="0"/>
        <v>552.39613607545789</v>
      </c>
      <c r="S63" s="62">
        <f ca="1">AVERAGE(OFFSET($R$3,0,0,'Données projet'!$E$9+1,1))-AVERAGE(OFFSET($H$3,0,0,'Données projet'!$E$9+1,1))</f>
        <v>167.90363814107491</v>
      </c>
      <c r="T63" s="62">
        <f t="shared" si="34"/>
        <v>174.92847878212234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0</v>
      </c>
      <c r="AB63" s="23">
        <f>EXP(-LN(2)/2)*AB62+(1-EXP(-LN(2)/2))/(LN(2)/2)*V63*Y63*VLOOKUP('Données projet'!$B$9,Paramètres!$A$1:$I$88,3,0)*0.475*44/12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116</v>
      </c>
      <c r="AG63" s="13">
        <f>VLOOKUP(A63,'Données projet'!$A$61:$I$81,9,0)</f>
        <v>1.8</v>
      </c>
      <c r="AH63" s="13">
        <f t="array" ref="AH63">INDEX(AG:AG,MIN(IF(ISNUMBER(AG63:AG259),ROW(AG63:AG259),"")))</f>
        <v>1.8</v>
      </c>
      <c r="AI63" s="14">
        <f>IF('Données projet'!$A$62&gt;35,AI62+AH63-AQ62,IF(A63&lt;'Données projet'!$A$62,$AF$205^A63,IF(A63='Données projet'!$A$62,'Données projet'!$B$62,AI62+AH63-AQ62)))</f>
        <v>115.99999999999993</v>
      </c>
      <c r="AJ63" s="14">
        <f>AI63*VLOOKUP('Données projet'!$B$10,Paramètres!$A$1:$I$88,3,0)*VLOOKUP('Données projet'!$B$10,Paramètres!$A$1:$I$88,5,0)</f>
        <v>124.86239999999992</v>
      </c>
      <c r="AK63" s="14">
        <f t="shared" si="35"/>
        <v>32.80643928056157</v>
      </c>
      <c r="AL63" s="22">
        <f t="shared" si="4"/>
        <v>274.60656174697789</v>
      </c>
      <c r="AM63" s="62">
        <f t="shared" si="5"/>
        <v>567.9398950803112</v>
      </c>
      <c r="AN63" s="62">
        <f ca="1">AVERAGE(OFFSET($AM$3,0,0,'Données projet'!$E$10+1,1))-AVERAGE(OFFSET($H$3,0,0,'Données projet'!$E$10+1,1))</f>
        <v>179.61236179838011</v>
      </c>
      <c r="AO63" s="62">
        <f t="shared" si="36"/>
        <v>186.66130555850333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0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516</v>
      </c>
      <c r="BB63" s="13">
        <f>VLOOKUP(A63,'Données projet'!$A$87:$I$107,9,0)</f>
        <v>22.7</v>
      </c>
      <c r="BC63" s="13">
        <f t="array" ref="BC63">INDEX(BB:BB,MIN(IF(ISNUMBER(BB63:BB259),ROW(BB63:BB259),"")))</f>
        <v>22.7</v>
      </c>
      <c r="BD63" s="13">
        <f>IF('Données projet'!$A$88&gt;35,BD62+BC63-BL62,IF(A63&lt;'Données projet'!$A$88,$BA$205^A63,IF(A63='Données projet'!$A$88,'Données projet'!$B$88,BD62+BC63-BL62)))</f>
        <v>515.99999999999966</v>
      </c>
      <c r="BE63" s="14">
        <f>BD63*VLOOKUP('Données projet'!$B$11,Paramètres!$A$1:$I$88,3,0)*VLOOKUP('Données projet'!$B$11,Paramètres!$A$1:$I$88,5,0)</f>
        <v>241.48799999999986</v>
      </c>
      <c r="BF63" s="14">
        <f t="shared" si="37"/>
        <v>58.759565673424916</v>
      </c>
      <c r="BG63" s="22">
        <f t="shared" si="7"/>
        <v>522.93117688121481</v>
      </c>
      <c r="BH63" s="62">
        <f t="shared" si="8"/>
        <v>816.26451021454818</v>
      </c>
      <c r="BI63" s="62">
        <f ca="1">AVERAGE(OFFSET($BH$3,0,0,'Données projet'!$E$11+1,1))-AVERAGE(OFFSET($H$3,0,0,'Données projet'!$E$11+1,1))</f>
        <v>335.00873408144395</v>
      </c>
      <c r="BJ63" s="62">
        <f t="shared" si="38"/>
        <v>106.28577694955948</v>
      </c>
      <c r="BK63" s="16">
        <f>IF(ISNA(VLOOKUP(A63,'Données projet'!$A$87:$I$107,3,0)),0,VLOOKUP(A63,'Données projet'!$A$87:$I$107,3,0))</f>
        <v>3</v>
      </c>
      <c r="BL63" s="16">
        <f>IF(ISNA(VLOOKUP(A63,'Données projet'!$A$87:$I$107,4,0)),0,VLOOKUP(A63,'Données projet'!$A$87:$I$107,4,0))</f>
        <v>112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0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216</v>
      </c>
      <c r="BW63" s="13">
        <f>VLOOKUP(A63,'Données projet'!$A$113:$I$133,9,0)</f>
        <v>8.7272727272727266</v>
      </c>
      <c r="BX63" s="13">
        <f t="array" ref="BX63">INDEX(BW:BW,MIN(IF(ISNUMBER(BW63:BW259),ROW(BW63:BW259),"")))</f>
        <v>8.7272727272727266</v>
      </c>
      <c r="BY63" s="13">
        <f>IF('Données projet'!$A$114&gt;35,BY62+BX63-CG62,IF(A63&lt;'Données projet'!$A$114,$BV$205^A63,IF(A63='Données projet'!$A$114,'Données projet'!$B$114,BY62+BX63-CG62)))</f>
        <v>215.99999999999989</v>
      </c>
      <c r="BZ63" s="14">
        <f>BY63*VLOOKUP('Données projet'!$B$12,Paramètres!$A$1:$I$88,3,0)*VLOOKUP('Données projet'!$B$12,Paramètres!$A$1:$I$88,5,0)</f>
        <v>129.16799999999995</v>
      </c>
      <c r="CA63" s="14">
        <f t="shared" si="39"/>
        <v>33.804036779774435</v>
      </c>
      <c r="CB63" s="22">
        <f t="shared" si="10"/>
        <v>283.84296405810704</v>
      </c>
      <c r="CC63" s="62">
        <f t="shared" si="11"/>
        <v>577.17629739144036</v>
      </c>
      <c r="CD63" s="62">
        <f ca="1">AVERAGE(OFFSET($CC$3,0,0,'Données projet'!$E$12+1,1))-AVERAGE(OFFSET($H$3,0,0,'Données projet'!$E$12+1,1))</f>
        <v>136.47709057888358</v>
      </c>
      <c r="CE63" s="62">
        <f t="shared" si="40"/>
        <v>99.705248792886493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71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0</v>
      </c>
      <c r="CL63" s="23">
        <f>EXP(-LN(2)/25)*CL62+(1-EXP(-LN(2)/25))/(LN(2)/25)*Calculateur!CG63*Calculateur!CI63*VLOOKUP('Données projet'!$B$12,Paramètres!$A$1:$I$88,3,0)*0.475*44/12</f>
        <v>0</v>
      </c>
      <c r="CM63" s="23">
        <f>EXP(-LN(2)/2)*CM62+(1-EXP(-LN(2)/2))/(LN(2)/2)*CG63*CJ63*VLOOKUP('Données projet'!$B$12,Paramètres!$A$1:$I$88,3,0)*0.475*44/12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261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IF('Données projet'!$A$140&gt;35,CT62+CS63-DB62,IF(A63&lt;'Données projet'!$A$140,$CQ$205^A63,IF(A63='Données projet'!$A$140,'Données projet'!$B$140,CT62+CS63-DB62)))</f>
        <v>261.00000000000011</v>
      </c>
      <c r="CU63" s="18">
        <f>CT63*VLOOKUP('Données projet'!$B$13,Paramètres!$A$1:$I$88,3,0)*VLOOKUP('Données projet'!$B$13,Paramètres!$A$1:$I$88,5,0)</f>
        <v>125.54100000000005</v>
      </c>
      <c r="CV63" s="14">
        <f t="shared" si="41"/>
        <v>32.963931776656402</v>
      </c>
      <c r="CW63" s="22">
        <f t="shared" si="13"/>
        <v>276.06275617767665</v>
      </c>
      <c r="CX63" s="62">
        <f t="shared" si="14"/>
        <v>569.3960895110099</v>
      </c>
      <c r="CY63" s="62">
        <f ca="1">AVERAGE(OFFSET($CX$3,0,0,'Données projet'!$E$13+1,1))-AVERAGE(OFFSET($H$3,0,0,'Données projet'!$E$13+1,1))</f>
        <v>205.01234521498333</v>
      </c>
      <c r="CZ63" s="62">
        <f t="shared" si="42"/>
        <v>100.26042113972852</v>
      </c>
      <c r="DA63" s="16">
        <f>IF(ISNA(VLOOKUP(A63,'Données projet'!$A$139:$I$159,3,0)),0,VLOOKUP(A63,'Données projet'!$A$139:$I$159,3,0))</f>
        <v>3</v>
      </c>
      <c r="DB63" s="16">
        <f>IF(ISNA(VLOOKUP(A63,'Données projet'!$A$139:$I$159,4,0)),0,VLOOKUP(A63,'Données projet'!$A$139:$I$159,4,0))</f>
        <v>58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projet'!$B$13,Paramètres!$A$1:$I$88,3,0)*0.475*44/12</f>
        <v>0</v>
      </c>
      <c r="DG63" s="23">
        <f>EXP(-LN(2)/25)*DG62+(1-EXP(-LN(2)/25))/(LN(2)/25)*Calculateur!DB63*Calculateur!DD63*VLOOKUP('Données projet'!$B$13,Paramètres!$A$1:$I$88,3,0)*0.475*44/12</f>
        <v>0</v>
      </c>
      <c r="DH63" s="23">
        <f>EXP(-LN(2)/2)*DH62+(1-EXP(-LN(2)/2))/(LN(2)/2)*DB63*DE63*VLOOKUP('Données projet'!$B$13,Paramètres!$A$1:$I$88,3,0)*0.475*44/12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17.842500000000019</v>
      </c>
      <c r="D64" s="12">
        <f t="shared" si="32"/>
        <v>5.8794719963897109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183.11697681423652</v>
      </c>
      <c r="H64" s="70">
        <f t="shared" si="1"/>
        <v>334.64910122704543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1.8</v>
      </c>
      <c r="N64" s="14">
        <f>IF('Données projet'!$A$36&gt;35,N63+M64-V63,IF(A64&lt;'Données projet'!$A$36,$K$205^A64,IF(A64='Données projet'!$A$36,'Données projet'!$B$36,N63+M64-V63)))</f>
        <v>117.79999999999993</v>
      </c>
      <c r="O64" s="14">
        <f>N64*VLOOKUP('Données projet'!$B$9,Paramètres!$A$1:$I$88,3,0)*VLOOKUP('Données projet'!$B$9,Paramètres!$A$1:$I$88,5,0)</f>
        <v>119.44919999999993</v>
      </c>
      <c r="P64" s="14">
        <f t="shared" si="33"/>
        <v>31.546499862627162</v>
      </c>
      <c r="Q64" s="22">
        <f t="shared" si="53"/>
        <v>262.98417726074217</v>
      </c>
      <c r="R64" s="62">
        <f t="shared" si="0"/>
        <v>556.31751059407543</v>
      </c>
      <c r="S64" s="62">
        <f ca="1">AVERAGE(OFFSET($R$3,0,0,'Données projet'!$E$9+1,1))-AVERAGE(OFFSET($H$3,0,0,'Données projet'!$E$9+1,1))</f>
        <v>167.90363814107491</v>
      </c>
      <c r="T64" s="62">
        <f t="shared" si="34"/>
        <v>174.92847878212234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0</v>
      </c>
      <c r="AB64" s="23">
        <f>EXP(-LN(2)/2)*AB63+(1-EXP(-LN(2)/2))/(LN(2)/2)*V64*Y64*VLOOKUP('Données projet'!$B$9,Paramètres!$A$1:$I$88,3,0)*0.475*44/12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1.8</v>
      </c>
      <c r="AI64" s="14">
        <f>IF('Données projet'!$A$62&gt;35,AI63+AH64-AQ63,IF(A64&lt;'Données projet'!$A$62,$AF$205^A64,IF(A64='Données projet'!$A$62,'Données projet'!$B$62,AI63+AH64-AQ63)))</f>
        <v>117.79999999999993</v>
      </c>
      <c r="AJ64" s="14">
        <f>AI64*VLOOKUP('Données projet'!$B$10,Paramètres!$A$1:$I$88,3,0)*VLOOKUP('Données projet'!$B$10,Paramètres!$A$1:$I$88,5,0)</f>
        <v>126.79991999999991</v>
      </c>
      <c r="AK64" s="14">
        <f t="shared" si="35"/>
        <v>33.255845602298486</v>
      </c>
      <c r="AL64" s="22">
        <f t="shared" si="4"/>
        <v>278.76379175733638</v>
      </c>
      <c r="AM64" s="62">
        <f t="shared" si="5"/>
        <v>572.09712509066969</v>
      </c>
      <c r="AN64" s="62">
        <f ca="1">AVERAGE(OFFSET($AM$3,0,0,'Données projet'!$E$10+1,1))-AVERAGE(OFFSET($H$3,0,0,'Données projet'!$E$10+1,1))</f>
        <v>179.61236179838011</v>
      </c>
      <c r="AO64" s="62">
        <f t="shared" si="36"/>
        <v>186.66130555850333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0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22.7</v>
      </c>
      <c r="BD64" s="13">
        <f>IF('Données projet'!$A$88&gt;35,BD63+BC64-BL63,IF(A64&lt;'Données projet'!$A$88,$BA$205^A64,IF(A64='Données projet'!$A$88,'Données projet'!$B$88,BD63+BC64-BL63)))</f>
        <v>426.6999999999997</v>
      </c>
      <c r="BE64" s="14">
        <f>BD64*VLOOKUP('Données projet'!$B$11,Paramètres!$A$1:$I$88,3,0)*VLOOKUP('Données projet'!$B$11,Paramètres!$A$1:$I$88,5,0)</f>
        <v>199.69559999999984</v>
      </c>
      <c r="BF64" s="14">
        <f t="shared" si="37"/>
        <v>49.677263889452327</v>
      </c>
      <c r="BG64" s="22">
        <f t="shared" si="7"/>
        <v>434.32440460746255</v>
      </c>
      <c r="BH64" s="62">
        <f t="shared" si="8"/>
        <v>727.65773794079587</v>
      </c>
      <c r="BI64" s="62">
        <f ca="1">AVERAGE(OFFSET($BH$3,0,0,'Données projet'!$E$11+1,1))-AVERAGE(OFFSET($H$3,0,0,'Données projet'!$E$11+1,1))</f>
        <v>335.00873408144395</v>
      </c>
      <c r="BJ64" s="62">
        <f t="shared" si="38"/>
        <v>106.28577694955948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0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7.9230769230769234</v>
      </c>
      <c r="BY64" s="13">
        <f>IF('Données projet'!$A$114&gt;35,BY63+BX64-CG63,IF(A64&lt;'Données projet'!$A$114,$BV$205^A64,IF(A64='Données projet'!$A$114,'Données projet'!$B$114,BY63+BX64-CG63)))</f>
        <v>152.92307692307682</v>
      </c>
      <c r="BZ64" s="14">
        <f>BY64*VLOOKUP('Données projet'!$B$12,Paramètres!$A$1:$I$88,3,0)*VLOOKUP('Données projet'!$B$12,Paramètres!$A$1:$I$88,5,0)</f>
        <v>91.447999999999936</v>
      </c>
      <c r="CA64" s="14">
        <f t="shared" si="39"/>
        <v>24.914122664624198</v>
      </c>
      <c r="CB64" s="22">
        <f t="shared" si="10"/>
        <v>202.6640303075537</v>
      </c>
      <c r="CC64" s="62">
        <f t="shared" si="11"/>
        <v>495.99736364088699</v>
      </c>
      <c r="CD64" s="62">
        <f ca="1">AVERAGE(OFFSET($CC$3,0,0,'Données projet'!$E$12+1,1))-AVERAGE(OFFSET($H$3,0,0,'Données projet'!$E$12+1,1))</f>
        <v>136.47709057888358</v>
      </c>
      <c r="CE64" s="62">
        <f t="shared" si="40"/>
        <v>99.705248792886493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0</v>
      </c>
      <c r="CL64" s="23">
        <f>EXP(-LN(2)/25)*CL63+(1-EXP(-LN(2)/25))/(LN(2)/25)*Calculateur!CG64*Calculateur!CI64*VLOOKUP('Données projet'!$B$12,Paramètres!$A$1:$I$88,3,0)*0.475*44/12</f>
        <v>0</v>
      </c>
      <c r="CM64" s="23">
        <f>EXP(-LN(2)/2)*CM63+(1-EXP(-LN(2)/2))/(LN(2)/2)*CG64*CJ64*VLOOKUP('Données projet'!$B$12,Paramètres!$A$1:$I$88,3,0)*0.475*44/12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10.7</v>
      </c>
      <c r="CT64" s="13">
        <f>IF('Données projet'!$A$140&gt;35,CT63+CS64-DB63,IF(A64&lt;'Données projet'!$A$140,$CQ$205^A64,IF(A64='Données projet'!$A$140,'Données projet'!$B$140,CT63+CS64-DB63)))</f>
        <v>213.7000000000001</v>
      </c>
      <c r="CU64" s="18">
        <f>CT64*VLOOKUP('Données projet'!$B$13,Paramètres!$A$1:$I$88,3,0)*VLOOKUP('Données projet'!$B$13,Paramètres!$A$1:$I$88,5,0)</f>
        <v>102.78970000000004</v>
      </c>
      <c r="CV64" s="14">
        <f t="shared" si="41"/>
        <v>27.625537083547467</v>
      </c>
      <c r="CW64" s="22">
        <f t="shared" si="13"/>
        <v>227.13987125384526</v>
      </c>
      <c r="CX64" s="62">
        <f t="shared" si="14"/>
        <v>520.47320458717854</v>
      </c>
      <c r="CY64" s="62">
        <f ca="1">AVERAGE(OFFSET($CX$3,0,0,'Données projet'!$E$13+1,1))-AVERAGE(OFFSET($H$3,0,0,'Données projet'!$E$13+1,1))</f>
        <v>205.01234521498333</v>
      </c>
      <c r="CZ64" s="62">
        <f t="shared" si="42"/>
        <v>100.26042113972852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projet'!$B$13,Paramètres!$A$1:$I$88,3,0)*0.475*44/12</f>
        <v>0</v>
      </c>
      <c r="DG64" s="23">
        <f>EXP(-LN(2)/25)*DG63+(1-EXP(-LN(2)/25))/(LN(2)/25)*Calculateur!DB64*Calculateur!DD64*VLOOKUP('Données projet'!$B$13,Paramètres!$A$1:$I$88,3,0)*0.475*44/12</f>
        <v>0</v>
      </c>
      <c r="DH64" s="23">
        <f>EXP(-LN(2)/2)*DH63+(1-EXP(-LN(2)/2))/(LN(2)/2)*DB64*DE64*VLOOKUP('Données projet'!$B$13,Paramètres!$A$1:$I$88,3,0)*0.475*44/12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18.135000000000019</v>
      </c>
      <c r="D65" s="12">
        <f t="shared" si="32"/>
        <v>5.964556829124092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186.03166675113349</v>
      </c>
      <c r="H65" s="70">
        <f t="shared" si="1"/>
        <v>335.30672814405779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1.8</v>
      </c>
      <c r="N65" s="14">
        <f>IF('Données projet'!$A$36&gt;35,N64+M65-V64,IF(A65&lt;'Données projet'!$A$36,$K$205^A65,IF(A65='Données projet'!$A$36,'Données projet'!$B$36,N64+M65-V64)))</f>
        <v>119.59999999999992</v>
      </c>
      <c r="O65" s="14">
        <f>N65*VLOOKUP('Données projet'!$B$9,Paramètres!$A$1:$I$88,3,0)*VLOOKUP('Données projet'!$B$9,Paramètres!$A$1:$I$88,5,0)</f>
        <v>121.27439999999993</v>
      </c>
      <c r="P65" s="14">
        <f t="shared" si="33"/>
        <v>31.972049173215357</v>
      </c>
      <c r="Q65" s="22">
        <f t="shared" si="53"/>
        <v>266.9042323100166</v>
      </c>
      <c r="R65" s="62">
        <f t="shared" si="0"/>
        <v>560.23756564334985</v>
      </c>
      <c r="S65" s="62">
        <f ca="1">AVERAGE(OFFSET($R$3,0,0,'Données projet'!$E$9+1,1))-AVERAGE(OFFSET($H$3,0,0,'Données projet'!$E$9+1,1))</f>
        <v>167.90363814107491</v>
      </c>
      <c r="T65" s="62">
        <f t="shared" si="34"/>
        <v>174.92847878212234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0</v>
      </c>
      <c r="AB65" s="23">
        <f>EXP(-LN(2)/2)*AB64+(1-EXP(-LN(2)/2))/(LN(2)/2)*V65*Y65*VLOOKUP('Données projet'!$B$9,Paramètres!$A$1:$I$88,3,0)*0.475*44/12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1.8</v>
      </c>
      <c r="AI65" s="14">
        <f>IF('Données projet'!$A$62&gt;35,AI64+AH65-AQ64,IF(A65&lt;'Données projet'!$A$62,$AF$205^A65,IF(A65='Données projet'!$A$62,'Données projet'!$B$62,AI64+AH65-AQ64)))</f>
        <v>119.59999999999992</v>
      </c>
      <c r="AJ65" s="14">
        <f>AI65*VLOOKUP('Données projet'!$B$10,Paramètres!$A$1:$I$88,3,0)*VLOOKUP('Données projet'!$B$10,Paramètres!$A$1:$I$88,5,0)</f>
        <v>128.73743999999991</v>
      </c>
      <c r="AK65" s="14">
        <f t="shared" si="35"/>
        <v>33.70445328399731</v>
      </c>
      <c r="AL65" s="22">
        <f t="shared" si="4"/>
        <v>282.91963080296182</v>
      </c>
      <c r="AM65" s="62">
        <f t="shared" si="5"/>
        <v>576.25296413629508</v>
      </c>
      <c r="AN65" s="62">
        <f ca="1">AVERAGE(OFFSET($AM$3,0,0,'Données projet'!$E$10+1,1))-AVERAGE(OFFSET($H$3,0,0,'Données projet'!$E$10+1,1))</f>
        <v>179.61236179838011</v>
      </c>
      <c r="AO65" s="62">
        <f t="shared" si="36"/>
        <v>186.66130555850333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0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22.7</v>
      </c>
      <c r="BD65" s="13">
        <f>IF('Données projet'!$A$88&gt;35,BD64+BC65-BL64,IF(A65&lt;'Données projet'!$A$88,$BA$205^A65,IF(A65='Données projet'!$A$88,'Données projet'!$B$88,BD64+BC65-BL64)))</f>
        <v>449.39999999999969</v>
      </c>
      <c r="BE65" s="14">
        <f>BD65*VLOOKUP('Données projet'!$B$11,Paramètres!$A$1:$I$88,3,0)*VLOOKUP('Données projet'!$B$11,Paramètres!$A$1:$I$88,5,0)</f>
        <v>210.31919999999985</v>
      </c>
      <c r="BF65" s="14">
        <f t="shared" si="37"/>
        <v>52.005332762093687</v>
      </c>
      <c r="BG65" s="22">
        <f t="shared" si="7"/>
        <v>456.88189456064629</v>
      </c>
      <c r="BH65" s="62">
        <f t="shared" si="8"/>
        <v>750.21522789397955</v>
      </c>
      <c r="BI65" s="62">
        <f ca="1">AVERAGE(OFFSET($BH$3,0,0,'Données projet'!$E$11+1,1))-AVERAGE(OFFSET($H$3,0,0,'Données projet'!$E$11+1,1))</f>
        <v>335.00873408144395</v>
      </c>
      <c r="BJ65" s="62">
        <f t="shared" si="38"/>
        <v>106.28577694955948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0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7.9230769230769234</v>
      </c>
      <c r="BY65" s="13">
        <f>IF('Données projet'!$A$114&gt;35,BY64+BX65-CG64,IF(A65&lt;'Données projet'!$A$114,$BV$205^A65,IF(A65='Données projet'!$A$114,'Données projet'!$B$114,BY64+BX65-CG64)))</f>
        <v>160.84615384615375</v>
      </c>
      <c r="BZ65" s="14">
        <f>BY65*VLOOKUP('Données projet'!$B$12,Paramètres!$A$1:$I$88,3,0)*VLOOKUP('Données projet'!$B$12,Paramètres!$A$1:$I$88,5,0)</f>
        <v>96.18599999999995</v>
      </c>
      <c r="CA65" s="14">
        <f t="shared" si="39"/>
        <v>26.051318487555619</v>
      </c>
      <c r="CB65" s="22">
        <f t="shared" si="10"/>
        <v>212.8966630324926</v>
      </c>
      <c r="CC65" s="62">
        <f t="shared" si="11"/>
        <v>506.22999636582591</v>
      </c>
      <c r="CD65" s="62">
        <f ca="1">AVERAGE(OFFSET($CC$3,0,0,'Données projet'!$E$12+1,1))-AVERAGE(OFFSET($H$3,0,0,'Données projet'!$E$12+1,1))</f>
        <v>136.47709057888358</v>
      </c>
      <c r="CE65" s="62">
        <f t="shared" si="40"/>
        <v>99.705248792886493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0</v>
      </c>
      <c r="CL65" s="23">
        <f>EXP(-LN(2)/25)*CL64+(1-EXP(-LN(2)/25))/(LN(2)/25)*Calculateur!CG65*Calculateur!CI65*VLOOKUP('Données projet'!$B$12,Paramètres!$A$1:$I$88,3,0)*0.475*44/12</f>
        <v>0</v>
      </c>
      <c r="CM65" s="23">
        <f>EXP(-LN(2)/2)*CM64+(1-EXP(-LN(2)/2))/(LN(2)/2)*CG65*CJ65*VLOOKUP('Données projet'!$B$12,Paramètres!$A$1:$I$88,3,0)*0.475*44/12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10.7</v>
      </c>
      <c r="CT65" s="13">
        <f>IF('Données projet'!$A$140&gt;35,CT64+CS65-DB64,IF(A65&lt;'Données projet'!$A$140,$CQ$205^A65,IF(A65='Données projet'!$A$140,'Données projet'!$B$140,CT64+CS65-DB64)))</f>
        <v>224.40000000000009</v>
      </c>
      <c r="CU65" s="18">
        <f>CT65*VLOOKUP('Données projet'!$B$13,Paramètres!$A$1:$I$88,3,0)*VLOOKUP('Données projet'!$B$13,Paramètres!$A$1:$I$88,5,0)</f>
        <v>107.93640000000005</v>
      </c>
      <c r="CV65" s="14">
        <f t="shared" si="41"/>
        <v>28.844249724880882</v>
      </c>
      <c r="CW65" s="22">
        <f t="shared" si="13"/>
        <v>238.22629827083426</v>
      </c>
      <c r="CX65" s="62">
        <f t="shared" si="14"/>
        <v>531.55963160416763</v>
      </c>
      <c r="CY65" s="62">
        <f ca="1">AVERAGE(OFFSET($CX$3,0,0,'Données projet'!$E$13+1,1))-AVERAGE(OFFSET($H$3,0,0,'Données projet'!$E$13+1,1))</f>
        <v>205.01234521498333</v>
      </c>
      <c r="CZ65" s="62">
        <f t="shared" si="42"/>
        <v>100.26042113972852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projet'!$B$13,Paramètres!$A$1:$I$88,3,0)*0.475*44/12</f>
        <v>0</v>
      </c>
      <c r="DG65" s="23">
        <f>EXP(-LN(2)/25)*DG64+(1-EXP(-LN(2)/25))/(LN(2)/25)*Calculateur!DB65*Calculateur!DD65*VLOOKUP('Données projet'!$B$13,Paramètres!$A$1:$I$88,3,0)*0.475*44/12</f>
        <v>0</v>
      </c>
      <c r="DH65" s="23">
        <f>EXP(-LN(2)/2)*DH64+(1-EXP(-LN(2)/2))/(LN(2)/2)*DB65*DE65*VLOOKUP('Données projet'!$B$13,Paramètres!$A$1:$I$88,3,0)*0.475*44/12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18.42750000000002</v>
      </c>
      <c r="D66" s="12">
        <f t="shared" si="32"/>
        <v>6.0494820644862202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188.94512470831486</v>
      </c>
      <c r="H66" s="70">
        <f t="shared" si="1"/>
        <v>335.96407709564687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1.8</v>
      </c>
      <c r="N66" s="14">
        <f>IF('Données projet'!$A$36&gt;35,N65+M66-V65,IF(A66&lt;'Données projet'!$A$36,$K$205^A66,IF(A66='Données projet'!$A$36,'Données projet'!$B$36,N65+M66-V65)))</f>
        <v>121.39999999999992</v>
      </c>
      <c r="O66" s="14">
        <f>N66*VLOOKUP('Données projet'!$B$9,Paramètres!$A$1:$I$88,3,0)*VLOOKUP('Données projet'!$B$9,Paramètres!$A$1:$I$88,5,0)</f>
        <v>123.09959999999994</v>
      </c>
      <c r="P66" s="14">
        <f t="shared" si="33"/>
        <v>32.396853612606868</v>
      </c>
      <c r="Q66" s="22">
        <f t="shared" si="53"/>
        <v>270.82299004195687</v>
      </c>
      <c r="R66" s="62">
        <f t="shared" si="0"/>
        <v>564.15632337529019</v>
      </c>
      <c r="S66" s="62">
        <f ca="1">AVERAGE(OFFSET($R$3,0,0,'Données projet'!$E$9+1,1))-AVERAGE(OFFSET($H$3,0,0,'Données projet'!$E$9+1,1))</f>
        <v>167.90363814107491</v>
      </c>
      <c r="T66" s="62">
        <f t="shared" si="34"/>
        <v>174.92847878212234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0</v>
      </c>
      <c r="AB66" s="23">
        <f>EXP(-LN(2)/2)*AB65+(1-EXP(-LN(2)/2))/(LN(2)/2)*V66*Y66*VLOOKUP('Données projet'!$B$9,Paramètres!$A$1:$I$88,3,0)*0.475*44/12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1.8</v>
      </c>
      <c r="AI66" s="14">
        <f>IF('Données projet'!$A$62&gt;35,AI65+AH66-AQ65,IF(A66&lt;'Données projet'!$A$62,$AF$205^A66,IF(A66='Données projet'!$A$62,'Données projet'!$B$62,AI65+AH66-AQ65)))</f>
        <v>121.39999999999992</v>
      </c>
      <c r="AJ66" s="14">
        <f>AI66*VLOOKUP('Données projet'!$B$10,Paramètres!$A$1:$I$88,3,0)*VLOOKUP('Données projet'!$B$10,Paramètres!$A$1:$I$88,5,0)</f>
        <v>130.67495999999991</v>
      </c>
      <c r="AK66" s="14">
        <f t="shared" si="35"/>
        <v>34.15227573368567</v>
      </c>
      <c r="AL66" s="22">
        <f t="shared" si="4"/>
        <v>287.0741022361691</v>
      </c>
      <c r="AM66" s="62">
        <f t="shared" si="5"/>
        <v>580.40743556950247</v>
      </c>
      <c r="AN66" s="62">
        <f ca="1">AVERAGE(OFFSET($AM$3,0,0,'Données projet'!$E$10+1,1))-AVERAGE(OFFSET($H$3,0,0,'Données projet'!$E$10+1,1))</f>
        <v>179.61236179838011</v>
      </c>
      <c r="AO66" s="62">
        <f t="shared" si="36"/>
        <v>186.66130555850333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0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22.7</v>
      </c>
      <c r="BD66" s="13">
        <f>IF('Données projet'!$A$88&gt;35,BD65+BC66-BL65,IF(A66&lt;'Données projet'!$A$88,$BA$205^A66,IF(A66='Données projet'!$A$88,'Données projet'!$B$88,BD65+BC66-BL65)))</f>
        <v>472.09999999999968</v>
      </c>
      <c r="BE66" s="14">
        <f>BD66*VLOOKUP('Données projet'!$B$11,Paramètres!$A$1:$I$88,3,0)*VLOOKUP('Données projet'!$B$11,Paramètres!$A$1:$I$88,5,0)</f>
        <v>220.94279999999983</v>
      </c>
      <c r="BF66" s="14">
        <f t="shared" si="37"/>
        <v>54.31974761568528</v>
      </c>
      <c r="BG66" s="22">
        <f t="shared" si="7"/>
        <v>479.41560376398479</v>
      </c>
      <c r="BH66" s="62">
        <f t="shared" si="8"/>
        <v>772.74893709731805</v>
      </c>
      <c r="BI66" s="62">
        <f ca="1">AVERAGE(OFFSET($BH$3,0,0,'Données projet'!$E$11+1,1))-AVERAGE(OFFSET($H$3,0,0,'Données projet'!$E$11+1,1))</f>
        <v>335.00873408144395</v>
      </c>
      <c r="BJ66" s="62">
        <f t="shared" si="38"/>
        <v>106.28577694955948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0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7.9230769230769234</v>
      </c>
      <c r="BY66" s="13">
        <f>IF('Données projet'!$A$114&gt;35,BY65+BX66-CG65,IF(A66&lt;'Données projet'!$A$114,$BV$205^A66,IF(A66='Données projet'!$A$114,'Données projet'!$B$114,BY65+BX66-CG65)))</f>
        <v>168.76923076923069</v>
      </c>
      <c r="BZ66" s="14">
        <f>BY66*VLOOKUP('Données projet'!$B$12,Paramètres!$A$1:$I$88,3,0)*VLOOKUP('Données projet'!$B$12,Paramètres!$A$1:$I$88,5,0)</f>
        <v>100.92399999999996</v>
      </c>
      <c r="CA66" s="14">
        <f t="shared" si="39"/>
        <v>27.18200983276283</v>
      </c>
      <c r="CB66" s="22">
        <f t="shared" si="10"/>
        <v>223.11796712539521</v>
      </c>
      <c r="CC66" s="62">
        <f t="shared" si="11"/>
        <v>516.4513004587285</v>
      </c>
      <c r="CD66" s="62">
        <f ca="1">AVERAGE(OFFSET($CC$3,0,0,'Données projet'!$E$12+1,1))-AVERAGE(OFFSET($H$3,0,0,'Données projet'!$E$12+1,1))</f>
        <v>136.47709057888358</v>
      </c>
      <c r="CE66" s="62">
        <f t="shared" si="40"/>
        <v>99.705248792886493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0</v>
      </c>
      <c r="CL66" s="23">
        <f>EXP(-LN(2)/25)*CL65+(1-EXP(-LN(2)/25))/(LN(2)/25)*Calculateur!CG66*Calculateur!CI66*VLOOKUP('Données projet'!$B$12,Paramètres!$A$1:$I$88,3,0)*0.475*44/12</f>
        <v>0</v>
      </c>
      <c r="CM66" s="23">
        <f>EXP(-LN(2)/2)*CM65+(1-EXP(-LN(2)/2))/(LN(2)/2)*CG66*CJ66*VLOOKUP('Données projet'!$B$12,Paramètres!$A$1:$I$88,3,0)*0.475*44/12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10.7</v>
      </c>
      <c r="CT66" s="13">
        <f>IF('Données projet'!$A$140&gt;35,CT65+CS66-DB65,IF(A66&lt;'Données projet'!$A$140,$CQ$205^A66,IF(A66='Données projet'!$A$140,'Données projet'!$B$140,CT65+CS66-DB65)))</f>
        <v>235.10000000000008</v>
      </c>
      <c r="CU66" s="18">
        <f>CT66*VLOOKUP('Données projet'!$B$13,Paramètres!$A$1:$I$88,3,0)*VLOOKUP('Données projet'!$B$13,Paramètres!$A$1:$I$88,5,0)</f>
        <v>113.08310000000003</v>
      </c>
      <c r="CV66" s="14">
        <f t="shared" si="41"/>
        <v>30.056214222067155</v>
      </c>
      <c r="CW66" s="22">
        <f t="shared" si="13"/>
        <v>249.30097227010035</v>
      </c>
      <c r="CX66" s="62">
        <f t="shared" si="14"/>
        <v>542.63430560343363</v>
      </c>
      <c r="CY66" s="62">
        <f ca="1">AVERAGE(OFFSET($CX$3,0,0,'Données projet'!$E$13+1,1))-AVERAGE(OFFSET($H$3,0,0,'Données projet'!$E$13+1,1))</f>
        <v>205.01234521498333</v>
      </c>
      <c r="CZ66" s="62">
        <f t="shared" si="42"/>
        <v>100.26042113972852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projet'!$B$13,Paramètres!$A$1:$I$88,3,0)*0.475*44/12</f>
        <v>0</v>
      </c>
      <c r="DG66" s="23">
        <f>EXP(-LN(2)/25)*DG65+(1-EXP(-LN(2)/25))/(LN(2)/25)*Calculateur!DB66*Calculateur!DD66*VLOOKUP('Données projet'!$B$13,Paramètres!$A$1:$I$88,3,0)*0.475*44/12</f>
        <v>0</v>
      </c>
      <c r="DH66" s="23">
        <f>EXP(-LN(2)/2)*DH65+(1-EXP(-LN(2)/2))/(LN(2)/2)*DB66*DE66*VLOOKUP('Données projet'!$B$13,Paramètres!$A$1:$I$88,3,0)*0.475*44/12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18.72000000000002</v>
      </c>
      <c r="D67" s="12">
        <f t="shared" si="32"/>
        <v>6.13425052827081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191.85737249893273</v>
      </c>
      <c r="H67" s="70">
        <f t="shared" si="1"/>
        <v>336.62115300340503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1.8</v>
      </c>
      <c r="N67" s="14">
        <f>IF('Données projet'!$A$36&gt;35,N66+M67-V66,IF(A67&lt;'Données projet'!$A$36,$K$205^A67,IF(A67='Données projet'!$A$36,'Données projet'!$B$36,N66+M67-V66)))</f>
        <v>123.19999999999992</v>
      </c>
      <c r="O67" s="14">
        <f>N67*VLOOKUP('Données projet'!$B$9,Paramètres!$A$1:$I$88,3,0)*VLOOKUP('Données projet'!$B$9,Paramètres!$A$1:$I$88,5,0)</f>
        <v>124.92479999999993</v>
      </c>
      <c r="P67" s="14">
        <f t="shared" si="33"/>
        <v>32.820925500842712</v>
      </c>
      <c r="Q67" s="22">
        <f t="shared" ref="Q67:Q98" si="54">(O67+P67)*0.475*44/12</f>
        <v>274.74047191396761</v>
      </c>
      <c r="R67" s="62">
        <f t="shared" ref="R67:R130" si="55">Q67+(I67+J67)*44/12</f>
        <v>568.07380524730092</v>
      </c>
      <c r="S67" s="62">
        <f ca="1">AVERAGE(OFFSET($R$3,0,0,'Données projet'!$E$9+1,1))-AVERAGE(OFFSET($H$3,0,0,'Données projet'!$E$9+1,1))</f>
        <v>167.90363814107491</v>
      </c>
      <c r="T67" s="62">
        <f t="shared" si="34"/>
        <v>174.92847878212234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0</v>
      </c>
      <c r="AB67" s="23">
        <f>EXP(-LN(2)/2)*AB66+(1-EXP(-LN(2)/2))/(LN(2)/2)*V67*Y67*VLOOKUP('Données projet'!$B$9,Paramètres!$A$1:$I$88,3,0)*0.475*44/12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1.8</v>
      </c>
      <c r="AI67" s="14">
        <f>IF('Données projet'!$A$62&gt;35,AI66+AH67-AQ66,IF(A67&lt;'Données projet'!$A$62,$AF$205^A67,IF(A67='Données projet'!$A$62,'Données projet'!$B$62,AI66+AH67-AQ66)))</f>
        <v>123.19999999999992</v>
      </c>
      <c r="AJ67" s="14">
        <f>AI67*VLOOKUP('Données projet'!$B$10,Paramètres!$A$1:$I$88,3,0)*VLOOKUP('Données projet'!$B$10,Paramètres!$A$1:$I$88,5,0)</f>
        <v>132.61247999999992</v>
      </c>
      <c r="AK67" s="14">
        <f t="shared" si="35"/>
        <v>34.599325938965436</v>
      </c>
      <c r="AL67" s="22">
        <f t="shared" si="4"/>
        <v>291.22722867703129</v>
      </c>
      <c r="AM67" s="62">
        <f t="shared" si="5"/>
        <v>584.56056201036461</v>
      </c>
      <c r="AN67" s="62">
        <f ca="1">AVERAGE(OFFSET($AM$3,0,0,'Données projet'!$E$10+1,1))-AVERAGE(OFFSET($H$3,0,0,'Données projet'!$E$10+1,1))</f>
        <v>179.61236179838011</v>
      </c>
      <c r="AO67" s="62">
        <f t="shared" si="36"/>
        <v>186.66130555850333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0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22.7</v>
      </c>
      <c r="BD67" s="13">
        <f>IF('Données projet'!$A$88&gt;35,BD66+BC67-BL66,IF(A67&lt;'Données projet'!$A$88,$BA$205^A67,IF(A67='Données projet'!$A$88,'Données projet'!$B$88,BD66+BC67-BL66)))</f>
        <v>494.79999999999967</v>
      </c>
      <c r="BE67" s="14">
        <f>BD67*VLOOKUP('Données projet'!$B$11,Paramètres!$A$1:$I$88,3,0)*VLOOKUP('Données projet'!$B$11,Paramètres!$A$1:$I$88,5,0)</f>
        <v>231.56639999999985</v>
      </c>
      <c r="BF67" s="14">
        <f t="shared" si="37"/>
        <v>56.621239926036594</v>
      </c>
      <c r="BG67" s="22">
        <f t="shared" si="7"/>
        <v>501.92680620451353</v>
      </c>
      <c r="BH67" s="62">
        <f t="shared" si="8"/>
        <v>795.26013953784684</v>
      </c>
      <c r="BI67" s="62">
        <f ca="1">AVERAGE(OFFSET($BH$3,0,0,'Données projet'!$E$11+1,1))-AVERAGE(OFFSET($H$3,0,0,'Données projet'!$E$11+1,1))</f>
        <v>335.00873408144395</v>
      </c>
      <c r="BJ67" s="62">
        <f t="shared" si="38"/>
        <v>106.28577694955948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0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7.9230769230769234</v>
      </c>
      <c r="BY67" s="13">
        <f>IF('Données projet'!$A$114&gt;35,BY66+BX67-CG66,IF(A67&lt;'Données projet'!$A$114,$BV$205^A67,IF(A67='Données projet'!$A$114,'Données projet'!$B$114,BY66+BX67-CG66)))</f>
        <v>176.69230769230762</v>
      </c>
      <c r="BZ67" s="14">
        <f>BY67*VLOOKUP('Données projet'!$B$12,Paramètres!$A$1:$I$88,3,0)*VLOOKUP('Données projet'!$B$12,Paramètres!$A$1:$I$88,5,0)</f>
        <v>105.66199999999998</v>
      </c>
      <c r="CA67" s="14">
        <f t="shared" si="39"/>
        <v>28.306536930668631</v>
      </c>
      <c r="CB67" s="22">
        <f t="shared" si="10"/>
        <v>233.32853515424782</v>
      </c>
      <c r="CC67" s="62">
        <f t="shared" si="11"/>
        <v>526.66186848758116</v>
      </c>
      <c r="CD67" s="62">
        <f ca="1">AVERAGE(OFFSET($CC$3,0,0,'Données projet'!$E$12+1,1))-AVERAGE(OFFSET($H$3,0,0,'Données projet'!$E$12+1,1))</f>
        <v>136.47709057888358</v>
      </c>
      <c r="CE67" s="62">
        <f t="shared" si="40"/>
        <v>99.705248792886493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0</v>
      </c>
      <c r="CL67" s="23">
        <f>EXP(-LN(2)/25)*CL66+(1-EXP(-LN(2)/25))/(LN(2)/25)*Calculateur!CG67*Calculateur!CI67*VLOOKUP('Données projet'!$B$12,Paramètres!$A$1:$I$88,3,0)*0.475*44/12</f>
        <v>0</v>
      </c>
      <c r="CM67" s="23">
        <f>EXP(-LN(2)/2)*CM66+(1-EXP(-LN(2)/2))/(LN(2)/2)*CG67*CJ67*VLOOKUP('Données projet'!$B$12,Paramètres!$A$1:$I$88,3,0)*0.475*44/12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10.7</v>
      </c>
      <c r="CT67" s="13">
        <f>IF('Données projet'!$A$140&gt;35,CT66+CS67-DB66,IF(A67&lt;'Données projet'!$A$140,$CQ$205^A67,IF(A67='Données projet'!$A$140,'Données projet'!$B$140,CT66+CS67-DB66)))</f>
        <v>245.80000000000007</v>
      </c>
      <c r="CU67" s="18">
        <f>CT67*VLOOKUP('Données projet'!$B$13,Paramètres!$A$1:$I$88,3,0)*VLOOKUP('Données projet'!$B$13,Paramètres!$A$1:$I$88,5,0)</f>
        <v>118.22980000000004</v>
      </c>
      <c r="CV67" s="14">
        <f t="shared" si="41"/>
        <v>31.261772784524787</v>
      </c>
      <c r="CW67" s="22">
        <f t="shared" si="13"/>
        <v>260.36448926638076</v>
      </c>
      <c r="CX67" s="62">
        <f t="shared" si="14"/>
        <v>553.69782259971407</v>
      </c>
      <c r="CY67" s="62">
        <f ca="1">AVERAGE(OFFSET($CX$3,0,0,'Données projet'!$E$13+1,1))-AVERAGE(OFFSET($H$3,0,0,'Données projet'!$E$13+1,1))</f>
        <v>205.01234521498333</v>
      </c>
      <c r="CZ67" s="62">
        <f t="shared" si="42"/>
        <v>100.26042113972852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projet'!$B$13,Paramètres!$A$1:$I$88,3,0)*0.475*44/12</f>
        <v>0</v>
      </c>
      <c r="DG67" s="23">
        <f>EXP(-LN(2)/25)*DG66+(1-EXP(-LN(2)/25))/(LN(2)/25)*Calculateur!DB67*Calculateur!DD67*VLOOKUP('Données projet'!$B$13,Paramètres!$A$1:$I$88,3,0)*0.475*44/12</f>
        <v>0</v>
      </c>
      <c r="DH67" s="23">
        <f>EXP(-LN(2)/2)*DH66+(1-EXP(-LN(2)/2))/(LN(2)/2)*DB67*DE67*VLOOKUP('Données projet'!$B$13,Paramètres!$A$1:$I$88,3,0)*0.475*44/12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19.012500000000021</v>
      </c>
      <c r="D68" s="12">
        <f t="shared" si="32"/>
        <v>6.2188649529006579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194.76843121537365</v>
      </c>
      <c r="H68" s="70">
        <f t="shared" ref="H68:H131" si="56">(B68+E68+F68)*44/12+(C68+D68)*0.475*44/12</f>
        <v>337.27796062630199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125</v>
      </c>
      <c r="L68" s="13">
        <f>VLOOKUP(A68,'Données projet'!$A$35:$I$55,9,0)</f>
        <v>1.8</v>
      </c>
      <c r="M68" s="13">
        <f t="array" ref="M68">INDEX(L:L,MIN(IF(ISNUMBER(L68:L264),ROW(L68:L264),"")))</f>
        <v>1.8</v>
      </c>
      <c r="N68" s="14">
        <f>IF('Données projet'!$A$36&gt;35,N67+M68-V67,IF(A68&lt;'Données projet'!$A$36,$K$205^A68,IF(A68='Données projet'!$A$36,'Données projet'!$B$36,N67+M68-V67)))</f>
        <v>124.99999999999991</v>
      </c>
      <c r="O68" s="14">
        <f>N68*VLOOKUP('Données projet'!$B$9,Paramètres!$A$1:$I$88,3,0)*VLOOKUP('Données projet'!$B$9,Paramètres!$A$1:$I$88,5,0)</f>
        <v>126.74999999999991</v>
      </c>
      <c r="P68" s="14">
        <f t="shared" si="33"/>
        <v>33.244276777293955</v>
      </c>
      <c r="Q68" s="22">
        <f t="shared" si="54"/>
        <v>278.65669872045345</v>
      </c>
      <c r="R68" s="62">
        <f t="shared" si="55"/>
        <v>571.99003205378676</v>
      </c>
      <c r="S68" s="62">
        <f ca="1">AVERAGE(OFFSET($R$3,0,0,'Données projet'!$E$9+1,1))-AVERAGE(OFFSET($H$3,0,0,'Données projet'!$E$9+1,1))</f>
        <v>167.90363814107491</v>
      </c>
      <c r="T68" s="62">
        <f t="shared" si="34"/>
        <v>174.92847878212234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0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125</v>
      </c>
      <c r="AG68" s="13">
        <f>VLOOKUP(A68,'Données projet'!$A$61:$I$81,9,0)</f>
        <v>1.8</v>
      </c>
      <c r="AH68" s="13">
        <f t="array" ref="AH68">INDEX(AG:AG,MIN(IF(ISNUMBER(AG68:AG264),ROW(AG68:AG264),"")))</f>
        <v>1.8</v>
      </c>
      <c r="AI68" s="14">
        <f>IF('Données projet'!$A$62&gt;35,AI67+AH68-AQ67,IF(A68&lt;'Données projet'!$A$62,$AF$205^A68,IF(A68='Données projet'!$A$62,'Données projet'!$B$62,AI67+AH68-AQ67)))</f>
        <v>124.99999999999991</v>
      </c>
      <c r="AJ68" s="14">
        <f>AI68*VLOOKUP('Données projet'!$B$10,Paramètres!$A$1:$I$88,3,0)*VLOOKUP('Données projet'!$B$10,Paramètres!$A$1:$I$88,5,0)</f>
        <v>134.5499999999999</v>
      </c>
      <c r="AK68" s="14">
        <f t="shared" si="35"/>
        <v>35.045616486142066</v>
      </c>
      <c r="AL68" s="22">
        <f t="shared" ref="AL68:AL131" si="58">(AJ68+AK68)*0.475*44/12</f>
        <v>295.37903204669726</v>
      </c>
      <c r="AM68" s="62">
        <f t="shared" ref="AM68:AM131" si="59">AL68+(AD68+AE68)*44/12</f>
        <v>588.71236538003063</v>
      </c>
      <c r="AN68" s="62">
        <f ca="1">AVERAGE(OFFSET($AM$3,0,0,'Données projet'!$E$10+1,1))-AVERAGE(OFFSET($H$3,0,0,'Données projet'!$E$10+1,1))</f>
        <v>179.61236179838011</v>
      </c>
      <c r="AO68" s="62">
        <f t="shared" si="36"/>
        <v>186.66130555850333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0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22.7</v>
      </c>
      <c r="BD68" s="13">
        <f>IF('Données projet'!$A$88&gt;35,BD67+BC68-BL67,IF(A68&lt;'Données projet'!$A$88,$BA$205^A68,IF(A68='Données projet'!$A$88,'Données projet'!$B$88,BD67+BC68-BL67)))</f>
        <v>517.49999999999966</v>
      </c>
      <c r="BE68" s="14">
        <f>BD68*VLOOKUP('Données projet'!$B$11,Paramètres!$A$1:$I$88,3,0)*VLOOKUP('Données projet'!$B$11,Paramètres!$A$1:$I$88,5,0)</f>
        <v>242.18999999999983</v>
      </c>
      <c r="BF68" s="14">
        <f t="shared" si="37"/>
        <v>58.910470259429303</v>
      </c>
      <c r="BG68" s="22">
        <f t="shared" ref="BG68:BG131" si="61">(BE68+BF68)*0.475*44/12</f>
        <v>524.41665236850577</v>
      </c>
      <c r="BH68" s="62">
        <f t="shared" ref="BH68:BH131" si="62">BG68+(AY68+AZ68)*44/12</f>
        <v>817.74998570183902</v>
      </c>
      <c r="BI68" s="62">
        <f ca="1">AVERAGE(OFFSET($BH$3,0,0,'Données projet'!$E$11+1,1))-AVERAGE(OFFSET($H$3,0,0,'Données projet'!$E$11+1,1))</f>
        <v>335.00873408144395</v>
      </c>
      <c r="BJ68" s="62">
        <f t="shared" si="38"/>
        <v>106.28577694955948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0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7.9230769230769234</v>
      </c>
      <c r="BY68" s="13">
        <f>IF('Données projet'!$A$114&gt;35,BY67+BX68-CG67,IF(A68&lt;'Données projet'!$A$114,$BV$205^A68,IF(A68='Données projet'!$A$114,'Données projet'!$B$114,BY67+BX68-CG67)))</f>
        <v>184.61538461538456</v>
      </c>
      <c r="BZ68" s="14">
        <f>BY68*VLOOKUP('Données projet'!$B$12,Paramètres!$A$1:$I$88,3,0)*VLOOKUP('Données projet'!$B$12,Paramètres!$A$1:$I$88,5,0)</f>
        <v>110.39999999999998</v>
      </c>
      <c r="CA68" s="14">
        <f t="shared" si="39"/>
        <v>29.425207774110973</v>
      </c>
      <c r="CB68" s="22">
        <f t="shared" ref="CB68:CB131" si="64">(BZ68+CA68)*0.475*44/12</f>
        <v>243.52890353990992</v>
      </c>
      <c r="CC68" s="62">
        <f t="shared" ref="CC68:CC131" si="65">CB68+(BT68+BU68)*44/12</f>
        <v>536.86223687324321</v>
      </c>
      <c r="CD68" s="62">
        <f ca="1">AVERAGE(OFFSET($CC$3,0,0,'Données projet'!$E$12+1,1))-AVERAGE(OFFSET($H$3,0,0,'Données projet'!$E$12+1,1))</f>
        <v>136.47709057888358</v>
      </c>
      <c r="CE68" s="62">
        <f t="shared" si="40"/>
        <v>99.705248792886493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0</v>
      </c>
      <c r="CL68" s="23">
        <f>EXP(-LN(2)/25)*CL67+(1-EXP(-LN(2)/25))/(LN(2)/25)*Calculateur!CG68*Calculateur!CI68*VLOOKUP('Données projet'!$B$12,Paramètres!$A$1:$I$88,3,0)*0.475*44/12</f>
        <v>0</v>
      </c>
      <c r="CM68" s="23">
        <f>EXP(-LN(2)/2)*CM67+(1-EXP(-LN(2)/2))/(LN(2)/2)*CG68*CJ68*VLOOKUP('Données projet'!$B$12,Paramètres!$A$1:$I$88,3,0)*0.475*44/12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10.7</v>
      </c>
      <c r="CT68" s="13">
        <f>IF('Données projet'!$A$140&gt;35,CT67+CS68-DB67,IF(A68&lt;'Données projet'!$A$140,$CQ$205^A68,IF(A68='Données projet'!$A$140,'Données projet'!$B$140,CT67+CS68-DB67)))</f>
        <v>256.50000000000006</v>
      </c>
      <c r="CU68" s="18">
        <f>CT68*VLOOKUP('Données projet'!$B$13,Paramètres!$A$1:$I$88,3,0)*VLOOKUP('Données projet'!$B$13,Paramètres!$A$1:$I$88,5,0)</f>
        <v>123.37650000000002</v>
      </c>
      <c r="CV68" s="14">
        <f t="shared" si="41"/>
        <v>32.461236143200701</v>
      </c>
      <c r="CW68" s="22">
        <f t="shared" ref="CW68:CW131" si="67">(CU68+CV68)*0.475*44/12</f>
        <v>271.41739044940789</v>
      </c>
      <c r="CX68" s="62">
        <f t="shared" ref="CX68:CX131" si="68">CW68+(CO68+CP68)*44/12</f>
        <v>564.75072378274126</v>
      </c>
      <c r="CY68" s="62">
        <f ca="1">AVERAGE(OFFSET($CX$3,0,0,'Données projet'!$E$13+1,1))-AVERAGE(OFFSET($H$3,0,0,'Données projet'!$E$13+1,1))</f>
        <v>205.01234521498333</v>
      </c>
      <c r="CZ68" s="62">
        <f t="shared" si="42"/>
        <v>100.26042113972852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projet'!$B$13,Paramètres!$A$1:$I$88,3,0)*0.475*44/12</f>
        <v>0</v>
      </c>
      <c r="DG68" s="23">
        <f>EXP(-LN(2)/25)*DG67+(1-EXP(-LN(2)/25))/(LN(2)/25)*Calculateur!DB68*Calculateur!DD68*VLOOKUP('Données projet'!$B$13,Paramètres!$A$1:$I$88,3,0)*0.475*44/12</f>
        <v>0</v>
      </c>
      <c r="DH68" s="23">
        <f>EXP(-LN(2)/2)*DH67+(1-EXP(-LN(2)/2))/(LN(2)/2)*DB68*DE68*VLOOKUP('Données projet'!$B$13,Paramètres!$A$1:$I$88,3,0)*0.475*44/12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19.305000000000021</v>
      </c>
      <c r="D69" s="12">
        <f t="shared" ref="D69:D132" si="86">IFERROR(EXP(-1.0587+0.8836*LN(C69)+0.284),0)</f>
        <v>6.3033279819000203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197.6783212637898</v>
      </c>
      <c r="H69" s="70">
        <f t="shared" si="56"/>
        <v>337.93450456847586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1.6</v>
      </c>
      <c r="N69" s="14">
        <f>IF('Données projet'!$A$36&gt;35,N68+M69-V68,IF(A69&lt;'Données projet'!$A$36,$K$205^A69,IF(A69='Données projet'!$A$36,'Données projet'!$B$36,N68+M69-V68)))</f>
        <v>126.59999999999991</v>
      </c>
      <c r="O69" s="14">
        <f>N69*VLOOKUP('Données projet'!$B$9,Paramètres!$A$1:$I$88,3,0)*VLOOKUP('Données projet'!$B$9,Paramètres!$A$1:$I$88,5,0)</f>
        <v>128.37239999999991</v>
      </c>
      <c r="P69" s="14">
        <f t="shared" ref="P69:P132" si="87">EXP(-1.0587+0.8836*LN(O69)+0.284)</f>
        <v>33.61999343087701</v>
      </c>
      <c r="Q69" s="22">
        <f t="shared" si="54"/>
        <v>282.13675189211062</v>
      </c>
      <c r="R69" s="62">
        <f t="shared" si="55"/>
        <v>575.47008522544388</v>
      </c>
      <c r="S69" s="62">
        <f ca="1">AVERAGE(OFFSET($R$3,0,0,'Données projet'!$E$9+1,1))-AVERAGE(OFFSET($H$3,0,0,'Données projet'!$E$9+1,1))</f>
        <v>167.90363814107491</v>
      </c>
      <c r="T69" s="62">
        <f t="shared" ref="T69:T132" si="88">$T$3</f>
        <v>174.92847878212234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0</v>
      </c>
      <c r="AB69" s="23">
        <f>EXP(-LN(2)/2)*AB68+(1-EXP(-LN(2)/2))/(LN(2)/2)*V69*Y69*VLOOKUP('Données projet'!$B$9,Paramètres!$A$1:$I$88,3,0)*0.475*44/12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1.6</v>
      </c>
      <c r="AI69" s="14">
        <f>IF('Données projet'!$A$62&gt;35,AI68+AH69-AQ68,IF(A69&lt;'Données projet'!$A$62,$AF$205^A69,IF(A69='Données projet'!$A$62,'Données projet'!$B$62,AI68+AH69-AQ68)))</f>
        <v>126.59999999999991</v>
      </c>
      <c r="AJ69" s="14">
        <f>AI69*VLOOKUP('Données projet'!$B$10,Paramètres!$A$1:$I$88,3,0)*VLOOKUP('Données projet'!$B$10,Paramètres!$A$1:$I$88,5,0)</f>
        <v>136.2722399999999</v>
      </c>
      <c r="AK69" s="14">
        <f t="shared" ref="AK69:AK132" si="89">EXP(-1.0587+0.8836*LN(AJ69)+0.284)</f>
        <v>35.441691330456969</v>
      </c>
      <c r="AL69" s="22">
        <f t="shared" si="58"/>
        <v>299.06843040054571</v>
      </c>
      <c r="AM69" s="62">
        <f t="shared" si="59"/>
        <v>592.40176373387908</v>
      </c>
      <c r="AN69" s="62">
        <f ca="1">AVERAGE(OFFSET($AM$3,0,0,'Données projet'!$E$10+1,1))-AVERAGE(OFFSET($H$3,0,0,'Données projet'!$E$10+1,1))</f>
        <v>179.61236179838011</v>
      </c>
      <c r="AO69" s="62">
        <f t="shared" ref="AO69:AO132" si="90">$AO$3</f>
        <v>186.66130555850333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0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22.7</v>
      </c>
      <c r="BD69" s="13">
        <f>IF('Données projet'!$A$88&gt;35,BD68+BC69-BL68,IF(A69&lt;'Données projet'!$A$88,$BA$205^A69,IF(A69='Données projet'!$A$88,'Données projet'!$B$88,BD68+BC69-BL68)))</f>
        <v>540.1999999999997</v>
      </c>
      <c r="BE69" s="14">
        <f>BD69*VLOOKUP('Données projet'!$B$11,Paramètres!$A$1:$I$88,3,0)*VLOOKUP('Données projet'!$B$11,Paramètres!$A$1:$I$88,5,0)</f>
        <v>252.81359999999987</v>
      </c>
      <c r="BF69" s="14">
        <f t="shared" ref="BF69:BF132" si="91">EXP(-1.0587+0.8836*LN(BE69)+0.284)</f>
        <v>61.188037954168315</v>
      </c>
      <c r="BG69" s="22">
        <f t="shared" si="61"/>
        <v>546.88618610350966</v>
      </c>
      <c r="BH69" s="62">
        <f t="shared" si="62"/>
        <v>840.21951943684303</v>
      </c>
      <c r="BI69" s="62">
        <f ca="1">AVERAGE(OFFSET($BH$3,0,0,'Données projet'!$E$11+1,1))-AVERAGE(OFFSET($H$3,0,0,'Données projet'!$E$11+1,1))</f>
        <v>335.00873408144395</v>
      </c>
      <c r="BJ69" s="62">
        <f t="shared" ref="BJ69:BJ132" si="92">$BJ$3</f>
        <v>106.28577694955948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0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7.9230769230769234</v>
      </c>
      <c r="BY69" s="13">
        <f>IF('Données projet'!$A$114&gt;35,BY68+BX69-CG68,IF(A69&lt;'Données projet'!$A$114,$BV$205^A69,IF(A69='Données projet'!$A$114,'Données projet'!$B$114,BY68+BX69-CG68)))</f>
        <v>192.53846153846149</v>
      </c>
      <c r="BZ69" s="14">
        <f>BY69*VLOOKUP('Données projet'!$B$12,Paramètres!$A$1:$I$88,3,0)*VLOOKUP('Données projet'!$B$12,Paramètres!$A$1:$I$88,5,0)</f>
        <v>115.13799999999998</v>
      </c>
      <c r="CA69" s="14">
        <f t="shared" ref="CA69:CA132" si="93">EXP(-1.0587+0.8836*LN(BZ69)+0.284)</f>
        <v>30.538302424714985</v>
      </c>
      <c r="CB69" s="22">
        <f t="shared" si="64"/>
        <v>253.71956005637853</v>
      </c>
      <c r="CC69" s="62">
        <f t="shared" si="65"/>
        <v>547.05289338971181</v>
      </c>
      <c r="CD69" s="62">
        <f ca="1">AVERAGE(OFFSET($CC$3,0,0,'Données projet'!$E$12+1,1))-AVERAGE(OFFSET($H$3,0,0,'Données projet'!$E$12+1,1))</f>
        <v>136.47709057888358</v>
      </c>
      <c r="CE69" s="62">
        <f t="shared" ref="CE69:CE132" si="94">$CE$3</f>
        <v>99.705248792886493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0</v>
      </c>
      <c r="CL69" s="23">
        <f>EXP(-LN(2)/25)*CL68+(1-EXP(-LN(2)/25))/(LN(2)/25)*Calculateur!CG69*Calculateur!CI69*VLOOKUP('Données projet'!$B$12,Paramètres!$A$1:$I$88,3,0)*0.475*44/12</f>
        <v>0</v>
      </c>
      <c r="CM69" s="23">
        <f>EXP(-LN(2)/2)*CM68+(1-EXP(-LN(2)/2))/(LN(2)/2)*CG69*CJ69*VLOOKUP('Données projet'!$B$12,Paramètres!$A$1:$I$88,3,0)*0.475*44/12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10.7</v>
      </c>
      <c r="CT69" s="13">
        <f>IF('Données projet'!$A$140&gt;35,CT68+CS69-DB68,IF(A69&lt;'Données projet'!$A$140,$CQ$205^A69,IF(A69='Données projet'!$A$140,'Données projet'!$B$140,CT68+CS69-DB68)))</f>
        <v>267.20000000000005</v>
      </c>
      <c r="CU69" s="18">
        <f>CT69*VLOOKUP('Données projet'!$B$13,Paramètres!$A$1:$I$88,3,0)*VLOOKUP('Données projet'!$B$13,Paramètres!$A$1:$I$88,5,0)</f>
        <v>128.52320000000003</v>
      </c>
      <c r="CV69" s="14">
        <f t="shared" ref="CV69:CV132" si="95">EXP(-1.0587+0.8836*LN(CU69)+0.284)</f>
        <v>33.654887637825418</v>
      </c>
      <c r="CW69" s="22">
        <f t="shared" si="67"/>
        <v>282.46016930254598</v>
      </c>
      <c r="CX69" s="62">
        <f t="shared" si="68"/>
        <v>575.79350263587935</v>
      </c>
      <c r="CY69" s="62">
        <f ca="1">AVERAGE(OFFSET($CX$3,0,0,'Données projet'!$E$13+1,1))-AVERAGE(OFFSET($H$3,0,0,'Données projet'!$E$13+1,1))</f>
        <v>205.01234521498333</v>
      </c>
      <c r="CZ69" s="62">
        <f t="shared" ref="CZ69:CZ132" si="96">$CZ$3</f>
        <v>100.26042113972852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projet'!$B$13,Paramètres!$A$1:$I$88,3,0)*0.475*44/12</f>
        <v>0</v>
      </c>
      <c r="DG69" s="23">
        <f>EXP(-LN(2)/25)*DG68+(1-EXP(-LN(2)/25))/(LN(2)/25)*Calculateur!DB69*Calculateur!DD69*VLOOKUP('Données projet'!$B$13,Paramètres!$A$1:$I$88,3,0)*0.475*44/12</f>
        <v>0</v>
      </c>
      <c r="DH69" s="23">
        <f>EXP(-LN(2)/2)*DH68+(1-EXP(-LN(2)/2))/(LN(2)/2)*DB69*DE69*VLOOKUP('Données projet'!$B$13,Paramètres!$A$1:$I$88,3,0)*0.475*44/12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19.597500000000021</v>
      </c>
      <c r="D70" s="12">
        <f t="shared" si="86"/>
        <v>6.3876421740891693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200.58706239647799</v>
      </c>
      <c r="H70" s="70">
        <f t="shared" si="56"/>
        <v>338.59078928653867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1.6</v>
      </c>
      <c r="N70" s="14">
        <f>IF('Données projet'!$A$36&gt;35,N69+M70-V69,IF(A70&lt;'Données projet'!$A$36,$K$205^A70,IF(A70='Données projet'!$A$36,'Données projet'!$B$36,N69+M70-V69)))</f>
        <v>128.1999999999999</v>
      </c>
      <c r="O70" s="14">
        <f>N70*VLOOKUP('Données projet'!$B$9,Paramètres!$A$1:$I$88,3,0)*VLOOKUP('Données projet'!$B$9,Paramètres!$A$1:$I$88,5,0)</f>
        <v>129.99479999999991</v>
      </c>
      <c r="P70" s="14">
        <f t="shared" si="87"/>
        <v>33.99515776222821</v>
      </c>
      <c r="Q70" s="22">
        <f t="shared" si="54"/>
        <v>285.61584310254733</v>
      </c>
      <c r="R70" s="62">
        <f t="shared" si="55"/>
        <v>578.94917643588064</v>
      </c>
      <c r="S70" s="62">
        <f ca="1">AVERAGE(OFFSET($R$3,0,0,'Données projet'!$E$9+1,1))-AVERAGE(OFFSET($H$3,0,0,'Données projet'!$E$9+1,1))</f>
        <v>167.90363814107491</v>
      </c>
      <c r="T70" s="62">
        <f t="shared" si="88"/>
        <v>174.92847878212234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0</v>
      </c>
      <c r="AB70" s="23">
        <f>EXP(-LN(2)/2)*AB69+(1-EXP(-LN(2)/2))/(LN(2)/2)*V70*Y70*VLOOKUP('Données projet'!$B$9,Paramètres!$A$1:$I$88,3,0)*0.475*44/12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1.6</v>
      </c>
      <c r="AI70" s="14">
        <f>IF('Données projet'!$A$62&gt;35,AI69+AH70-AQ69,IF(A70&lt;'Données projet'!$A$62,$AF$205^A70,IF(A70='Données projet'!$A$62,'Données projet'!$B$62,AI69+AH70-AQ69)))</f>
        <v>128.1999999999999</v>
      </c>
      <c r="AJ70" s="14">
        <f>AI70*VLOOKUP('Données projet'!$B$10,Paramètres!$A$1:$I$88,3,0)*VLOOKUP('Données projet'!$B$10,Paramètres!$A$1:$I$88,5,0)</f>
        <v>137.9944799999999</v>
      </c>
      <c r="AK70" s="14">
        <f t="shared" si="89"/>
        <v>35.83718392498362</v>
      </c>
      <c r="AL70" s="22">
        <f t="shared" si="58"/>
        <v>302.75681466934628</v>
      </c>
      <c r="AM70" s="62">
        <f t="shared" si="59"/>
        <v>596.0901480026796</v>
      </c>
      <c r="AN70" s="62">
        <f ca="1">AVERAGE(OFFSET($AM$3,0,0,'Données projet'!$E$10+1,1))-AVERAGE(OFFSET($H$3,0,0,'Données projet'!$E$10+1,1))</f>
        <v>179.61236179838011</v>
      </c>
      <c r="AO70" s="62">
        <f t="shared" si="90"/>
        <v>186.66130555850333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0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22.7</v>
      </c>
      <c r="BD70" s="13">
        <f>IF('Données projet'!$A$88&gt;35,BD69+BC70-BL69,IF(A70&lt;'Données projet'!$A$88,$BA$205^A70,IF(A70='Données projet'!$A$88,'Données projet'!$B$88,BD69+BC70-BL69)))</f>
        <v>562.89999999999975</v>
      </c>
      <c r="BE70" s="14">
        <f>BD70*VLOOKUP('Données projet'!$B$11,Paramètres!$A$1:$I$88,3,0)*VLOOKUP('Données projet'!$B$11,Paramètres!$A$1:$I$88,5,0)</f>
        <v>263.43719999999985</v>
      </c>
      <c r="BF70" s="14">
        <f t="shared" si="91"/>
        <v>63.454489128933133</v>
      </c>
      <c r="BG70" s="22">
        <f t="shared" si="61"/>
        <v>569.33635856622493</v>
      </c>
      <c r="BH70" s="62">
        <f t="shared" si="62"/>
        <v>862.6696918995583</v>
      </c>
      <c r="BI70" s="62">
        <f ca="1">AVERAGE(OFFSET($BH$3,0,0,'Données projet'!$E$11+1,1))-AVERAGE(OFFSET($H$3,0,0,'Données projet'!$E$11+1,1))</f>
        <v>335.00873408144395</v>
      </c>
      <c r="BJ70" s="62">
        <f t="shared" si="92"/>
        <v>106.28577694955948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0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7.9230769230769234</v>
      </c>
      <c r="BY70" s="13">
        <f>IF('Données projet'!$A$114&gt;35,BY69+BX70-CG69,IF(A70&lt;'Données projet'!$A$114,$BV$205^A70,IF(A70='Données projet'!$A$114,'Données projet'!$B$114,BY69+BX70-CG69)))</f>
        <v>200.46153846153842</v>
      </c>
      <c r="BZ70" s="14">
        <f>BY70*VLOOKUP('Données projet'!$B$12,Paramètres!$A$1:$I$88,3,0)*VLOOKUP('Données projet'!$B$12,Paramètres!$A$1:$I$88,5,0)</f>
        <v>119.87599999999998</v>
      </c>
      <c r="CA70" s="14">
        <f t="shared" si="93"/>
        <v>31.646076590458268</v>
      </c>
      <c r="CB70" s="22">
        <f t="shared" si="64"/>
        <v>263.90095006171481</v>
      </c>
      <c r="CC70" s="62">
        <f t="shared" si="65"/>
        <v>557.23428339504812</v>
      </c>
      <c r="CD70" s="62">
        <f ca="1">AVERAGE(OFFSET($CC$3,0,0,'Données projet'!$E$12+1,1))-AVERAGE(OFFSET($H$3,0,0,'Données projet'!$E$12+1,1))</f>
        <v>136.47709057888358</v>
      </c>
      <c r="CE70" s="62">
        <f t="shared" si="94"/>
        <v>99.705248792886493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0</v>
      </c>
      <c r="CL70" s="23">
        <f>EXP(-LN(2)/25)*CL69+(1-EXP(-LN(2)/25))/(LN(2)/25)*Calculateur!CG70*Calculateur!CI70*VLOOKUP('Données projet'!$B$12,Paramètres!$A$1:$I$88,3,0)*0.475*44/12</f>
        <v>0</v>
      </c>
      <c r="CM70" s="23">
        <f>EXP(-LN(2)/2)*CM69+(1-EXP(-LN(2)/2))/(LN(2)/2)*CG70*CJ70*VLOOKUP('Données projet'!$B$12,Paramètres!$A$1:$I$88,3,0)*0.475*44/12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10.7</v>
      </c>
      <c r="CT70" s="13">
        <f>IF('Données projet'!$A$140&gt;35,CT69+CS70-DB69,IF(A70&lt;'Données projet'!$A$140,$CQ$205^A70,IF(A70='Données projet'!$A$140,'Données projet'!$B$140,CT69+CS70-DB69)))</f>
        <v>277.90000000000003</v>
      </c>
      <c r="CU70" s="18">
        <f>CT70*VLOOKUP('Données projet'!$B$13,Paramètres!$A$1:$I$88,3,0)*VLOOKUP('Données projet'!$B$13,Paramètres!$A$1:$I$88,5,0)</f>
        <v>133.66990000000001</v>
      </c>
      <c r="CV70" s="14">
        <f t="shared" si="95"/>
        <v>34.842986631043665</v>
      </c>
      <c r="CW70" s="22">
        <f t="shared" si="67"/>
        <v>293.49327754906773</v>
      </c>
      <c r="CX70" s="62">
        <f t="shared" si="68"/>
        <v>586.82661088240104</v>
      </c>
      <c r="CY70" s="62">
        <f ca="1">AVERAGE(OFFSET($CX$3,0,0,'Données projet'!$E$13+1,1))-AVERAGE(OFFSET($H$3,0,0,'Données projet'!$E$13+1,1))</f>
        <v>205.01234521498333</v>
      </c>
      <c r="CZ70" s="62">
        <f t="shared" si="96"/>
        <v>100.26042113972852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projet'!$B$13,Paramètres!$A$1:$I$88,3,0)*0.475*44/12</f>
        <v>0</v>
      </c>
      <c r="DG70" s="23">
        <f>EXP(-LN(2)/25)*DG69+(1-EXP(-LN(2)/25))/(LN(2)/25)*Calculateur!DB70*Calculateur!DD70*VLOOKUP('Données projet'!$B$13,Paramètres!$A$1:$I$88,3,0)*0.475*44/12</f>
        <v>0</v>
      </c>
      <c r="DH70" s="23">
        <f>EXP(-LN(2)/2)*DH69+(1-EXP(-LN(2)/2))/(LN(2)/2)*DB70*DE70*VLOOKUP('Données projet'!$B$13,Paramètres!$A$1:$I$88,3,0)*0.475*44/12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19.890000000000022</v>
      </c>
      <c r="D71" s="12">
        <f t="shared" si="86"/>
        <v>6.4718100075214382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203.49467374227095</v>
      </c>
      <c r="H71" s="70">
        <f t="shared" si="56"/>
        <v>339.24681909643317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1.6</v>
      </c>
      <c r="N71" s="14">
        <f>IF('Données projet'!$A$36&gt;35,N70+M71-V70,IF(A71&lt;'Données projet'!$A$36,$K$205^A71,IF(A71='Données projet'!$A$36,'Données projet'!$B$36,N70+M71-V70)))</f>
        <v>129.7999999999999</v>
      </c>
      <c r="O71" s="14">
        <f>N71*VLOOKUP('Données projet'!$B$9,Paramètres!$A$1:$I$88,3,0)*VLOOKUP('Données projet'!$B$9,Paramètres!$A$1:$I$88,5,0)</f>
        <v>131.61719999999991</v>
      </c>
      <c r="P71" s="14">
        <f t="shared" si="87"/>
        <v>34.369777461794271</v>
      </c>
      <c r="Q71" s="22">
        <f t="shared" si="54"/>
        <v>289.09398574595821</v>
      </c>
      <c r="R71" s="62">
        <f t="shared" si="55"/>
        <v>582.42731907929146</v>
      </c>
      <c r="S71" s="62">
        <f ca="1">AVERAGE(OFFSET($R$3,0,0,'Données projet'!$E$9+1,1))-AVERAGE(OFFSET($H$3,0,0,'Données projet'!$E$9+1,1))</f>
        <v>167.90363814107491</v>
      </c>
      <c r="T71" s="62">
        <f t="shared" si="88"/>
        <v>174.92847878212234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0</v>
      </c>
      <c r="AB71" s="23">
        <f>EXP(-LN(2)/2)*AB70+(1-EXP(-LN(2)/2))/(LN(2)/2)*V71*Y71*VLOOKUP('Données projet'!$B$9,Paramètres!$A$1:$I$88,3,0)*0.475*44/12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1.6</v>
      </c>
      <c r="AI71" s="14">
        <f>IF('Données projet'!$A$62&gt;35,AI70+AH71-AQ70,IF(A71&lt;'Données projet'!$A$62,$AF$205^A71,IF(A71='Données projet'!$A$62,'Données projet'!$B$62,AI70+AH71-AQ70)))</f>
        <v>129.7999999999999</v>
      </c>
      <c r="AJ71" s="14">
        <f>AI71*VLOOKUP('Données projet'!$B$10,Paramètres!$A$1:$I$88,3,0)*VLOOKUP('Données projet'!$B$10,Paramètres!$A$1:$I$88,5,0)</f>
        <v>139.7167199999999</v>
      </c>
      <c r="AK71" s="14">
        <f t="shared" si="89"/>
        <v>36.232102376875254</v>
      </c>
      <c r="AL71" s="22">
        <f t="shared" si="58"/>
        <v>306.4441989730575</v>
      </c>
      <c r="AM71" s="62">
        <f t="shared" si="59"/>
        <v>599.77753230639087</v>
      </c>
      <c r="AN71" s="62">
        <f ca="1">AVERAGE(OFFSET($AM$3,0,0,'Données projet'!$E$10+1,1))-AVERAGE(OFFSET($H$3,0,0,'Données projet'!$E$10+1,1))</f>
        <v>179.61236179838011</v>
      </c>
      <c r="AO71" s="62">
        <f t="shared" si="90"/>
        <v>186.66130555850333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0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22.7</v>
      </c>
      <c r="BD71" s="13">
        <f>IF('Données projet'!$A$88&gt;35,BD70+BC71-BL70,IF(A71&lt;'Données projet'!$A$88,$BA$205^A71,IF(A71='Données projet'!$A$88,'Données projet'!$B$88,BD70+BC71-BL70)))</f>
        <v>585.5999999999998</v>
      </c>
      <c r="BE71" s="14">
        <f>BD71*VLOOKUP('Données projet'!$B$11,Paramètres!$A$1:$I$88,3,0)*VLOOKUP('Données projet'!$B$11,Paramètres!$A$1:$I$88,5,0)</f>
        <v>274.06079999999992</v>
      </c>
      <c r="BF71" s="14">
        <f t="shared" si="91"/>
        <v>65.710323362952934</v>
      </c>
      <c r="BG71" s="22">
        <f t="shared" si="61"/>
        <v>591.76803985714275</v>
      </c>
      <c r="BH71" s="62">
        <f t="shared" si="62"/>
        <v>885.10137319047612</v>
      </c>
      <c r="BI71" s="62">
        <f ca="1">AVERAGE(OFFSET($BH$3,0,0,'Données projet'!$E$11+1,1))-AVERAGE(OFFSET($H$3,0,0,'Données projet'!$E$11+1,1))</f>
        <v>335.00873408144395</v>
      </c>
      <c r="BJ71" s="62">
        <f t="shared" si="92"/>
        <v>106.28577694955948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0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7.9230769230769234</v>
      </c>
      <c r="BY71" s="13">
        <f>IF('Données projet'!$A$114&gt;35,BY70+BX71-CG70,IF(A71&lt;'Données projet'!$A$114,$BV$205^A71,IF(A71='Données projet'!$A$114,'Données projet'!$B$114,BY70+BX71-CG70)))</f>
        <v>208.38461538461536</v>
      </c>
      <c r="BZ71" s="14">
        <f>BY71*VLOOKUP('Données projet'!$B$12,Paramètres!$A$1:$I$88,3,0)*VLOOKUP('Données projet'!$B$12,Paramètres!$A$1:$I$88,5,0)</f>
        <v>124.61399999999999</v>
      </c>
      <c r="CA71" s="14">
        <f t="shared" si="93"/>
        <v>32.748764621718294</v>
      </c>
      <c r="CB71" s="22">
        <f t="shared" si="64"/>
        <v>274.07348171615934</v>
      </c>
      <c r="CC71" s="62">
        <f t="shared" si="65"/>
        <v>567.40681504949271</v>
      </c>
      <c r="CD71" s="62">
        <f ca="1">AVERAGE(OFFSET($CC$3,0,0,'Données projet'!$E$12+1,1))-AVERAGE(OFFSET($H$3,0,0,'Données projet'!$E$12+1,1))</f>
        <v>136.47709057888358</v>
      </c>
      <c r="CE71" s="62">
        <f t="shared" si="94"/>
        <v>99.705248792886493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0</v>
      </c>
      <c r="CL71" s="23">
        <f>EXP(-LN(2)/25)*CL70+(1-EXP(-LN(2)/25))/(LN(2)/25)*Calculateur!CG71*Calculateur!CI71*VLOOKUP('Données projet'!$B$12,Paramètres!$A$1:$I$88,3,0)*0.475*44/12</f>
        <v>0</v>
      </c>
      <c r="CM71" s="23">
        <f>EXP(-LN(2)/2)*CM70+(1-EXP(-LN(2)/2))/(LN(2)/2)*CG71*CJ71*VLOOKUP('Données projet'!$B$12,Paramètres!$A$1:$I$88,3,0)*0.475*44/12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10.7</v>
      </c>
      <c r="CT71" s="13">
        <f>IF('Données projet'!$A$140&gt;35,CT70+CS71-DB70,IF(A71&lt;'Données projet'!$A$140,$CQ$205^A71,IF(A71='Données projet'!$A$140,'Données projet'!$B$140,CT70+CS71-DB70)))</f>
        <v>288.60000000000002</v>
      </c>
      <c r="CU71" s="18">
        <f>CT71*VLOOKUP('Données projet'!$B$13,Paramètres!$A$1:$I$88,3,0)*VLOOKUP('Données projet'!$B$13,Paramètres!$A$1:$I$88,5,0)</f>
        <v>138.81660000000002</v>
      </c>
      <c r="CV71" s="14">
        <f t="shared" si="95"/>
        <v>36.025771381937396</v>
      </c>
      <c r="CW71" s="22">
        <f t="shared" si="67"/>
        <v>304.51713015687432</v>
      </c>
      <c r="CX71" s="62">
        <f t="shared" si="68"/>
        <v>597.85046349020763</v>
      </c>
      <c r="CY71" s="62">
        <f ca="1">AVERAGE(OFFSET($CX$3,0,0,'Données projet'!$E$13+1,1))-AVERAGE(OFFSET($H$3,0,0,'Données projet'!$E$13+1,1))</f>
        <v>205.01234521498333</v>
      </c>
      <c r="CZ71" s="62">
        <f t="shared" si="96"/>
        <v>100.26042113972852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projet'!$B$13,Paramètres!$A$1:$I$88,3,0)*0.475*44/12</f>
        <v>0</v>
      </c>
      <c r="DG71" s="23">
        <f>EXP(-LN(2)/25)*DG70+(1-EXP(-LN(2)/25))/(LN(2)/25)*Calculateur!DB71*Calculateur!DD71*VLOOKUP('Données projet'!$B$13,Paramètres!$A$1:$I$88,3,0)*0.475*44/12</f>
        <v>0</v>
      </c>
      <c r="DH71" s="23">
        <f>EXP(-LN(2)/2)*DH70+(1-EXP(-LN(2)/2))/(LN(2)/2)*DB71*DE71*VLOOKUP('Données projet'!$B$13,Paramètres!$A$1:$I$88,3,0)*0.475*44/12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20.182500000000022</v>
      </c>
      <c r="D72" s="12">
        <f t="shared" si="86"/>
        <v>6.5558338831820686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206.40117383508982</v>
      </c>
      <c r="H72" s="70">
        <f t="shared" si="56"/>
        <v>339.90259817987544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1.6</v>
      </c>
      <c r="N72" s="14">
        <f>IF('Données projet'!$A$36&gt;35,N71+M72-V71,IF(A72&lt;'Données projet'!$A$36,$K$205^A72,IF(A72='Données projet'!$A$36,'Données projet'!$B$36,N71+M72-V71)))</f>
        <v>131.39999999999989</v>
      </c>
      <c r="O72" s="14">
        <f>N72*VLOOKUP('Données projet'!$B$9,Paramètres!$A$1:$I$88,3,0)*VLOOKUP('Données projet'!$B$9,Paramètres!$A$1:$I$88,5,0)</f>
        <v>133.23959999999991</v>
      </c>
      <c r="P72" s="14">
        <f t="shared" si="87"/>
        <v>34.7438600195213</v>
      </c>
      <c r="Q72" s="22">
        <f t="shared" si="54"/>
        <v>292.57119286733274</v>
      </c>
      <c r="R72" s="62">
        <f t="shared" si="55"/>
        <v>585.90452620066606</v>
      </c>
      <c r="S72" s="62">
        <f ca="1">AVERAGE(OFFSET($R$3,0,0,'Données projet'!$E$9+1,1))-AVERAGE(OFFSET($H$3,0,0,'Données projet'!$E$9+1,1))</f>
        <v>167.90363814107491</v>
      </c>
      <c r="T72" s="62">
        <f t="shared" si="88"/>
        <v>174.92847878212234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0</v>
      </c>
      <c r="AB72" s="23">
        <f>EXP(-LN(2)/2)*AB71+(1-EXP(-LN(2)/2))/(LN(2)/2)*V72*Y72*VLOOKUP('Données projet'!$B$9,Paramètres!$A$1:$I$88,3,0)*0.475*44/12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1.6</v>
      </c>
      <c r="AI72" s="14">
        <f>IF('Données projet'!$A$62&gt;35,AI71+AH72-AQ71,IF(A72&lt;'Données projet'!$A$62,$AF$205^A72,IF(A72='Données projet'!$A$62,'Données projet'!$B$62,AI71+AH72-AQ71)))</f>
        <v>131.39999999999989</v>
      </c>
      <c r="AJ72" s="14">
        <f>AI72*VLOOKUP('Données projet'!$B$10,Paramètres!$A$1:$I$88,3,0)*VLOOKUP('Données projet'!$B$10,Paramètres!$A$1:$I$88,5,0)</f>
        <v>141.43895999999987</v>
      </c>
      <c r="AK72" s="14">
        <f t="shared" si="89"/>
        <v>36.626454581920392</v>
      </c>
      <c r="AL72" s="22">
        <f t="shared" si="58"/>
        <v>310.13059706351112</v>
      </c>
      <c r="AM72" s="62">
        <f t="shared" si="59"/>
        <v>603.46393039684449</v>
      </c>
      <c r="AN72" s="62">
        <f ca="1">AVERAGE(OFFSET($AM$3,0,0,'Données projet'!$E$10+1,1))-AVERAGE(OFFSET($H$3,0,0,'Données projet'!$E$10+1,1))</f>
        <v>179.61236179838011</v>
      </c>
      <c r="AO72" s="62">
        <f t="shared" si="90"/>
        <v>186.66130555850333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0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22.7</v>
      </c>
      <c r="BD72" s="13">
        <f>IF('Données projet'!$A$88&gt;35,BD71+BC72-BL71,IF(A72&lt;'Données projet'!$A$88,$BA$205^A72,IF(A72='Données projet'!$A$88,'Données projet'!$B$88,BD71+BC72-BL71)))</f>
        <v>608.29999999999984</v>
      </c>
      <c r="BE72" s="14">
        <f>BD72*VLOOKUP('Données projet'!$B$11,Paramètres!$A$1:$I$88,3,0)*VLOOKUP('Données projet'!$B$11,Paramètres!$A$1:$I$88,5,0)</f>
        <v>284.68439999999993</v>
      </c>
      <c r="BF72" s="14">
        <f t="shared" si="91"/>
        <v>67.955999311251276</v>
      </c>
      <c r="BG72" s="22">
        <f t="shared" si="61"/>
        <v>614.18202880042918</v>
      </c>
      <c r="BH72" s="62">
        <f t="shared" si="62"/>
        <v>907.51536213376244</v>
      </c>
      <c r="BI72" s="62">
        <f ca="1">AVERAGE(OFFSET($BH$3,0,0,'Données projet'!$E$11+1,1))-AVERAGE(OFFSET($H$3,0,0,'Données projet'!$E$11+1,1))</f>
        <v>335.00873408144395</v>
      </c>
      <c r="BJ72" s="62">
        <f t="shared" si="92"/>
        <v>106.28577694955948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0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7.9230769230769234</v>
      </c>
      <c r="BY72" s="13">
        <f>IF('Données projet'!$A$114&gt;35,BY71+BX72-CG71,IF(A72&lt;'Données projet'!$A$114,$BV$205^A72,IF(A72='Données projet'!$A$114,'Données projet'!$B$114,BY71+BX72-CG71)))</f>
        <v>216.30769230769229</v>
      </c>
      <c r="BZ72" s="14">
        <f>BY72*VLOOKUP('Données projet'!$B$12,Paramètres!$A$1:$I$88,3,0)*VLOOKUP('Données projet'!$B$12,Paramètres!$A$1:$I$88,5,0)</f>
        <v>129.352</v>
      </c>
      <c r="CA72" s="14">
        <f t="shared" si="93"/>
        <v>33.846582038850023</v>
      </c>
      <c r="CB72" s="22">
        <f t="shared" si="64"/>
        <v>284.23753038433046</v>
      </c>
      <c r="CC72" s="62">
        <f t="shared" si="65"/>
        <v>577.57086371766377</v>
      </c>
      <c r="CD72" s="62">
        <f ca="1">AVERAGE(OFFSET($CC$3,0,0,'Données projet'!$E$12+1,1))-AVERAGE(OFFSET($H$3,0,0,'Données projet'!$E$12+1,1))</f>
        <v>136.47709057888358</v>
      </c>
      <c r="CE72" s="62">
        <f t="shared" si="94"/>
        <v>99.705248792886493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0</v>
      </c>
      <c r="CL72" s="23">
        <f>EXP(-LN(2)/25)*CL71+(1-EXP(-LN(2)/25))/(LN(2)/25)*Calculateur!CG72*Calculateur!CI72*VLOOKUP('Données projet'!$B$12,Paramètres!$A$1:$I$88,3,0)*0.475*44/12</f>
        <v>0</v>
      </c>
      <c r="CM72" s="23">
        <f>EXP(-LN(2)/2)*CM71+(1-EXP(-LN(2)/2))/(LN(2)/2)*CG72*CJ72*VLOOKUP('Données projet'!$B$12,Paramètres!$A$1:$I$88,3,0)*0.475*44/12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10.7</v>
      </c>
      <c r="CT72" s="13">
        <f>IF('Données projet'!$A$140&gt;35,CT71+CS72-DB71,IF(A72&lt;'Données projet'!$A$140,$CQ$205^A72,IF(A72='Données projet'!$A$140,'Données projet'!$B$140,CT71+CS72-DB71)))</f>
        <v>299.3</v>
      </c>
      <c r="CU72" s="18">
        <f>CT72*VLOOKUP('Données projet'!$B$13,Paramètres!$A$1:$I$88,3,0)*VLOOKUP('Données projet'!$B$13,Paramètres!$A$1:$I$88,5,0)</f>
        <v>143.9633</v>
      </c>
      <c r="CV72" s="14">
        <f t="shared" si="95"/>
        <v>37.203461481418849</v>
      </c>
      <c r="CW72" s="22">
        <f t="shared" si="67"/>
        <v>315.53210958013784</v>
      </c>
      <c r="CX72" s="62">
        <f t="shared" si="68"/>
        <v>608.86544291347116</v>
      </c>
      <c r="CY72" s="62">
        <f ca="1">AVERAGE(OFFSET($CX$3,0,0,'Données projet'!$E$13+1,1))-AVERAGE(OFFSET($H$3,0,0,'Données projet'!$E$13+1,1))</f>
        <v>205.01234521498333</v>
      </c>
      <c r="CZ72" s="62">
        <f t="shared" si="96"/>
        <v>100.26042113972852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projet'!$B$13,Paramètres!$A$1:$I$88,3,0)*0.475*44/12</f>
        <v>0</v>
      </c>
      <c r="DG72" s="23">
        <f>EXP(-LN(2)/25)*DG71+(1-EXP(-LN(2)/25))/(LN(2)/25)*Calculateur!DB72*Calculateur!DD72*VLOOKUP('Données projet'!$B$13,Paramètres!$A$1:$I$88,3,0)*0.475*44/12</f>
        <v>0</v>
      </c>
      <c r="DH72" s="23">
        <f>EXP(-LN(2)/2)*DH71+(1-EXP(-LN(2)/2))/(LN(2)/2)*DB72*DE72*VLOOKUP('Données projet'!$B$13,Paramètres!$A$1:$I$88,3,0)*0.475*44/12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20.475000000000023</v>
      </c>
      <c r="D73" s="12">
        <f t="shared" si="86"/>
        <v>6.6397161284665751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209.30658064079478</v>
      </c>
      <c r="H73" s="70">
        <f t="shared" si="56"/>
        <v>340.55813059041265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133</v>
      </c>
      <c r="L73" s="13">
        <f>VLOOKUP(A73,'Données projet'!$A$35:$I$55,9,0)</f>
        <v>1.6</v>
      </c>
      <c r="M73" s="13">
        <f t="array" ref="M73">INDEX(L:L,MIN(IF(ISNUMBER(L73:L269),ROW(L73:L269),"")))</f>
        <v>1.6</v>
      </c>
      <c r="N73" s="14">
        <f>IF('Données projet'!$A$36&gt;35,N72+M73-V72,IF(A73&lt;'Données projet'!$A$36,$K$205^A73,IF(A73='Données projet'!$A$36,'Données projet'!$B$36,N72+M73-V72)))</f>
        <v>132.99999999999989</v>
      </c>
      <c r="O73" s="14">
        <f>N73*VLOOKUP('Données projet'!$B$9,Paramètres!$A$1:$I$88,3,0)*VLOOKUP('Données projet'!$B$9,Paramètres!$A$1:$I$88,5,0)</f>
        <v>134.86199999999991</v>
      </c>
      <c r="P73" s="14">
        <f t="shared" si="87"/>
        <v>35.117412732458412</v>
      </c>
      <c r="Q73" s="22">
        <f t="shared" si="54"/>
        <v>296.04747717569825</v>
      </c>
      <c r="R73" s="62">
        <f t="shared" si="55"/>
        <v>589.38081050903156</v>
      </c>
      <c r="S73" s="62">
        <f ca="1">AVERAGE(OFFSET($R$3,0,0,'Données projet'!$E$9+1,1))-AVERAGE(OFFSET($H$3,0,0,'Données projet'!$E$9+1,1))</f>
        <v>167.90363814107491</v>
      </c>
      <c r="T73" s="62">
        <f t="shared" si="88"/>
        <v>174.92847878212234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0</v>
      </c>
      <c r="AB73" s="23">
        <f>EXP(-LN(2)/2)*AB72+(1-EXP(-LN(2)/2))/(LN(2)/2)*V73*Y73*VLOOKUP('Données projet'!$B$9,Paramètres!$A$1:$I$88,3,0)*0.475*44/12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133</v>
      </c>
      <c r="AG73" s="13">
        <f>VLOOKUP(A73,'Données projet'!$A$61:$I$81,9,0)</f>
        <v>1.6</v>
      </c>
      <c r="AH73" s="13">
        <f t="array" ref="AH73">INDEX(AG:AG,MIN(IF(ISNUMBER(AG73:AG269),ROW(AG73:AG269),"")))</f>
        <v>1.6</v>
      </c>
      <c r="AI73" s="14">
        <f>IF('Données projet'!$A$62&gt;35,AI72+AH73-AQ72,IF(A73&lt;'Données projet'!$A$62,$AF$205^A73,IF(A73='Données projet'!$A$62,'Données projet'!$B$62,AI72+AH73-AQ72)))</f>
        <v>132.99999999999989</v>
      </c>
      <c r="AJ73" s="14">
        <f>AI73*VLOOKUP('Données projet'!$B$10,Paramètres!$A$1:$I$88,3,0)*VLOOKUP('Données projet'!$B$10,Paramètres!$A$1:$I$88,5,0)</f>
        <v>143.16119999999987</v>
      </c>
      <c r="AK73" s="14">
        <f t="shared" si="89"/>
        <v>37.02024823255843</v>
      </c>
      <c r="AL73" s="22">
        <f t="shared" si="58"/>
        <v>313.81602233837231</v>
      </c>
      <c r="AM73" s="62">
        <f t="shared" si="59"/>
        <v>607.14935567170562</v>
      </c>
      <c r="AN73" s="62">
        <f ca="1">AVERAGE(OFFSET($AM$3,0,0,'Données projet'!$E$10+1,1))-AVERAGE(OFFSET($H$3,0,0,'Données projet'!$E$10+1,1))</f>
        <v>179.61236179838011</v>
      </c>
      <c r="AO73" s="62">
        <f t="shared" si="90"/>
        <v>186.66130555850333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0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631</v>
      </c>
      <c r="BB73" s="13">
        <f>VLOOKUP(A73,'Données projet'!$A$87:$I$107,9,0)</f>
        <v>22.7</v>
      </c>
      <c r="BC73" s="13">
        <f t="array" ref="BC73">INDEX(BB:BB,MIN(IF(ISNUMBER(BB73:BB269),ROW(BB73:BB269),"")))</f>
        <v>22.7</v>
      </c>
      <c r="BD73" s="13">
        <f>IF('Données projet'!$A$88&gt;35,BD72+BC73-BL72,IF(A73&lt;'Données projet'!$A$88,$BA$205^A73,IF(A73='Données projet'!$A$88,'Données projet'!$B$88,BD72+BC73-BL72)))</f>
        <v>630.99999999999989</v>
      </c>
      <c r="BE73" s="14">
        <f>BD73*VLOOKUP('Données projet'!$B$11,Paramètres!$A$1:$I$88,3,0)*VLOOKUP('Données projet'!$B$11,Paramètres!$A$1:$I$88,5,0)</f>
        <v>295.30799999999994</v>
      </c>
      <c r="BF73" s="14">
        <f t="shared" si="91"/>
        <v>70.191939458146834</v>
      </c>
      <c r="BG73" s="22">
        <f t="shared" si="61"/>
        <v>636.57906122293889</v>
      </c>
      <c r="BH73" s="62">
        <f t="shared" si="62"/>
        <v>929.91239455627215</v>
      </c>
      <c r="BI73" s="62">
        <f ca="1">AVERAGE(OFFSET($BH$3,0,0,'Données projet'!$E$11+1,1))-AVERAGE(OFFSET($H$3,0,0,'Données projet'!$E$11+1,1))</f>
        <v>335.00873408144395</v>
      </c>
      <c r="BJ73" s="62">
        <f t="shared" si="92"/>
        <v>106.28577694955948</v>
      </c>
      <c r="BK73" s="16">
        <f>IF(ISNA(VLOOKUP(A73,'Données projet'!$A$87:$I$107,3,0)),0,VLOOKUP(A73,'Données projet'!$A$87:$I$107,3,0))</f>
        <v>4</v>
      </c>
      <c r="BL73" s="16">
        <f>IF(ISNA(VLOOKUP(A73,'Données projet'!$A$87:$I$107,4,0)),0,VLOOKUP(A73,'Données projet'!$A$87:$I$107,4,0))</f>
        <v>109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0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7.9230769230769234</v>
      </c>
      <c r="BY73" s="13">
        <f>IF('Données projet'!$A$114&gt;35,BY72+BX73-CG72,IF(A73&lt;'Données projet'!$A$114,$BV$205^A73,IF(A73='Données projet'!$A$114,'Données projet'!$B$114,BY72+BX73-CG72)))</f>
        <v>224.23076923076923</v>
      </c>
      <c r="BZ73" s="14">
        <f>BY73*VLOOKUP('Données projet'!$B$12,Paramètres!$A$1:$I$88,3,0)*VLOOKUP('Données projet'!$B$12,Paramètres!$A$1:$I$88,5,0)</f>
        <v>134.09</v>
      </c>
      <c r="CA73" s="14">
        <f t="shared" si="93"/>
        <v>34.939727679026305</v>
      </c>
      <c r="CB73" s="22">
        <f t="shared" si="64"/>
        <v>294.39344237430413</v>
      </c>
      <c r="CC73" s="62">
        <f t="shared" si="65"/>
        <v>587.72677570763744</v>
      </c>
      <c r="CD73" s="62">
        <f ca="1">AVERAGE(OFFSET($CC$3,0,0,'Données projet'!$E$12+1,1))-AVERAGE(OFFSET($H$3,0,0,'Données projet'!$E$12+1,1))</f>
        <v>136.47709057888358</v>
      </c>
      <c r="CE73" s="62">
        <f t="shared" si="94"/>
        <v>99.705248792886493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0</v>
      </c>
      <c r="CL73" s="23">
        <f>EXP(-LN(2)/25)*CL72+(1-EXP(-LN(2)/25))/(LN(2)/25)*Calculateur!CG73*Calculateur!CI73*VLOOKUP('Données projet'!$B$12,Paramètres!$A$1:$I$88,3,0)*0.475*44/12</f>
        <v>0</v>
      </c>
      <c r="CM73" s="23">
        <f>EXP(-LN(2)/2)*CM72+(1-EXP(-LN(2)/2))/(LN(2)/2)*CG73*CJ73*VLOOKUP('Données projet'!$B$12,Paramètres!$A$1:$I$88,3,0)*0.475*44/12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310</v>
      </c>
      <c r="CR73" s="13">
        <f>VLOOKUP(A73,'Données projet'!$A$139:$I$159,9,0)</f>
        <v>10.7</v>
      </c>
      <c r="CS73" s="13">
        <f t="array" ref="CS73">INDEX(CR:CR,MIN(IF(ISNUMBER(CR73:CR269),ROW(CR73:CR269),"")))</f>
        <v>10.7</v>
      </c>
      <c r="CT73" s="13">
        <f>IF('Données projet'!$A$140&gt;35,CT72+CS73-DB72,IF(A73&lt;'Données projet'!$A$140,$CQ$205^A73,IF(A73='Données projet'!$A$140,'Données projet'!$B$140,CT72+CS73-DB72)))</f>
        <v>310</v>
      </c>
      <c r="CU73" s="18">
        <f>CT73*VLOOKUP('Données projet'!$B$13,Paramètres!$A$1:$I$88,3,0)*VLOOKUP('Données projet'!$B$13,Paramètres!$A$1:$I$88,5,0)</f>
        <v>149.11000000000001</v>
      </c>
      <c r="CV73" s="14">
        <f t="shared" si="95"/>
        <v>38.37625992957517</v>
      </c>
      <c r="CW73" s="22">
        <f t="shared" si="67"/>
        <v>326.53856937734338</v>
      </c>
      <c r="CX73" s="62">
        <f t="shared" si="68"/>
        <v>619.87190271067675</v>
      </c>
      <c r="CY73" s="62">
        <f ca="1">AVERAGE(OFFSET($CX$3,0,0,'Données projet'!$E$13+1,1))-AVERAGE(OFFSET($H$3,0,0,'Données projet'!$E$13+1,1))</f>
        <v>205.01234521498333</v>
      </c>
      <c r="CZ73" s="62">
        <f t="shared" si="96"/>
        <v>100.26042113972852</v>
      </c>
      <c r="DA73" s="16">
        <f>IF(ISNA(VLOOKUP(A73,'Données projet'!$A$139:$I$159,3,0)),0,VLOOKUP(A73,'Données projet'!$A$139:$I$159,3,0))</f>
        <v>4</v>
      </c>
      <c r="DB73" s="16">
        <f>IF(ISNA(VLOOKUP(A73,'Données projet'!$A$139:$I$159,4,0)),0,VLOOKUP(A73,'Données projet'!$A$139:$I$159,4,0))</f>
        <v>62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projet'!$B$13,Paramètres!$A$1:$I$88,3,0)*0.475*44/12</f>
        <v>0</v>
      </c>
      <c r="DG73" s="23">
        <f>EXP(-LN(2)/25)*DG72+(1-EXP(-LN(2)/25))/(LN(2)/25)*Calculateur!DB73*Calculateur!DD73*VLOOKUP('Données projet'!$B$13,Paramètres!$A$1:$I$88,3,0)*0.475*44/12</f>
        <v>0</v>
      </c>
      <c r="DH73" s="23">
        <f>EXP(-LN(2)/2)*DH72+(1-EXP(-LN(2)/2))/(LN(2)/2)*DB73*DE73*VLOOKUP('Données projet'!$B$13,Paramètres!$A$1:$I$88,3,0)*0.475*44/12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20.767500000000023</v>
      </c>
      <c r="D74" s="12">
        <f t="shared" si="86"/>
        <v>6.7234590004546684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212.21091158245727</v>
      </c>
      <c r="H74" s="70">
        <f t="shared" si="56"/>
        <v>341.21342025912526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1.4</v>
      </c>
      <c r="N74" s="14">
        <f>IF('Données projet'!$A$36&gt;35,N73+M74-V73,IF(A74&lt;'Données projet'!$A$36,$K$205^A74,IF(A74='Données projet'!$A$36,'Données projet'!$B$36,N73+M74-V73)))</f>
        <v>134.39999999999989</v>
      </c>
      <c r="O74" s="14">
        <f>N74*VLOOKUP('Données projet'!$B$9,Paramètres!$A$1:$I$88,3,0)*VLOOKUP('Données projet'!$B$9,Paramètres!$A$1:$I$88,5,0)</f>
        <v>136.28159999999988</v>
      </c>
      <c r="P74" s="14">
        <f t="shared" si="87"/>
        <v>35.443842312892244</v>
      </c>
      <c r="Q74" s="22">
        <f t="shared" si="54"/>
        <v>299.08847869495378</v>
      </c>
      <c r="R74" s="62">
        <f t="shared" si="55"/>
        <v>592.42181202828715</v>
      </c>
      <c r="S74" s="62">
        <f ca="1">AVERAGE(OFFSET($R$3,0,0,'Données projet'!$E$9+1,1))-AVERAGE(OFFSET($H$3,0,0,'Données projet'!$E$9+1,1))</f>
        <v>167.90363814107491</v>
      </c>
      <c r="T74" s="62">
        <f t="shared" si="88"/>
        <v>174.92847878212234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0</v>
      </c>
      <c r="AB74" s="23">
        <f>EXP(-LN(2)/2)*AB73+(1-EXP(-LN(2)/2))/(LN(2)/2)*V74*Y74*VLOOKUP('Données projet'!$B$9,Paramètres!$A$1:$I$88,3,0)*0.475*44/12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1.4</v>
      </c>
      <c r="AI74" s="14">
        <f>IF('Données projet'!$A$62&gt;35,AI73+AH74-AQ73,IF(A74&lt;'Données projet'!$A$62,$AF$205^A74,IF(A74='Données projet'!$A$62,'Données projet'!$B$62,AI73+AH74-AQ73)))</f>
        <v>134.39999999999989</v>
      </c>
      <c r="AJ74" s="14">
        <f>AI74*VLOOKUP('Données projet'!$B$10,Paramètres!$A$1:$I$88,3,0)*VLOOKUP('Données projet'!$B$10,Paramètres!$A$1:$I$88,5,0)</f>
        <v>144.66815999999989</v>
      </c>
      <c r="AK74" s="14">
        <f t="shared" si="89"/>
        <v>37.364365385783124</v>
      </c>
      <c r="AL74" s="22">
        <f t="shared" si="58"/>
        <v>317.03998171357199</v>
      </c>
      <c r="AM74" s="62">
        <f t="shared" si="59"/>
        <v>610.3733150469053</v>
      </c>
      <c r="AN74" s="62">
        <f ca="1">AVERAGE(OFFSET($AM$3,0,0,'Données projet'!$E$10+1,1))-AVERAGE(OFFSET($H$3,0,0,'Données projet'!$E$10+1,1))</f>
        <v>179.61236179838011</v>
      </c>
      <c r="AO74" s="62">
        <f t="shared" si="90"/>
        <v>186.66130555850333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0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21.2</v>
      </c>
      <c r="BD74" s="13">
        <f>IF('Données projet'!$A$88&gt;35,BD73+BC74-BL73,IF(A74&lt;'Données projet'!$A$88,$BA$205^A74,IF(A74='Données projet'!$A$88,'Données projet'!$B$88,BD73+BC74-BL73)))</f>
        <v>543.19999999999993</v>
      </c>
      <c r="BE74" s="14">
        <f>BD74*VLOOKUP('Données projet'!$B$11,Paramètres!$A$1:$I$88,3,0)*VLOOKUP('Données projet'!$B$11,Paramètres!$A$1:$I$88,5,0)</f>
        <v>254.21759999999998</v>
      </c>
      <c r="BF74" s="14">
        <f t="shared" si="91"/>
        <v>61.488195182366475</v>
      </c>
      <c r="BG74" s="22">
        <f t="shared" si="61"/>
        <v>549.85425994262152</v>
      </c>
      <c r="BH74" s="62">
        <f t="shared" si="62"/>
        <v>843.1875932759549</v>
      </c>
      <c r="BI74" s="62">
        <f ca="1">AVERAGE(OFFSET($BH$3,0,0,'Données projet'!$E$11+1,1))-AVERAGE(OFFSET($H$3,0,0,'Données projet'!$E$11+1,1))</f>
        <v>335.00873408144395</v>
      </c>
      <c r="BJ74" s="62">
        <f t="shared" si="92"/>
        <v>106.28577694955948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0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7.9230769230769234</v>
      </c>
      <c r="BY74" s="13">
        <f>IF('Données projet'!$A$114&gt;35,BY73+BX74-CG73,IF(A74&lt;'Données projet'!$A$114,$BV$205^A74,IF(A74='Données projet'!$A$114,'Données projet'!$B$114,BY73+BX74-CG73)))</f>
        <v>232.15384615384616</v>
      </c>
      <c r="BZ74" s="14">
        <f>BY74*VLOOKUP('Données projet'!$B$12,Paramètres!$A$1:$I$88,3,0)*VLOOKUP('Données projet'!$B$12,Paramètres!$A$1:$I$88,5,0)</f>
        <v>138.82800000000003</v>
      </c>
      <c r="CA74" s="14">
        <f t="shared" si="93"/>
        <v>36.028385531122503</v>
      </c>
      <c r="CB74" s="22">
        <f t="shared" si="64"/>
        <v>304.54153813337172</v>
      </c>
      <c r="CC74" s="62">
        <f t="shared" si="65"/>
        <v>597.87487146670503</v>
      </c>
      <c r="CD74" s="62">
        <f ca="1">AVERAGE(OFFSET($CC$3,0,0,'Données projet'!$E$12+1,1))-AVERAGE(OFFSET($H$3,0,0,'Données projet'!$E$12+1,1))</f>
        <v>136.47709057888358</v>
      </c>
      <c r="CE74" s="62">
        <f t="shared" si="94"/>
        <v>99.705248792886493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0</v>
      </c>
      <c r="CL74" s="23">
        <f>EXP(-LN(2)/25)*CL73+(1-EXP(-LN(2)/25))/(LN(2)/25)*Calculateur!CG74*Calculateur!CI74*VLOOKUP('Données projet'!$B$12,Paramètres!$A$1:$I$88,3,0)*0.475*44/12</f>
        <v>0</v>
      </c>
      <c r="CM74" s="23">
        <f>EXP(-LN(2)/2)*CM73+(1-EXP(-LN(2)/2))/(LN(2)/2)*CG74*CJ74*VLOOKUP('Données projet'!$B$12,Paramètres!$A$1:$I$88,3,0)*0.475*44/12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11.3</v>
      </c>
      <c r="CT74" s="13">
        <f>IF('Données projet'!$A$140&gt;35,CT73+CS74-DB73,IF(A74&lt;'Données projet'!$A$140,$CQ$205^A74,IF(A74='Données projet'!$A$140,'Données projet'!$B$140,CT73+CS74-DB73)))</f>
        <v>259.3</v>
      </c>
      <c r="CU74" s="18">
        <f>CT74*VLOOKUP('Données projet'!$B$13,Paramètres!$A$1:$I$88,3,0)*VLOOKUP('Données projet'!$B$13,Paramètres!$A$1:$I$88,5,0)</f>
        <v>124.72330000000001</v>
      </c>
      <c r="CV74" s="14">
        <f t="shared" si="95"/>
        <v>32.774144047461718</v>
      </c>
      <c r="CW74" s="22">
        <f t="shared" si="67"/>
        <v>274.30804838266249</v>
      </c>
      <c r="CX74" s="62">
        <f t="shared" si="68"/>
        <v>567.64138171599575</v>
      </c>
      <c r="CY74" s="62">
        <f ca="1">AVERAGE(OFFSET($CX$3,0,0,'Données projet'!$E$13+1,1))-AVERAGE(OFFSET($H$3,0,0,'Données projet'!$E$13+1,1))</f>
        <v>205.01234521498333</v>
      </c>
      <c r="CZ74" s="62">
        <f t="shared" si="96"/>
        <v>100.26042113972852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projet'!$B$13,Paramètres!$A$1:$I$88,3,0)*0.475*44/12</f>
        <v>0</v>
      </c>
      <c r="DG74" s="23">
        <f>EXP(-LN(2)/25)*DG73+(1-EXP(-LN(2)/25))/(LN(2)/25)*Calculateur!DB74*Calculateur!DD74*VLOOKUP('Données projet'!$B$13,Paramètres!$A$1:$I$88,3,0)*0.475*44/12</f>
        <v>0</v>
      </c>
      <c r="DH74" s="23">
        <f>EXP(-LN(2)/2)*DH73+(1-EXP(-LN(2)/2))/(LN(2)/2)*DB74*DE74*VLOOKUP('Données projet'!$B$13,Paramètres!$A$1:$I$88,3,0)*0.475*44/12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21.060000000000024</v>
      </c>
      <c r="D75" s="12">
        <f t="shared" si="86"/>
        <v>6.8070646889945046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215.11418356416831</v>
      </c>
      <c r="H75" s="70">
        <f t="shared" si="56"/>
        <v>341.86847099999881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1.4</v>
      </c>
      <c r="N75" s="14">
        <f>IF('Données projet'!$A$36&gt;35,N74+M75-V74,IF(A75&lt;'Données projet'!$A$36,$K$205^A75,IF(A75='Données projet'!$A$36,'Données projet'!$B$36,N74+M75-V74)))</f>
        <v>135.7999999999999</v>
      </c>
      <c r="O75" s="14">
        <f>N75*VLOOKUP('Données projet'!$B$9,Paramètres!$A$1:$I$88,3,0)*VLOOKUP('Données projet'!$B$9,Paramètres!$A$1:$I$88,5,0)</f>
        <v>137.70119999999991</v>
      </c>
      <c r="P75" s="14">
        <f t="shared" si="87"/>
        <v>35.769876329748612</v>
      </c>
      <c r="Q75" s="22">
        <f t="shared" si="54"/>
        <v>302.12879127431205</v>
      </c>
      <c r="R75" s="62">
        <f t="shared" si="55"/>
        <v>595.46212460764536</v>
      </c>
      <c r="S75" s="62">
        <f ca="1">AVERAGE(OFFSET($R$3,0,0,'Données projet'!$E$9+1,1))-AVERAGE(OFFSET($H$3,0,0,'Données projet'!$E$9+1,1))</f>
        <v>167.90363814107491</v>
      </c>
      <c r="T75" s="62">
        <f t="shared" si="88"/>
        <v>174.92847878212234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0</v>
      </c>
      <c r="AB75" s="23">
        <f>EXP(-LN(2)/2)*AB74+(1-EXP(-LN(2)/2))/(LN(2)/2)*V75*Y75*VLOOKUP('Données projet'!$B$9,Paramètres!$A$1:$I$88,3,0)*0.475*44/12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1.4</v>
      </c>
      <c r="AI75" s="14">
        <f>IF('Données projet'!$A$62&gt;35,AI74+AH75-AQ74,IF(A75&lt;'Données projet'!$A$62,$AF$205^A75,IF(A75='Données projet'!$A$62,'Données projet'!$B$62,AI74+AH75-AQ74)))</f>
        <v>135.7999999999999</v>
      </c>
      <c r="AJ75" s="14">
        <f>AI75*VLOOKUP('Données projet'!$B$10,Paramètres!$A$1:$I$88,3,0)*VLOOKUP('Données projet'!$B$10,Paramètres!$A$1:$I$88,5,0)</f>
        <v>146.17511999999988</v>
      </c>
      <c r="AK75" s="14">
        <f t="shared" si="89"/>
        <v>37.708065541834912</v>
      </c>
      <c r="AL75" s="22">
        <f t="shared" si="58"/>
        <v>320.26321481869553</v>
      </c>
      <c r="AM75" s="62">
        <f t="shared" si="59"/>
        <v>613.59654815202884</v>
      </c>
      <c r="AN75" s="62">
        <f ca="1">AVERAGE(OFFSET($AM$3,0,0,'Données projet'!$E$10+1,1))-AVERAGE(OFFSET($H$3,0,0,'Données projet'!$E$10+1,1))</f>
        <v>179.61236179838011</v>
      </c>
      <c r="AO75" s="62">
        <f t="shared" si="90"/>
        <v>186.66130555850333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0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21.2</v>
      </c>
      <c r="BD75" s="13">
        <f>IF('Données projet'!$A$88&gt;35,BD74+BC75-BL74,IF(A75&lt;'Données projet'!$A$88,$BA$205^A75,IF(A75='Données projet'!$A$88,'Données projet'!$B$88,BD74+BC75-BL74)))</f>
        <v>564.4</v>
      </c>
      <c r="BE75" s="14">
        <f>BD75*VLOOKUP('Données projet'!$B$11,Paramètres!$A$1:$I$88,3,0)*VLOOKUP('Données projet'!$B$11,Paramètres!$A$1:$I$88,5,0)</f>
        <v>264.13920000000002</v>
      </c>
      <c r="BF75" s="14">
        <f t="shared" si="91"/>
        <v>63.60387543087441</v>
      </c>
      <c r="BG75" s="22">
        <f t="shared" si="61"/>
        <v>570.81918970877302</v>
      </c>
      <c r="BH75" s="62">
        <f t="shared" si="62"/>
        <v>864.1525230421064</v>
      </c>
      <c r="BI75" s="62">
        <f ca="1">AVERAGE(OFFSET($BH$3,0,0,'Données projet'!$E$11+1,1))-AVERAGE(OFFSET($H$3,0,0,'Données projet'!$E$11+1,1))</f>
        <v>335.00873408144395</v>
      </c>
      <c r="BJ75" s="62">
        <f t="shared" si="92"/>
        <v>106.28577694955948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0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7.9230769230769234</v>
      </c>
      <c r="BY75" s="13">
        <f>IF('Données projet'!$A$114&gt;35,BY74+BX75-CG74,IF(A75&lt;'Données projet'!$A$114,$BV$205^A75,IF(A75='Données projet'!$A$114,'Données projet'!$B$114,BY74+BX75-CG74)))</f>
        <v>240.07692307692309</v>
      </c>
      <c r="BZ75" s="14">
        <f>BY75*VLOOKUP('Données projet'!$B$12,Paramètres!$A$1:$I$88,3,0)*VLOOKUP('Données projet'!$B$12,Paramètres!$A$1:$I$88,5,0)</f>
        <v>143.56600000000003</v>
      </c>
      <c r="CA75" s="14">
        <f t="shared" si="93"/>
        <v>37.112726313076166</v>
      </c>
      <c r="CB75" s="22">
        <f t="shared" si="64"/>
        <v>314.68211499527439</v>
      </c>
      <c r="CC75" s="62">
        <f t="shared" si="65"/>
        <v>608.0154483286077</v>
      </c>
      <c r="CD75" s="62">
        <f ca="1">AVERAGE(OFFSET($CC$3,0,0,'Données projet'!$E$12+1,1))-AVERAGE(OFFSET($H$3,0,0,'Données projet'!$E$12+1,1))</f>
        <v>136.47709057888358</v>
      </c>
      <c r="CE75" s="62">
        <f t="shared" si="94"/>
        <v>99.705248792886493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0</v>
      </c>
      <c r="CL75" s="23">
        <f>EXP(-LN(2)/25)*CL74+(1-EXP(-LN(2)/25))/(LN(2)/25)*Calculateur!CG75*Calculateur!CI75*VLOOKUP('Données projet'!$B$12,Paramètres!$A$1:$I$88,3,0)*0.475*44/12</f>
        <v>0</v>
      </c>
      <c r="CM75" s="23">
        <f>EXP(-LN(2)/2)*CM74+(1-EXP(-LN(2)/2))/(LN(2)/2)*CG75*CJ75*VLOOKUP('Données projet'!$B$12,Paramètres!$A$1:$I$88,3,0)*0.475*44/12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11.3</v>
      </c>
      <c r="CT75" s="13">
        <f>IF('Données projet'!$A$140&gt;35,CT74+CS75-DB74,IF(A75&lt;'Données projet'!$A$140,$CQ$205^A75,IF(A75='Données projet'!$A$140,'Données projet'!$B$140,CT74+CS75-DB74)))</f>
        <v>270.60000000000002</v>
      </c>
      <c r="CU75" s="18">
        <f>CT75*VLOOKUP('Données projet'!$B$13,Paramètres!$A$1:$I$88,3,0)*VLOOKUP('Données projet'!$B$13,Paramètres!$A$1:$I$88,5,0)</f>
        <v>130.15860000000004</v>
      </c>
      <c r="CV75" s="14">
        <f t="shared" si="95"/>
        <v>34.033004534779167</v>
      </c>
      <c r="CW75" s="22">
        <f t="shared" si="67"/>
        <v>285.96704456474043</v>
      </c>
      <c r="CX75" s="62">
        <f t="shared" si="68"/>
        <v>579.30037789807375</v>
      </c>
      <c r="CY75" s="62">
        <f ca="1">AVERAGE(OFFSET($CX$3,0,0,'Données projet'!$E$13+1,1))-AVERAGE(OFFSET($H$3,0,0,'Données projet'!$E$13+1,1))</f>
        <v>205.01234521498333</v>
      </c>
      <c r="CZ75" s="62">
        <f t="shared" si="96"/>
        <v>100.26042113972852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projet'!$B$13,Paramètres!$A$1:$I$88,3,0)*0.475*44/12</f>
        <v>0</v>
      </c>
      <c r="DG75" s="23">
        <f>EXP(-LN(2)/25)*DG74+(1-EXP(-LN(2)/25))/(LN(2)/25)*Calculateur!DB75*Calculateur!DD75*VLOOKUP('Données projet'!$B$13,Paramètres!$A$1:$I$88,3,0)*0.475*44/12</f>
        <v>0</v>
      </c>
      <c r="DH75" s="23">
        <f>EXP(-LN(2)/2)*DH74+(1-EXP(-LN(2)/2))/(LN(2)/2)*DB75*DE75*VLOOKUP('Données projet'!$B$13,Paramètres!$A$1:$I$88,3,0)*0.475*44/12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21.352500000000024</v>
      </c>
      <c r="D76" s="12">
        <f t="shared" si="86"/>
        <v>6.8905353196107075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218.01641299348637</v>
      </c>
      <c r="H76" s="70">
        <f t="shared" si="56"/>
        <v>342.52328651498868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1.4</v>
      </c>
      <c r="N76" s="14">
        <f>IF('Données projet'!$A$36&gt;35,N75+M76-V75,IF(A76&lt;'Données projet'!$A$36,$K$205^A76,IF(A76='Données projet'!$A$36,'Données projet'!$B$36,N75+M76-V75)))</f>
        <v>137.1999999999999</v>
      </c>
      <c r="O76" s="14">
        <f>N76*VLOOKUP('Données projet'!$B$9,Paramètres!$A$1:$I$88,3,0)*VLOOKUP('Données projet'!$B$9,Paramètres!$A$1:$I$88,5,0)</f>
        <v>139.12079999999992</v>
      </c>
      <c r="P76" s="14">
        <f t="shared" si="87"/>
        <v>36.095519333110218</v>
      </c>
      <c r="Q76" s="22">
        <f t="shared" si="54"/>
        <v>305.16842283850013</v>
      </c>
      <c r="R76" s="62">
        <f t="shared" si="55"/>
        <v>598.50175617183345</v>
      </c>
      <c r="S76" s="62">
        <f ca="1">AVERAGE(OFFSET($R$3,0,0,'Données projet'!$E$9+1,1))-AVERAGE(OFFSET($H$3,0,0,'Données projet'!$E$9+1,1))</f>
        <v>167.90363814107491</v>
      </c>
      <c r="T76" s="62">
        <f t="shared" si="88"/>
        <v>174.92847878212234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0</v>
      </c>
      <c r="AB76" s="23">
        <f>EXP(-LN(2)/2)*AB75+(1-EXP(-LN(2)/2))/(LN(2)/2)*V76*Y76*VLOOKUP('Données projet'!$B$9,Paramètres!$A$1:$I$88,3,0)*0.475*44/12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1.4</v>
      </c>
      <c r="AI76" s="14">
        <f>IF('Données projet'!$A$62&gt;35,AI75+AH76-AQ75,IF(A76&lt;'Données projet'!$A$62,$AF$205^A76,IF(A76='Données projet'!$A$62,'Données projet'!$B$62,AI75+AH76-AQ75)))</f>
        <v>137.1999999999999</v>
      </c>
      <c r="AJ76" s="14">
        <f>AI76*VLOOKUP('Données projet'!$B$10,Paramètres!$A$1:$I$88,3,0)*VLOOKUP('Données projet'!$B$10,Paramètres!$A$1:$I$88,5,0)</f>
        <v>147.68207999999987</v>
      </c>
      <c r="AK76" s="14">
        <f t="shared" si="89"/>
        <v>38.05135349734249</v>
      </c>
      <c r="AL76" s="22">
        <f t="shared" si="58"/>
        <v>323.48573000787127</v>
      </c>
      <c r="AM76" s="62">
        <f t="shared" si="59"/>
        <v>616.81906334120458</v>
      </c>
      <c r="AN76" s="62">
        <f ca="1">AVERAGE(OFFSET($AM$3,0,0,'Données projet'!$E$10+1,1))-AVERAGE(OFFSET($H$3,0,0,'Données projet'!$E$10+1,1))</f>
        <v>179.61236179838011</v>
      </c>
      <c r="AO76" s="62">
        <f t="shared" si="90"/>
        <v>186.66130555850333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0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21.2</v>
      </c>
      <c r="BD76" s="13">
        <f>IF('Données projet'!$A$88&gt;35,BD75+BC76-BL75,IF(A76&lt;'Données projet'!$A$88,$BA$205^A76,IF(A76='Données projet'!$A$88,'Données projet'!$B$88,BD75+BC76-BL75)))</f>
        <v>585.6</v>
      </c>
      <c r="BE76" s="14">
        <f>BD76*VLOOKUP('Données projet'!$B$11,Paramètres!$A$1:$I$88,3,0)*VLOOKUP('Données projet'!$B$11,Paramètres!$A$1:$I$88,5,0)</f>
        <v>274.06080000000003</v>
      </c>
      <c r="BF76" s="14">
        <f t="shared" si="91"/>
        <v>65.710323362952991</v>
      </c>
      <c r="BG76" s="22">
        <f t="shared" si="61"/>
        <v>591.76803985714309</v>
      </c>
      <c r="BH76" s="62">
        <f t="shared" si="62"/>
        <v>885.10137319047635</v>
      </c>
      <c r="BI76" s="62">
        <f ca="1">AVERAGE(OFFSET($BH$3,0,0,'Données projet'!$E$11+1,1))-AVERAGE(OFFSET($H$3,0,0,'Données projet'!$E$11+1,1))</f>
        <v>335.00873408144395</v>
      </c>
      <c r="BJ76" s="62">
        <f t="shared" si="92"/>
        <v>106.28577694955948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0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>
        <f>VLOOKUP(A76,'Données projet'!$A$113:$I$133,2,0)</f>
        <v>248</v>
      </c>
      <c r="BW76" s="13">
        <f>VLOOKUP(A76,'Données projet'!$A$113:$I$133,9,0)</f>
        <v>7.9230769230769234</v>
      </c>
      <c r="BX76" s="13">
        <f t="array" ref="BX76">INDEX(BW:BW,MIN(IF(ISNUMBER(BW76:BW272),ROW(BW76:BW272),"")))</f>
        <v>7.9230769230769234</v>
      </c>
      <c r="BY76" s="13">
        <f>IF('Données projet'!$A$114&gt;35,BY75+BX76-CG75,IF(A76&lt;'Données projet'!$A$114,$BV$205^A76,IF(A76='Données projet'!$A$114,'Données projet'!$B$114,BY75+BX76-CG75)))</f>
        <v>248.00000000000003</v>
      </c>
      <c r="BZ76" s="14">
        <f>BY76*VLOOKUP('Données projet'!$B$12,Paramètres!$A$1:$I$88,3,0)*VLOOKUP('Données projet'!$B$12,Paramètres!$A$1:$I$88,5,0)</f>
        <v>148.30400000000003</v>
      </c>
      <c r="CA76" s="14">
        <f t="shared" si="93"/>
        <v>38.192908835171721</v>
      </c>
      <c r="CB76" s="22">
        <f t="shared" si="64"/>
        <v>324.81544955459077</v>
      </c>
      <c r="CC76" s="62">
        <f t="shared" si="65"/>
        <v>618.14878288792409</v>
      </c>
      <c r="CD76" s="62">
        <f ca="1">AVERAGE(OFFSET($CC$3,0,0,'Données projet'!$E$12+1,1))-AVERAGE(OFFSET($H$3,0,0,'Données projet'!$E$12+1,1))</f>
        <v>136.47709057888358</v>
      </c>
      <c r="CE76" s="62">
        <f t="shared" si="94"/>
        <v>99.705248792886493</v>
      </c>
      <c r="CF76" s="16">
        <f>IF(ISNA(VLOOKUP(A76,'Données projet'!$A$113:$I$133,3,0)),0,VLOOKUP(A76,'Données projet'!$A$113:$I$133,3,0))</f>
        <v>5</v>
      </c>
      <c r="CG76" s="16">
        <f>IF(ISNA(VLOOKUP(A76,'Données projet'!$A$113:$I$133,4,0)),0,VLOOKUP(A76,'Données projet'!$A$113:$I$133,4,0))</f>
        <v>67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0</v>
      </c>
      <c r="CL76" s="23">
        <f>EXP(-LN(2)/25)*CL75+(1-EXP(-LN(2)/25))/(LN(2)/25)*Calculateur!CG76*Calculateur!CI76*VLOOKUP('Données projet'!$B$12,Paramètres!$A$1:$I$88,3,0)*0.475*44/12</f>
        <v>0</v>
      </c>
      <c r="CM76" s="23">
        <f>EXP(-LN(2)/2)*CM75+(1-EXP(-LN(2)/2))/(LN(2)/2)*CG76*CJ76*VLOOKUP('Données projet'!$B$12,Paramètres!$A$1:$I$88,3,0)*0.475*44/12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11.3</v>
      </c>
      <c r="CT76" s="13">
        <f>IF('Données projet'!$A$140&gt;35,CT75+CS76-DB75,IF(A76&lt;'Données projet'!$A$140,$CQ$205^A76,IF(A76='Données projet'!$A$140,'Données projet'!$B$140,CT75+CS76-DB75)))</f>
        <v>281.90000000000003</v>
      </c>
      <c r="CU76" s="18">
        <f>CT76*VLOOKUP('Données projet'!$B$13,Paramètres!$A$1:$I$88,3,0)*VLOOKUP('Données projet'!$B$13,Paramètres!$A$1:$I$88,5,0)</f>
        <v>135.59390000000002</v>
      </c>
      <c r="CV76" s="14">
        <f t="shared" si="95"/>
        <v>35.285758984382056</v>
      </c>
      <c r="CW76" s="22">
        <f t="shared" si="67"/>
        <v>297.61540606446545</v>
      </c>
      <c r="CX76" s="62">
        <f t="shared" si="68"/>
        <v>590.94873939779882</v>
      </c>
      <c r="CY76" s="62">
        <f ca="1">AVERAGE(OFFSET($CX$3,0,0,'Données projet'!$E$13+1,1))-AVERAGE(OFFSET($H$3,0,0,'Données projet'!$E$13+1,1))</f>
        <v>205.01234521498333</v>
      </c>
      <c r="CZ76" s="62">
        <f t="shared" si="96"/>
        <v>100.26042113972852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projet'!$B$13,Paramètres!$A$1:$I$88,3,0)*0.475*44/12</f>
        <v>0</v>
      </c>
      <c r="DG76" s="23">
        <f>EXP(-LN(2)/25)*DG75+(1-EXP(-LN(2)/25))/(LN(2)/25)*Calculateur!DB76*Calculateur!DD76*VLOOKUP('Données projet'!$B$13,Paramètres!$A$1:$I$88,3,0)*0.475*44/12</f>
        <v>0</v>
      </c>
      <c r="DH76" s="23">
        <f>EXP(-LN(2)/2)*DH75+(1-EXP(-LN(2)/2))/(LN(2)/2)*DB76*DE76*VLOOKUP('Données projet'!$B$13,Paramètres!$A$1:$I$88,3,0)*0.475*44/12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21.645000000000024</v>
      </c>
      <c r="D77" s="12">
        <f t="shared" si="86"/>
        <v>6.9738729562485196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220.91761580262036</v>
      </c>
      <c r="H77" s="70">
        <f t="shared" si="56"/>
        <v>343.17787039879954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1.4</v>
      </c>
      <c r="N77" s="14">
        <f>IF('Données projet'!$A$36&gt;35,N76+M77-V76,IF(A77&lt;'Données projet'!$A$36,$K$205^A77,IF(A77='Données projet'!$A$36,'Données projet'!$B$36,N76+M77-V76)))</f>
        <v>138.59999999999991</v>
      </c>
      <c r="O77" s="14">
        <f>N77*VLOOKUP('Données projet'!$B$9,Paramètres!$A$1:$I$88,3,0)*VLOOKUP('Données projet'!$B$9,Paramètres!$A$1:$I$88,5,0)</f>
        <v>140.54039999999992</v>
      </c>
      <c r="P77" s="14">
        <f t="shared" si="87"/>
        <v>36.420775774849901</v>
      </c>
      <c r="Q77" s="22">
        <f t="shared" si="54"/>
        <v>308.20738114119678</v>
      </c>
      <c r="R77" s="62">
        <f t="shared" si="55"/>
        <v>601.54071447453009</v>
      </c>
      <c r="S77" s="62">
        <f ca="1">AVERAGE(OFFSET($R$3,0,0,'Données projet'!$E$9+1,1))-AVERAGE(OFFSET($H$3,0,0,'Données projet'!$E$9+1,1))</f>
        <v>167.90363814107491</v>
      </c>
      <c r="T77" s="62">
        <f t="shared" si="88"/>
        <v>174.92847878212234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0</v>
      </c>
      <c r="AB77" s="23">
        <f>EXP(-LN(2)/2)*AB76+(1-EXP(-LN(2)/2))/(LN(2)/2)*V77*Y77*VLOOKUP('Données projet'!$B$9,Paramètres!$A$1:$I$88,3,0)*0.475*44/12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1.4</v>
      </c>
      <c r="AI77" s="14">
        <f>IF('Données projet'!$A$62&gt;35,AI76+AH77-AQ76,IF(A77&lt;'Données projet'!$A$62,$AF$205^A77,IF(A77='Données projet'!$A$62,'Données projet'!$B$62,AI76+AH77-AQ76)))</f>
        <v>138.59999999999991</v>
      </c>
      <c r="AJ77" s="14">
        <f>AI77*VLOOKUP('Données projet'!$B$10,Paramètres!$A$1:$I$88,3,0)*VLOOKUP('Données projet'!$B$10,Paramètres!$A$1:$I$88,5,0)</f>
        <v>149.18903999999989</v>
      </c>
      <c r="AK77" s="14">
        <f t="shared" si="89"/>
        <v>38.394233945403329</v>
      </c>
      <c r="AL77" s="22">
        <f t="shared" si="58"/>
        <v>326.70753545491056</v>
      </c>
      <c r="AM77" s="62">
        <f t="shared" si="59"/>
        <v>620.04086878824387</v>
      </c>
      <c r="AN77" s="62">
        <f ca="1">AVERAGE(OFFSET($AM$3,0,0,'Données projet'!$E$10+1,1))-AVERAGE(OFFSET($H$3,0,0,'Données projet'!$E$10+1,1))</f>
        <v>179.61236179838011</v>
      </c>
      <c r="AO77" s="62">
        <f t="shared" si="90"/>
        <v>186.66130555850333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0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21.2</v>
      </c>
      <c r="BD77" s="13">
        <f>IF('Données projet'!$A$88&gt;35,BD76+BC77-BL76,IF(A77&lt;'Données projet'!$A$88,$BA$205^A77,IF(A77='Données projet'!$A$88,'Données projet'!$B$88,BD76+BC77-BL76)))</f>
        <v>606.80000000000007</v>
      </c>
      <c r="BE77" s="14">
        <f>BD77*VLOOKUP('Données projet'!$B$11,Paramètres!$A$1:$I$88,3,0)*VLOOKUP('Données projet'!$B$11,Paramètres!$A$1:$I$88,5,0)</f>
        <v>283.98240000000004</v>
      </c>
      <c r="BF77" s="14">
        <f t="shared" si="91"/>
        <v>67.807911493441154</v>
      </c>
      <c r="BG77" s="22">
        <f t="shared" si="61"/>
        <v>612.70145918441006</v>
      </c>
      <c r="BH77" s="62">
        <f t="shared" si="62"/>
        <v>906.03479251774343</v>
      </c>
      <c r="BI77" s="62">
        <f ca="1">AVERAGE(OFFSET($BH$3,0,0,'Données projet'!$E$11+1,1))-AVERAGE(OFFSET($H$3,0,0,'Données projet'!$E$11+1,1))</f>
        <v>335.00873408144395</v>
      </c>
      <c r="BJ77" s="62">
        <f t="shared" si="92"/>
        <v>106.28577694955948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0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6.25</v>
      </c>
      <c r="BY77" s="13">
        <f>IF('Données projet'!$A$114&gt;35,BY76+BX77-CG76,IF(A77&lt;'Données projet'!$A$114,$BV$205^A77,IF(A77='Données projet'!$A$114,'Données projet'!$B$114,BY76+BX77-CG76)))</f>
        <v>187.25000000000003</v>
      </c>
      <c r="BZ77" s="14">
        <f>BY77*VLOOKUP('Données projet'!$B$12,Paramètres!$A$1:$I$88,3,0)*VLOOKUP('Données projet'!$B$12,Paramètres!$A$1:$I$88,5,0)</f>
        <v>111.97550000000003</v>
      </c>
      <c r="CA77" s="14">
        <f t="shared" si="93"/>
        <v>29.795944511509465</v>
      </c>
      <c r="CB77" s="22">
        <f t="shared" si="64"/>
        <v>246.91859919087901</v>
      </c>
      <c r="CC77" s="62">
        <f t="shared" si="65"/>
        <v>540.25193252421229</v>
      </c>
      <c r="CD77" s="62">
        <f ca="1">AVERAGE(OFFSET($CC$3,0,0,'Données projet'!$E$12+1,1))-AVERAGE(OFFSET($H$3,0,0,'Données projet'!$E$12+1,1))</f>
        <v>136.47709057888358</v>
      </c>
      <c r="CE77" s="62">
        <f t="shared" si="94"/>
        <v>99.705248792886493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0</v>
      </c>
      <c r="CL77" s="23">
        <f>EXP(-LN(2)/25)*CL76+(1-EXP(-LN(2)/25))/(LN(2)/25)*Calculateur!CG77*Calculateur!CI77*VLOOKUP('Données projet'!$B$12,Paramètres!$A$1:$I$88,3,0)*0.475*44/12</f>
        <v>0</v>
      </c>
      <c r="CM77" s="23">
        <f>EXP(-LN(2)/2)*CM76+(1-EXP(-LN(2)/2))/(LN(2)/2)*CG77*CJ77*VLOOKUP('Données projet'!$B$12,Paramètres!$A$1:$I$88,3,0)*0.475*44/12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11.3</v>
      </c>
      <c r="CT77" s="13">
        <f>IF('Données projet'!$A$140&gt;35,CT76+CS77-DB76,IF(A77&lt;'Données projet'!$A$140,$CQ$205^A77,IF(A77='Données projet'!$A$140,'Données projet'!$B$140,CT76+CS77-DB76)))</f>
        <v>293.20000000000005</v>
      </c>
      <c r="CU77" s="18">
        <f>CT77*VLOOKUP('Données projet'!$B$13,Paramètres!$A$1:$I$88,3,0)*VLOOKUP('Données projet'!$B$13,Paramètres!$A$1:$I$88,5,0)</f>
        <v>141.0292</v>
      </c>
      <c r="CV77" s="14">
        <f t="shared" si="95"/>
        <v>36.532680160219776</v>
      </c>
      <c r="CW77" s="22">
        <f t="shared" si="67"/>
        <v>309.25360794571606</v>
      </c>
      <c r="CX77" s="62">
        <f t="shared" si="68"/>
        <v>602.58694127904937</v>
      </c>
      <c r="CY77" s="62">
        <f ca="1">AVERAGE(OFFSET($CX$3,0,0,'Données projet'!$E$13+1,1))-AVERAGE(OFFSET($H$3,0,0,'Données projet'!$E$13+1,1))</f>
        <v>205.01234521498333</v>
      </c>
      <c r="CZ77" s="62">
        <f t="shared" si="96"/>
        <v>100.26042113972852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projet'!$B$13,Paramètres!$A$1:$I$88,3,0)*0.475*44/12</f>
        <v>0</v>
      </c>
      <c r="DG77" s="23">
        <f>EXP(-LN(2)/25)*DG76+(1-EXP(-LN(2)/25))/(LN(2)/25)*Calculateur!DB77*Calculateur!DD77*VLOOKUP('Données projet'!$B$13,Paramètres!$A$1:$I$88,3,0)*0.475*44/12</f>
        <v>0</v>
      </c>
      <c r="DH77" s="23">
        <f>EXP(-LN(2)/2)*DH76+(1-EXP(-LN(2)/2))/(LN(2)/2)*DB77*DE77*VLOOKUP('Données projet'!$B$13,Paramètres!$A$1:$I$88,3,0)*0.475*44/12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21.937500000000025</v>
      </c>
      <c r="D78" s="12">
        <f t="shared" si="86"/>
        <v>7.0570796038653896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223.81780746843478</v>
      </c>
      <c r="H78" s="70">
        <f t="shared" si="56"/>
        <v>343.83222614339888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140</v>
      </c>
      <c r="L78" s="13">
        <f>VLOOKUP(A78,'Données projet'!$A$35:$I$55,9,0)</f>
        <v>1.4</v>
      </c>
      <c r="M78" s="13">
        <f t="array" ref="M78">INDEX(L:L,MIN(IF(ISNUMBER(L78:L274),ROW(L78:L274),"")))</f>
        <v>1.4</v>
      </c>
      <c r="N78" s="14">
        <f>IF('Données projet'!$A$36&gt;35,N77+M78-V77,IF(A78&lt;'Données projet'!$A$36,$K$205^A78,IF(A78='Données projet'!$A$36,'Données projet'!$B$36,N77+M78-V77)))</f>
        <v>139.99999999999991</v>
      </c>
      <c r="O78" s="14">
        <f>N78*VLOOKUP('Données projet'!$B$9,Paramètres!$A$1:$I$88,3,0)*VLOOKUP('Données projet'!$B$9,Paramètres!$A$1:$I$88,5,0)</f>
        <v>141.95999999999992</v>
      </c>
      <c r="P78" s="14">
        <f t="shared" si="87"/>
        <v>36.745650011720457</v>
      </c>
      <c r="Q78" s="22">
        <f t="shared" si="54"/>
        <v>311.24567377041296</v>
      </c>
      <c r="R78" s="62">
        <f t="shared" si="55"/>
        <v>604.57900710374633</v>
      </c>
      <c r="S78" s="62">
        <f ca="1">AVERAGE(OFFSET($R$3,0,0,'Données projet'!$E$9+1,1))-AVERAGE(OFFSET($H$3,0,0,'Données projet'!$E$9+1,1))</f>
        <v>167.90363814107491</v>
      </c>
      <c r="T78" s="62">
        <f t="shared" si="88"/>
        <v>174.92847878212234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0</v>
      </c>
      <c r="AB78" s="23">
        <f>EXP(-LN(2)/2)*AB77+(1-EXP(-LN(2)/2))/(LN(2)/2)*V78*Y78*VLOOKUP('Données projet'!$B$9,Paramètres!$A$1:$I$88,3,0)*0.475*44/12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140</v>
      </c>
      <c r="AG78" s="13">
        <f>VLOOKUP(A78,'Données projet'!$A$61:$I$81,9,0)</f>
        <v>1.4</v>
      </c>
      <c r="AH78" s="13">
        <f t="array" ref="AH78">INDEX(AG:AG,MIN(IF(ISNUMBER(AG78:AG274),ROW(AG78:AG274),"")))</f>
        <v>1.4</v>
      </c>
      <c r="AI78" s="14">
        <f>IF('Données projet'!$A$62&gt;35,AI77+AH78-AQ77,IF(A78&lt;'Données projet'!$A$62,$AF$205^A78,IF(A78='Données projet'!$A$62,'Données projet'!$B$62,AI77+AH78-AQ77)))</f>
        <v>139.99999999999991</v>
      </c>
      <c r="AJ78" s="14">
        <f>AI78*VLOOKUP('Données projet'!$B$10,Paramètres!$A$1:$I$88,3,0)*VLOOKUP('Données projet'!$B$10,Paramètres!$A$1:$I$88,5,0)</f>
        <v>150.69599999999991</v>
      </c>
      <c r="AK78" s="14">
        <f t="shared" si="89"/>
        <v>38.736711478840597</v>
      </c>
      <c r="AL78" s="22">
        <f t="shared" si="58"/>
        <v>329.92863915898056</v>
      </c>
      <c r="AM78" s="62">
        <f t="shared" si="59"/>
        <v>623.26197249231382</v>
      </c>
      <c r="AN78" s="62">
        <f ca="1">AVERAGE(OFFSET($AM$3,0,0,'Données projet'!$E$10+1,1))-AVERAGE(OFFSET($H$3,0,0,'Données projet'!$E$10+1,1))</f>
        <v>179.61236179838011</v>
      </c>
      <c r="AO78" s="62">
        <f t="shared" si="90"/>
        <v>186.66130555850333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0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21.2</v>
      </c>
      <c r="BD78" s="13">
        <f>IF('Données projet'!$A$88&gt;35,BD77+BC78-BL77,IF(A78&lt;'Données projet'!$A$88,$BA$205^A78,IF(A78='Données projet'!$A$88,'Données projet'!$B$88,BD77+BC78-BL77)))</f>
        <v>628.00000000000011</v>
      </c>
      <c r="BE78" s="14">
        <f>BD78*VLOOKUP('Données projet'!$B$11,Paramètres!$A$1:$I$88,3,0)*VLOOKUP('Données projet'!$B$11,Paramètres!$A$1:$I$88,5,0)</f>
        <v>293.90400000000005</v>
      </c>
      <c r="BF78" s="14">
        <f t="shared" si="91"/>
        <v>69.896984831773324</v>
      </c>
      <c r="BG78" s="22">
        <f t="shared" si="61"/>
        <v>633.62004858200532</v>
      </c>
      <c r="BH78" s="62">
        <f t="shared" si="62"/>
        <v>926.9533819153387</v>
      </c>
      <c r="BI78" s="62">
        <f ca="1">AVERAGE(OFFSET($BH$3,0,0,'Données projet'!$E$11+1,1))-AVERAGE(OFFSET($H$3,0,0,'Données projet'!$E$11+1,1))</f>
        <v>335.00873408144395</v>
      </c>
      <c r="BJ78" s="62">
        <f t="shared" si="92"/>
        <v>106.28577694955948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0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6.25</v>
      </c>
      <c r="BY78" s="13">
        <f>IF('Données projet'!$A$114&gt;35,BY77+BX78-CG77,IF(A78&lt;'Données projet'!$A$114,$BV$205^A78,IF(A78='Données projet'!$A$114,'Données projet'!$B$114,BY77+BX78-CG77)))</f>
        <v>193.50000000000003</v>
      </c>
      <c r="BZ78" s="14">
        <f>BY78*VLOOKUP('Données projet'!$B$12,Paramètres!$A$1:$I$88,3,0)*VLOOKUP('Données projet'!$B$12,Paramètres!$A$1:$I$88,5,0)</f>
        <v>115.71300000000002</v>
      </c>
      <c r="CA78" s="14">
        <f t="shared" si="93"/>
        <v>30.673019842466044</v>
      </c>
      <c r="CB78" s="22">
        <f t="shared" si="64"/>
        <v>254.95565122562834</v>
      </c>
      <c r="CC78" s="62">
        <f t="shared" si="65"/>
        <v>548.2889845589616</v>
      </c>
      <c r="CD78" s="62">
        <f ca="1">AVERAGE(OFFSET($CC$3,0,0,'Données projet'!$E$12+1,1))-AVERAGE(OFFSET($H$3,0,0,'Données projet'!$E$12+1,1))</f>
        <v>136.47709057888358</v>
      </c>
      <c r="CE78" s="62">
        <f t="shared" si="94"/>
        <v>99.705248792886493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0</v>
      </c>
      <c r="CL78" s="23">
        <f>EXP(-LN(2)/25)*CL77+(1-EXP(-LN(2)/25))/(LN(2)/25)*Calculateur!CG78*Calculateur!CI78*VLOOKUP('Données projet'!$B$12,Paramètres!$A$1:$I$88,3,0)*0.475*44/12</f>
        <v>0</v>
      </c>
      <c r="CM78" s="23">
        <f>EXP(-LN(2)/2)*CM77+(1-EXP(-LN(2)/2))/(LN(2)/2)*CG78*CJ78*VLOOKUP('Données projet'!$B$12,Paramètres!$A$1:$I$88,3,0)*0.475*44/12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11.3</v>
      </c>
      <c r="CT78" s="13">
        <f>IF('Données projet'!$A$140&gt;35,CT77+CS78-DB77,IF(A78&lt;'Données projet'!$A$140,$CQ$205^A78,IF(A78='Données projet'!$A$140,'Données projet'!$B$140,CT77+CS78-DB77)))</f>
        <v>304.50000000000006</v>
      </c>
      <c r="CU78" s="18">
        <f>CT78*VLOOKUP('Données projet'!$B$13,Paramètres!$A$1:$I$88,3,0)*VLOOKUP('Données projet'!$B$13,Paramètres!$A$1:$I$88,5,0)</f>
        <v>146.46450000000004</v>
      </c>
      <c r="CV78" s="14">
        <f t="shared" si="95"/>
        <v>37.774018610834226</v>
      </c>
      <c r="CW78" s="22">
        <f t="shared" si="67"/>
        <v>320.88208658053628</v>
      </c>
      <c r="CX78" s="62">
        <f t="shared" si="68"/>
        <v>614.2154199138696</v>
      </c>
      <c r="CY78" s="62">
        <f ca="1">AVERAGE(OFFSET($CX$3,0,0,'Données projet'!$E$13+1,1))-AVERAGE(OFFSET($H$3,0,0,'Données projet'!$E$13+1,1))</f>
        <v>205.01234521498333</v>
      </c>
      <c r="CZ78" s="62">
        <f t="shared" si="96"/>
        <v>100.26042113972852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projet'!$B$13,Paramètres!$A$1:$I$88,3,0)*0.475*44/12</f>
        <v>0</v>
      </c>
      <c r="DG78" s="23">
        <f>EXP(-LN(2)/25)*DG77+(1-EXP(-LN(2)/25))/(LN(2)/25)*Calculateur!DB78*Calculateur!DD78*VLOOKUP('Données projet'!$B$13,Paramètres!$A$1:$I$88,3,0)*0.475*44/12</f>
        <v>0</v>
      </c>
      <c r="DH78" s="23">
        <f>EXP(-LN(2)/2)*DH77+(1-EXP(-LN(2)/2))/(LN(2)/2)*DB78*DE78*VLOOKUP('Données projet'!$B$13,Paramètres!$A$1:$I$88,3,0)*0.475*44/12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22.230000000000025</v>
      </c>
      <c r="D79" s="12">
        <f t="shared" si="86"/>
        <v>7.1401572108804467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226.71700303135802</v>
      </c>
      <c r="H79" s="70">
        <f t="shared" si="56"/>
        <v>344.48635714228345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1.4</v>
      </c>
      <c r="N79" s="14">
        <f>IF('Données projet'!$A$36&gt;35,N78+M79-V78,IF(A79&lt;'Données projet'!$A$36,$K$205^A79,IF(A79='Données projet'!$A$36,'Données projet'!$B$36,N78+M79-V78)))</f>
        <v>141.39999999999992</v>
      </c>
      <c r="O79" s="14">
        <f>N79*VLOOKUP('Données projet'!$B$9,Paramètres!$A$1:$I$88,3,0)*VLOOKUP('Données projet'!$B$9,Paramètres!$A$1:$I$88,5,0)</f>
        <v>143.37959999999993</v>
      </c>
      <c r="P79" s="14">
        <f t="shared" si="87"/>
        <v>37.070146308317433</v>
      </c>
      <c r="Q79" s="22">
        <f t="shared" si="54"/>
        <v>314.28330815365268</v>
      </c>
      <c r="R79" s="62">
        <f t="shared" si="55"/>
        <v>607.61664148698605</v>
      </c>
      <c r="S79" s="62">
        <f ca="1">AVERAGE(OFFSET($R$3,0,0,'Données projet'!$E$9+1,1))-AVERAGE(OFFSET($H$3,0,0,'Données projet'!$E$9+1,1))</f>
        <v>167.90363814107491</v>
      </c>
      <c r="T79" s="62">
        <f t="shared" si="88"/>
        <v>174.92847878212234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0</v>
      </c>
      <c r="AB79" s="23">
        <f>EXP(-LN(2)/2)*AB78+(1-EXP(-LN(2)/2))/(LN(2)/2)*V79*Y79*VLOOKUP('Données projet'!$B$9,Paramètres!$A$1:$I$88,3,0)*0.475*44/12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1.4</v>
      </c>
      <c r="AI79" s="14">
        <f>IF('Données projet'!$A$62&gt;35,AI78+AH79-AQ78,IF(A79&lt;'Données projet'!$A$62,$AF$205^A79,IF(A79='Données projet'!$A$62,'Données projet'!$B$62,AI78+AH79-AQ78)))</f>
        <v>141.39999999999992</v>
      </c>
      <c r="AJ79" s="14">
        <f>AI79*VLOOKUP('Données projet'!$B$10,Paramètres!$A$1:$I$88,3,0)*VLOOKUP('Données projet'!$B$10,Paramètres!$A$1:$I$88,5,0)</f>
        <v>152.2029599999999</v>
      </c>
      <c r="AK79" s="14">
        <f t="shared" si="89"/>
        <v>39.078790593326843</v>
      </c>
      <c r="AL79" s="22">
        <f t="shared" si="58"/>
        <v>333.14904895004412</v>
      </c>
      <c r="AM79" s="62">
        <f t="shared" si="59"/>
        <v>626.48238228337743</v>
      </c>
      <c r="AN79" s="62">
        <f ca="1">AVERAGE(OFFSET($AM$3,0,0,'Données projet'!$E$10+1,1))-AVERAGE(OFFSET($H$3,0,0,'Données projet'!$E$10+1,1))</f>
        <v>179.61236179838011</v>
      </c>
      <c r="AO79" s="62">
        <f t="shared" si="90"/>
        <v>186.66130555850333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0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21.2</v>
      </c>
      <c r="BD79" s="13">
        <f>IF('Données projet'!$A$88&gt;35,BD78+BC79-BL78,IF(A79&lt;'Données projet'!$A$88,$BA$205^A79,IF(A79='Données projet'!$A$88,'Données projet'!$B$88,BD78+BC79-BL78)))</f>
        <v>649.20000000000016</v>
      </c>
      <c r="BE79" s="14">
        <f>BD79*VLOOKUP('Données projet'!$B$11,Paramètres!$A$1:$I$88,3,0)*VLOOKUP('Données projet'!$B$11,Paramètres!$A$1:$I$88,5,0)</f>
        <v>303.82560000000007</v>
      </c>
      <c r="BF79" s="14">
        <f t="shared" si="91"/>
        <v>71.977863772206462</v>
      </c>
      <c r="BG79" s="22">
        <f t="shared" si="61"/>
        <v>654.52436606992637</v>
      </c>
      <c r="BH79" s="62">
        <f t="shared" si="62"/>
        <v>947.85769940325963</v>
      </c>
      <c r="BI79" s="62">
        <f ca="1">AVERAGE(OFFSET($BH$3,0,0,'Données projet'!$E$11+1,1))-AVERAGE(OFFSET($H$3,0,0,'Données projet'!$E$11+1,1))</f>
        <v>335.00873408144395</v>
      </c>
      <c r="BJ79" s="62">
        <f t="shared" si="92"/>
        <v>106.28577694955948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0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6.25</v>
      </c>
      <c r="BY79" s="13">
        <f>IF('Données projet'!$A$114&gt;35,BY78+BX79-CG78,IF(A79&lt;'Données projet'!$A$114,$BV$205^A79,IF(A79='Données projet'!$A$114,'Données projet'!$B$114,BY78+BX79-CG78)))</f>
        <v>199.75000000000003</v>
      </c>
      <c r="BZ79" s="14">
        <f>BY79*VLOOKUP('Données projet'!$B$12,Paramètres!$A$1:$I$88,3,0)*VLOOKUP('Données projet'!$B$12,Paramètres!$A$1:$I$88,5,0)</f>
        <v>119.45050000000003</v>
      </c>
      <c r="CA79" s="14">
        <f t="shared" si="93"/>
        <v>31.546803228497456</v>
      </c>
      <c r="CB79" s="22">
        <f t="shared" si="64"/>
        <v>262.98696978963306</v>
      </c>
      <c r="CC79" s="62">
        <f t="shared" si="65"/>
        <v>556.32030312296638</v>
      </c>
      <c r="CD79" s="62">
        <f ca="1">AVERAGE(OFFSET($CC$3,0,0,'Données projet'!$E$12+1,1))-AVERAGE(OFFSET($H$3,0,0,'Données projet'!$E$12+1,1))</f>
        <v>136.47709057888358</v>
      </c>
      <c r="CE79" s="62">
        <f t="shared" si="94"/>
        <v>99.705248792886493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0</v>
      </c>
      <c r="CL79" s="23">
        <f>EXP(-LN(2)/25)*CL78+(1-EXP(-LN(2)/25))/(LN(2)/25)*Calculateur!CG79*Calculateur!CI79*VLOOKUP('Données projet'!$B$12,Paramètres!$A$1:$I$88,3,0)*0.475*44/12</f>
        <v>0</v>
      </c>
      <c r="CM79" s="23">
        <f>EXP(-LN(2)/2)*CM78+(1-EXP(-LN(2)/2))/(LN(2)/2)*CG79*CJ79*VLOOKUP('Données projet'!$B$12,Paramètres!$A$1:$I$88,3,0)*0.475*44/12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11.3</v>
      </c>
      <c r="CT79" s="13">
        <f>IF('Données projet'!$A$140&gt;35,CT78+CS79-DB78,IF(A79&lt;'Données projet'!$A$140,$CQ$205^A79,IF(A79='Données projet'!$A$140,'Données projet'!$B$140,CT78+CS79-DB78)))</f>
        <v>315.80000000000007</v>
      </c>
      <c r="CU79" s="18">
        <f>CT79*VLOOKUP('Données projet'!$B$13,Paramètres!$A$1:$I$88,3,0)*VLOOKUP('Données projet'!$B$13,Paramètres!$A$1:$I$88,5,0)</f>
        <v>151.89980000000003</v>
      </c>
      <c r="CV79" s="14">
        <f t="shared" si="95"/>
        <v>39.010005235445981</v>
      </c>
      <c r="CW79" s="22">
        <f t="shared" si="67"/>
        <v>332.50124411840181</v>
      </c>
      <c r="CX79" s="62">
        <f t="shared" si="68"/>
        <v>625.83457745173519</v>
      </c>
      <c r="CY79" s="62">
        <f ca="1">AVERAGE(OFFSET($CX$3,0,0,'Données projet'!$E$13+1,1))-AVERAGE(OFFSET($H$3,0,0,'Données projet'!$E$13+1,1))</f>
        <v>205.01234521498333</v>
      </c>
      <c r="CZ79" s="62">
        <f t="shared" si="96"/>
        <v>100.26042113972852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projet'!$B$13,Paramètres!$A$1:$I$88,3,0)*0.475*44/12</f>
        <v>0</v>
      </c>
      <c r="DG79" s="23">
        <f>EXP(-LN(2)/25)*DG78+(1-EXP(-LN(2)/25))/(LN(2)/25)*Calculateur!DB79*Calculateur!DD79*VLOOKUP('Données projet'!$B$13,Paramètres!$A$1:$I$88,3,0)*0.475*44/12</f>
        <v>0</v>
      </c>
      <c r="DH79" s="23">
        <f>EXP(-LN(2)/2)*DH78+(1-EXP(-LN(2)/2))/(LN(2)/2)*DB79*DE79*VLOOKUP('Données projet'!$B$13,Paramètres!$A$1:$I$88,3,0)*0.475*44/12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22.522500000000026</v>
      </c>
      <c r="D80" s="12">
        <f t="shared" si="86"/>
        <v>7.2231076714913325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229.6152171132666</v>
      </c>
      <c r="H80" s="70">
        <f t="shared" si="56"/>
        <v>345.14026669451408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1.4</v>
      </c>
      <c r="N80" s="14">
        <f>IF('Données projet'!$A$36&gt;35,N79+M80-V79,IF(A80&lt;'Données projet'!$A$36,$K$205^A80,IF(A80='Données projet'!$A$36,'Données projet'!$B$36,N79+M80-V79)))</f>
        <v>142.79999999999993</v>
      </c>
      <c r="O80" s="14">
        <f>N80*VLOOKUP('Données projet'!$B$9,Paramètres!$A$1:$I$88,3,0)*VLOOKUP('Données projet'!$B$9,Paramètres!$A$1:$I$88,5,0)</f>
        <v>144.79919999999993</v>
      </c>
      <c r="P80" s="14">
        <f t="shared" si="87"/>
        <v>37.394268839921288</v>
      </c>
      <c r="Q80" s="22">
        <f t="shared" si="54"/>
        <v>317.32029156286279</v>
      </c>
      <c r="R80" s="62">
        <f t="shared" si="55"/>
        <v>610.65362489619611</v>
      </c>
      <c r="S80" s="62">
        <f ca="1">AVERAGE(OFFSET($R$3,0,0,'Données projet'!$E$9+1,1))-AVERAGE(OFFSET($H$3,0,0,'Données projet'!$E$9+1,1))</f>
        <v>167.90363814107491</v>
      </c>
      <c r="T80" s="62">
        <f t="shared" si="88"/>
        <v>174.92847878212234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0</v>
      </c>
      <c r="AB80" s="23">
        <f>EXP(-LN(2)/2)*AB79+(1-EXP(-LN(2)/2))/(LN(2)/2)*V80*Y80*VLOOKUP('Données projet'!$B$9,Paramètres!$A$1:$I$88,3,0)*0.475*44/12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1.4</v>
      </c>
      <c r="AI80" s="14">
        <f>IF('Données projet'!$A$62&gt;35,AI79+AH80-AQ79,IF(A80&lt;'Données projet'!$A$62,$AF$205^A80,IF(A80='Données projet'!$A$62,'Données projet'!$B$62,AI79+AH80-AQ79)))</f>
        <v>142.79999999999993</v>
      </c>
      <c r="AJ80" s="14">
        <f>AI80*VLOOKUP('Données projet'!$B$10,Paramètres!$A$1:$I$88,3,0)*VLOOKUP('Données projet'!$B$10,Paramètres!$A$1:$I$88,5,0)</f>
        <v>153.7099199999999</v>
      </c>
      <c r="AK80" s="14">
        <f t="shared" si="89"/>
        <v>39.420475690379796</v>
      </c>
      <c r="AL80" s="22">
        <f t="shared" si="58"/>
        <v>336.36877249407797</v>
      </c>
      <c r="AM80" s="62">
        <f t="shared" si="59"/>
        <v>629.70210582741129</v>
      </c>
      <c r="AN80" s="62">
        <f ca="1">AVERAGE(OFFSET($AM$3,0,0,'Données projet'!$E$10+1,1))-AVERAGE(OFFSET($H$3,0,0,'Données projet'!$E$10+1,1))</f>
        <v>179.61236179838011</v>
      </c>
      <c r="AO80" s="62">
        <f t="shared" si="90"/>
        <v>186.66130555850333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0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21.2</v>
      </c>
      <c r="BD80" s="13">
        <f>IF('Données projet'!$A$88&gt;35,BD79+BC80-BL79,IF(A80&lt;'Données projet'!$A$88,$BA$205^A80,IF(A80='Données projet'!$A$88,'Données projet'!$B$88,BD79+BC80-BL79)))</f>
        <v>670.4000000000002</v>
      </c>
      <c r="BE80" s="14">
        <f>BD80*VLOOKUP('Données projet'!$B$11,Paramètres!$A$1:$I$88,3,0)*VLOOKUP('Données projet'!$B$11,Paramètres!$A$1:$I$88,5,0)</f>
        <v>313.74720000000008</v>
      </c>
      <c r="BF80" s="14">
        <f t="shared" si="91"/>
        <v>74.050846595914663</v>
      </c>
      <c r="BG80" s="22">
        <f t="shared" si="61"/>
        <v>675.41493115455148</v>
      </c>
      <c r="BH80" s="62">
        <f t="shared" si="62"/>
        <v>968.74826448788485</v>
      </c>
      <c r="BI80" s="62">
        <f ca="1">AVERAGE(OFFSET($BH$3,0,0,'Données projet'!$E$11+1,1))-AVERAGE(OFFSET($H$3,0,0,'Données projet'!$E$11+1,1))</f>
        <v>335.00873408144395</v>
      </c>
      <c r="BJ80" s="62">
        <f t="shared" si="92"/>
        <v>106.28577694955948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0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6.25</v>
      </c>
      <c r="BY80" s="13">
        <f>IF('Données projet'!$A$114&gt;35,BY79+BX80-CG79,IF(A80&lt;'Données projet'!$A$114,$BV$205^A80,IF(A80='Données projet'!$A$114,'Données projet'!$B$114,BY79+BX80-CG79)))</f>
        <v>206.00000000000003</v>
      </c>
      <c r="BZ80" s="14">
        <f>BY80*VLOOKUP('Données projet'!$B$12,Paramètres!$A$1:$I$88,3,0)*VLOOKUP('Données projet'!$B$12,Paramètres!$A$1:$I$88,5,0)</f>
        <v>123.18800000000003</v>
      </c>
      <c r="CA80" s="14">
        <f t="shared" si="93"/>
        <v>32.417409489939047</v>
      </c>
      <c r="CB80" s="22">
        <f t="shared" si="64"/>
        <v>271.01275486164383</v>
      </c>
      <c r="CC80" s="62">
        <f t="shared" si="65"/>
        <v>564.34608819497714</v>
      </c>
      <c r="CD80" s="62">
        <f ca="1">AVERAGE(OFFSET($CC$3,0,0,'Données projet'!$E$12+1,1))-AVERAGE(OFFSET($H$3,0,0,'Données projet'!$E$12+1,1))</f>
        <v>136.47709057888358</v>
      </c>
      <c r="CE80" s="62">
        <f t="shared" si="94"/>
        <v>99.705248792886493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0</v>
      </c>
      <c r="CL80" s="23">
        <f>EXP(-LN(2)/25)*CL79+(1-EXP(-LN(2)/25))/(LN(2)/25)*Calculateur!CG80*Calculateur!CI80*VLOOKUP('Données projet'!$B$12,Paramètres!$A$1:$I$88,3,0)*0.475*44/12</f>
        <v>0</v>
      </c>
      <c r="CM80" s="23">
        <f>EXP(-LN(2)/2)*CM79+(1-EXP(-LN(2)/2))/(LN(2)/2)*CG80*CJ80*VLOOKUP('Données projet'!$B$12,Paramètres!$A$1:$I$88,3,0)*0.475*44/12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11.3</v>
      </c>
      <c r="CT80" s="13">
        <f>IF('Données projet'!$A$140&gt;35,CT79+CS80-DB79,IF(A80&lt;'Données projet'!$A$140,$CQ$205^A80,IF(A80='Données projet'!$A$140,'Données projet'!$B$140,CT79+CS80-DB79)))</f>
        <v>327.10000000000008</v>
      </c>
      <c r="CU80" s="18">
        <f>CT80*VLOOKUP('Données projet'!$B$13,Paramètres!$A$1:$I$88,3,0)*VLOOKUP('Données projet'!$B$13,Paramètres!$A$1:$I$88,5,0)</f>
        <v>157.33510000000004</v>
      </c>
      <c r="CV80" s="14">
        <f t="shared" si="95"/>
        <v>40.240853472438801</v>
      </c>
      <c r="CW80" s="22">
        <f t="shared" si="67"/>
        <v>344.11145229783097</v>
      </c>
      <c r="CX80" s="62">
        <f t="shared" si="68"/>
        <v>637.44478563116422</v>
      </c>
      <c r="CY80" s="62">
        <f ca="1">AVERAGE(OFFSET($CX$3,0,0,'Données projet'!$E$13+1,1))-AVERAGE(OFFSET($H$3,0,0,'Données projet'!$E$13+1,1))</f>
        <v>205.01234521498333</v>
      </c>
      <c r="CZ80" s="62">
        <f t="shared" si="96"/>
        <v>100.26042113972852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projet'!$B$13,Paramètres!$A$1:$I$88,3,0)*0.475*44/12</f>
        <v>0</v>
      </c>
      <c r="DG80" s="23">
        <f>EXP(-LN(2)/25)*DG79+(1-EXP(-LN(2)/25))/(LN(2)/25)*Calculateur!DB80*Calculateur!DD80*VLOOKUP('Données projet'!$B$13,Paramètres!$A$1:$I$88,3,0)*0.475*44/12</f>
        <v>0</v>
      </c>
      <c r="DH80" s="23">
        <f>EXP(-LN(2)/2)*DH79+(1-EXP(-LN(2)/2))/(LN(2)/2)*DB80*DE80*VLOOKUP('Données projet'!$B$13,Paramètres!$A$1:$I$88,3,0)*0.475*44/12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22.815000000000026</v>
      </c>
      <c r="D81" s="12">
        <f t="shared" si="86"/>
        <v>7.3059328278672933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232.51246393441443</v>
      </c>
      <c r="H81" s="70">
        <f t="shared" si="56"/>
        <v>345.79395800853558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1.4</v>
      </c>
      <c r="N81" s="14">
        <f>IF('Données projet'!$A$36&gt;35,N80+M81-V80,IF(A81&lt;'Données projet'!$A$36,$K$205^A81,IF(A81='Données projet'!$A$36,'Données projet'!$B$36,N80+M81-V80)))</f>
        <v>144.19999999999993</v>
      </c>
      <c r="O81" s="14">
        <f>N81*VLOOKUP('Données projet'!$B$9,Paramètres!$A$1:$I$88,3,0)*VLOOKUP('Données projet'!$B$9,Paramètres!$A$1:$I$88,5,0)</f>
        <v>146.21879999999993</v>
      </c>
      <c r="P81" s="14">
        <f t="shared" si="87"/>
        <v>37.718021695224742</v>
      </c>
      <c r="Q81" s="22">
        <f t="shared" si="54"/>
        <v>320.35663111918296</v>
      </c>
      <c r="R81" s="62">
        <f t="shared" si="55"/>
        <v>613.68996445251628</v>
      </c>
      <c r="S81" s="62">
        <f ca="1">AVERAGE(OFFSET($R$3,0,0,'Données projet'!$E$9+1,1))-AVERAGE(OFFSET($H$3,0,0,'Données projet'!$E$9+1,1))</f>
        <v>167.90363814107491</v>
      </c>
      <c r="T81" s="62">
        <f t="shared" si="88"/>
        <v>174.92847878212234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0</v>
      </c>
      <c r="AB81" s="23">
        <f>EXP(-LN(2)/2)*AB80+(1-EXP(-LN(2)/2))/(LN(2)/2)*V81*Y81*VLOOKUP('Données projet'!$B$9,Paramètres!$A$1:$I$88,3,0)*0.475*44/12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1.4</v>
      </c>
      <c r="AI81" s="14">
        <f>IF('Données projet'!$A$62&gt;35,AI80+AH81-AQ80,IF(A81&lt;'Données projet'!$A$62,$AF$205^A81,IF(A81='Données projet'!$A$62,'Données projet'!$B$62,AI80+AH81-AQ80)))</f>
        <v>144.19999999999993</v>
      </c>
      <c r="AJ81" s="14">
        <f>AI81*VLOOKUP('Données projet'!$B$10,Paramètres!$A$1:$I$88,3,0)*VLOOKUP('Données projet'!$B$10,Paramètres!$A$1:$I$88,5,0)</f>
        <v>155.21687999999992</v>
      </c>
      <c r="AK81" s="14">
        <f t="shared" si="89"/>
        <v>39.761771080237892</v>
      </c>
      <c r="AL81" s="22">
        <f t="shared" si="58"/>
        <v>339.58781729808078</v>
      </c>
      <c r="AM81" s="62">
        <f t="shared" si="59"/>
        <v>632.92115063141409</v>
      </c>
      <c r="AN81" s="62">
        <f ca="1">AVERAGE(OFFSET($AM$3,0,0,'Données projet'!$E$10+1,1))-AVERAGE(OFFSET($H$3,0,0,'Données projet'!$E$10+1,1))</f>
        <v>179.61236179838011</v>
      </c>
      <c r="AO81" s="62">
        <f t="shared" si="90"/>
        <v>186.66130555850333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0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21.2</v>
      </c>
      <c r="BD81" s="13">
        <f>IF('Données projet'!$A$88&gt;35,BD80+BC81-BL80,IF(A81&lt;'Données projet'!$A$88,$BA$205^A81,IF(A81='Données projet'!$A$88,'Données projet'!$B$88,BD80+BC81-BL80)))</f>
        <v>691.60000000000025</v>
      </c>
      <c r="BE81" s="14">
        <f>BD81*VLOOKUP('Données projet'!$B$11,Paramètres!$A$1:$I$88,3,0)*VLOOKUP('Données projet'!$B$11,Paramètres!$A$1:$I$88,5,0)</f>
        <v>323.66880000000015</v>
      </c>
      <c r="BF81" s="14">
        <f t="shared" si="91"/>
        <v>76.11621164769852</v>
      </c>
      <c r="BG81" s="22">
        <f t="shared" si="61"/>
        <v>696.29222861974176</v>
      </c>
      <c r="BH81" s="62">
        <f t="shared" si="62"/>
        <v>989.62556195307502</v>
      </c>
      <c r="BI81" s="62">
        <f ca="1">AVERAGE(OFFSET($BH$3,0,0,'Données projet'!$E$11+1,1))-AVERAGE(OFFSET($H$3,0,0,'Données projet'!$E$11+1,1))</f>
        <v>335.00873408144395</v>
      </c>
      <c r="BJ81" s="62">
        <f t="shared" si="92"/>
        <v>106.28577694955948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0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6.25</v>
      </c>
      <c r="BY81" s="13">
        <f>IF('Données projet'!$A$114&gt;35,BY80+BX81-CG80,IF(A81&lt;'Données projet'!$A$114,$BV$205^A81,IF(A81='Données projet'!$A$114,'Données projet'!$B$114,BY80+BX81-CG80)))</f>
        <v>212.25000000000003</v>
      </c>
      <c r="BZ81" s="14">
        <f>BY81*VLOOKUP('Données projet'!$B$12,Paramètres!$A$1:$I$88,3,0)*VLOOKUP('Données projet'!$B$12,Paramètres!$A$1:$I$88,5,0)</f>
        <v>126.92550000000003</v>
      </c>
      <c r="CA81" s="14">
        <f t="shared" si="93"/>
        <v>33.284946083957735</v>
      </c>
      <c r="CB81" s="22">
        <f t="shared" si="64"/>
        <v>279.03319359622645</v>
      </c>
      <c r="CC81" s="62">
        <f t="shared" si="65"/>
        <v>572.36652692955977</v>
      </c>
      <c r="CD81" s="62">
        <f ca="1">AVERAGE(OFFSET($CC$3,0,0,'Données projet'!$E$12+1,1))-AVERAGE(OFFSET($H$3,0,0,'Données projet'!$E$12+1,1))</f>
        <v>136.47709057888358</v>
      </c>
      <c r="CE81" s="62">
        <f t="shared" si="94"/>
        <v>99.705248792886493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0</v>
      </c>
      <c r="CL81" s="23">
        <f>EXP(-LN(2)/25)*CL80+(1-EXP(-LN(2)/25))/(LN(2)/25)*Calculateur!CG81*Calculateur!CI81*VLOOKUP('Données projet'!$B$12,Paramètres!$A$1:$I$88,3,0)*0.475*44/12</f>
        <v>0</v>
      </c>
      <c r="CM81" s="23">
        <f>EXP(-LN(2)/2)*CM80+(1-EXP(-LN(2)/2))/(LN(2)/2)*CG81*CJ81*VLOOKUP('Données projet'!$B$12,Paramètres!$A$1:$I$88,3,0)*0.475*44/12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11.3</v>
      </c>
      <c r="CT81" s="13">
        <f>IF('Données projet'!$A$140&gt;35,CT80+CS81-DB80,IF(A81&lt;'Données projet'!$A$140,$CQ$205^A81,IF(A81='Données projet'!$A$140,'Données projet'!$B$140,CT80+CS81-DB80)))</f>
        <v>338.40000000000009</v>
      </c>
      <c r="CU81" s="18">
        <f>CT81*VLOOKUP('Données projet'!$B$13,Paramètres!$A$1:$I$88,3,0)*VLOOKUP('Données projet'!$B$13,Paramètres!$A$1:$I$88,5,0)</f>
        <v>162.77040000000005</v>
      </c>
      <c r="CV81" s="14">
        <f t="shared" si="95"/>
        <v>41.466761176934298</v>
      </c>
      <c r="CW81" s="22">
        <f t="shared" si="67"/>
        <v>355.71305571649401</v>
      </c>
      <c r="CX81" s="62">
        <f t="shared" si="68"/>
        <v>649.04638904982733</v>
      </c>
      <c r="CY81" s="62">
        <f ca="1">AVERAGE(OFFSET($CX$3,0,0,'Données projet'!$E$13+1,1))-AVERAGE(OFFSET($H$3,0,0,'Données projet'!$E$13+1,1))</f>
        <v>205.01234521498333</v>
      </c>
      <c r="CZ81" s="62">
        <f t="shared" si="96"/>
        <v>100.26042113972852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projet'!$B$13,Paramètres!$A$1:$I$88,3,0)*0.475*44/12</f>
        <v>0</v>
      </c>
      <c r="DG81" s="23">
        <f>EXP(-LN(2)/25)*DG80+(1-EXP(-LN(2)/25))/(LN(2)/25)*Calculateur!DB81*Calculateur!DD81*VLOOKUP('Données projet'!$B$13,Paramètres!$A$1:$I$88,3,0)*0.475*44/12</f>
        <v>0</v>
      </c>
      <c r="DH81" s="23">
        <f>EXP(-LN(2)/2)*DH80+(1-EXP(-LN(2)/2))/(LN(2)/2)*DB81*DE81*VLOOKUP('Données projet'!$B$13,Paramètres!$A$1:$I$88,3,0)*0.475*44/12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23.107500000000027</v>
      </c>
      <c r="D82" s="12">
        <f t="shared" si="86"/>
        <v>7.3886344722265829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235.40875732946859</v>
      </c>
      <c r="H82" s="70">
        <f t="shared" si="56"/>
        <v>346.44743420579465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1.4</v>
      </c>
      <c r="N82" s="14">
        <f>IF('Données projet'!$A$36&gt;35,N81+M82-V81,IF(A82&lt;'Données projet'!$A$36,$K$205^A82,IF(A82='Données projet'!$A$36,'Données projet'!$B$36,N81+M82-V81)))</f>
        <v>145.59999999999994</v>
      </c>
      <c r="O82" s="14">
        <f>N82*VLOOKUP('Données projet'!$B$9,Paramètres!$A$1:$I$88,3,0)*VLOOKUP('Données projet'!$B$9,Paramètres!$A$1:$I$88,5,0)</f>
        <v>147.63839999999993</v>
      </c>
      <c r="P82" s="14">
        <f t="shared" si="87"/>
        <v>38.041408878951295</v>
      </c>
      <c r="Q82" s="22">
        <f t="shared" si="54"/>
        <v>323.39233379750675</v>
      </c>
      <c r="R82" s="62">
        <f t="shared" si="55"/>
        <v>616.72566713084007</v>
      </c>
      <c r="S82" s="62">
        <f ca="1">AVERAGE(OFFSET($R$3,0,0,'Données projet'!$E$9+1,1))-AVERAGE(OFFSET($H$3,0,0,'Données projet'!$E$9+1,1))</f>
        <v>167.90363814107491</v>
      </c>
      <c r="T82" s="62">
        <f t="shared" si="88"/>
        <v>174.92847878212234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0</v>
      </c>
      <c r="AB82" s="23">
        <f>EXP(-LN(2)/2)*AB81+(1-EXP(-LN(2)/2))/(LN(2)/2)*V82*Y82*VLOOKUP('Données projet'!$B$9,Paramètres!$A$1:$I$88,3,0)*0.475*44/12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1.4</v>
      </c>
      <c r="AI82" s="14">
        <f>IF('Données projet'!$A$62&gt;35,AI81+AH82-AQ81,IF(A82&lt;'Données projet'!$A$62,$AF$205^A82,IF(A82='Données projet'!$A$62,'Données projet'!$B$62,AI81+AH82-AQ81)))</f>
        <v>145.59999999999994</v>
      </c>
      <c r="AJ82" s="14">
        <f>AI82*VLOOKUP('Données projet'!$B$10,Paramètres!$A$1:$I$88,3,0)*VLOOKUP('Données projet'!$B$10,Paramètres!$A$1:$I$88,5,0)</f>
        <v>156.72383999999994</v>
      </c>
      <c r="AK82" s="14">
        <f t="shared" si="89"/>
        <v>40.102680984620484</v>
      </c>
      <c r="AL82" s="22">
        <f t="shared" si="58"/>
        <v>342.80619071488053</v>
      </c>
      <c r="AM82" s="62">
        <f t="shared" si="59"/>
        <v>636.13952404821384</v>
      </c>
      <c r="AN82" s="62">
        <f ca="1">AVERAGE(OFFSET($AM$3,0,0,'Données projet'!$E$10+1,1))-AVERAGE(OFFSET($H$3,0,0,'Données projet'!$E$10+1,1))</f>
        <v>179.61236179838011</v>
      </c>
      <c r="AO82" s="62">
        <f t="shared" si="90"/>
        <v>186.66130555850333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0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21.2</v>
      </c>
      <c r="BD82" s="13">
        <f>IF('Données projet'!$A$88&gt;35,BD81+BC82-BL81,IF(A82&lt;'Données projet'!$A$88,$BA$205^A82,IF(A82='Données projet'!$A$88,'Données projet'!$B$88,BD81+BC82-BL81)))</f>
        <v>712.8000000000003</v>
      </c>
      <c r="BE82" s="14">
        <f>BD82*VLOOKUP('Données projet'!$B$11,Paramètres!$A$1:$I$88,3,0)*VLOOKUP('Données projet'!$B$11,Paramètres!$A$1:$I$88,5,0)</f>
        <v>333.59040000000016</v>
      </c>
      <c r="BF82" s="14">
        <f t="shared" si="91"/>
        <v>78.174219238300594</v>
      </c>
      <c r="BG82" s="22">
        <f t="shared" si="61"/>
        <v>717.15671184004043</v>
      </c>
      <c r="BH82" s="62">
        <f t="shared" si="62"/>
        <v>1010.4900451733738</v>
      </c>
      <c r="BI82" s="62">
        <f ca="1">AVERAGE(OFFSET($BH$3,0,0,'Données projet'!$E$11+1,1))-AVERAGE(OFFSET($H$3,0,0,'Données projet'!$E$11+1,1))</f>
        <v>335.00873408144395</v>
      </c>
      <c r="BJ82" s="62">
        <f t="shared" si="92"/>
        <v>106.28577694955948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0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6.25</v>
      </c>
      <c r="BY82" s="13">
        <f>IF('Données projet'!$A$114&gt;35,BY81+BX82-CG81,IF(A82&lt;'Données projet'!$A$114,$BV$205^A82,IF(A82='Données projet'!$A$114,'Données projet'!$B$114,BY81+BX82-CG81)))</f>
        <v>218.50000000000003</v>
      </c>
      <c r="BZ82" s="14">
        <f>BY82*VLOOKUP('Données projet'!$B$12,Paramètres!$A$1:$I$88,3,0)*VLOOKUP('Données projet'!$B$12,Paramètres!$A$1:$I$88,5,0)</f>
        <v>130.66300000000004</v>
      </c>
      <c r="CA82" s="14">
        <f t="shared" si="93"/>
        <v>34.149513779485744</v>
      </c>
      <c r="CB82" s="22">
        <f t="shared" si="64"/>
        <v>287.04846149927107</v>
      </c>
      <c r="CC82" s="62">
        <f t="shared" si="65"/>
        <v>580.38179483260433</v>
      </c>
      <c r="CD82" s="62">
        <f ca="1">AVERAGE(OFFSET($CC$3,0,0,'Données projet'!$E$12+1,1))-AVERAGE(OFFSET($H$3,0,0,'Données projet'!$E$12+1,1))</f>
        <v>136.47709057888358</v>
      </c>
      <c r="CE82" s="62">
        <f t="shared" si="94"/>
        <v>99.705248792886493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0</v>
      </c>
      <c r="CL82" s="23">
        <f>EXP(-LN(2)/25)*CL81+(1-EXP(-LN(2)/25))/(LN(2)/25)*Calculateur!CG82*Calculateur!CI82*VLOOKUP('Données projet'!$B$12,Paramètres!$A$1:$I$88,3,0)*0.475*44/12</f>
        <v>0</v>
      </c>
      <c r="CM82" s="23">
        <f>EXP(-LN(2)/2)*CM81+(1-EXP(-LN(2)/2))/(LN(2)/2)*CG82*CJ82*VLOOKUP('Données projet'!$B$12,Paramètres!$A$1:$I$88,3,0)*0.475*44/12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11.3</v>
      </c>
      <c r="CT82" s="13">
        <f>IF('Données projet'!$A$140&gt;35,CT81+CS82-DB81,IF(A82&lt;'Données projet'!$A$140,$CQ$205^A82,IF(A82='Données projet'!$A$140,'Données projet'!$B$140,CT81+CS82-DB81)))</f>
        <v>349.7000000000001</v>
      </c>
      <c r="CU82" s="18">
        <f>CT82*VLOOKUP('Données projet'!$B$13,Paramètres!$A$1:$I$88,3,0)*VLOOKUP('Données projet'!$B$13,Paramètres!$A$1:$I$88,5,0)</f>
        <v>168.20570000000006</v>
      </c>
      <c r="CV82" s="14">
        <f t="shared" si="95"/>
        <v>42.687912240534693</v>
      </c>
      <c r="CW82" s="22">
        <f t="shared" si="67"/>
        <v>367.30637465226465</v>
      </c>
      <c r="CX82" s="62">
        <f t="shared" si="68"/>
        <v>660.63970798559797</v>
      </c>
      <c r="CY82" s="62">
        <f ca="1">AVERAGE(OFFSET($CX$3,0,0,'Données projet'!$E$13+1,1))-AVERAGE(OFFSET($H$3,0,0,'Données projet'!$E$13+1,1))</f>
        <v>205.01234521498333</v>
      </c>
      <c r="CZ82" s="62">
        <f t="shared" si="96"/>
        <v>100.26042113972852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projet'!$B$13,Paramètres!$A$1:$I$88,3,0)*0.475*44/12</f>
        <v>0</v>
      </c>
      <c r="DG82" s="23">
        <f>EXP(-LN(2)/25)*DG81+(1-EXP(-LN(2)/25))/(LN(2)/25)*Calculateur!DB82*Calculateur!DD82*VLOOKUP('Données projet'!$B$13,Paramètres!$A$1:$I$88,3,0)*0.475*44/12</f>
        <v>0</v>
      </c>
      <c r="DH82" s="23">
        <f>EXP(-LN(2)/2)*DH81+(1-EXP(-LN(2)/2))/(LN(2)/2)*DB82*DE82*VLOOKUP('Données projet'!$B$13,Paramètres!$A$1:$I$88,3,0)*0.475*44/12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23.400000000000027</v>
      </c>
      <c r="D83" s="12">
        <f t="shared" si="86"/>
        <v>7.4712143488056899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238.30411076271082</v>
      </c>
      <c r="H83" s="70">
        <f t="shared" si="56"/>
        <v>347.10069832416991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147</v>
      </c>
      <c r="L83" s="13">
        <f>VLOOKUP(A83,'Données projet'!$A$35:$I$55,9,0)</f>
        <v>1.4</v>
      </c>
      <c r="M83" s="13">
        <f t="array" ref="M83">INDEX(L:L,MIN(IF(ISNUMBER(L83:L279),ROW(L83:L279),"")))</f>
        <v>1.4</v>
      </c>
      <c r="N83" s="14">
        <f>IF('Données projet'!$A$36&gt;35,N82+M83-V82,IF(A83&lt;'Données projet'!$A$36,$K$205^A83,IF(A83='Données projet'!$A$36,'Données projet'!$B$36,N82+M83-V82)))</f>
        <v>146.99999999999994</v>
      </c>
      <c r="O83" s="14">
        <f>N83*VLOOKUP('Données projet'!$B$9,Paramètres!$A$1:$I$88,3,0)*VLOOKUP('Données projet'!$B$9,Paramètres!$A$1:$I$88,5,0)</f>
        <v>149.05799999999996</v>
      </c>
      <c r="P83" s="14">
        <f t="shared" si="87"/>
        <v>38.3644343143703</v>
      </c>
      <c r="Q83" s="22">
        <f t="shared" si="54"/>
        <v>326.42740643086154</v>
      </c>
      <c r="R83" s="62">
        <f t="shared" si="55"/>
        <v>619.7607397641948</v>
      </c>
      <c r="S83" s="62">
        <f ca="1">AVERAGE(OFFSET($R$3,0,0,'Données projet'!$E$9+1,1))-AVERAGE(OFFSET($H$3,0,0,'Données projet'!$E$9+1,1))</f>
        <v>167.90363814107491</v>
      </c>
      <c r="T83" s="62">
        <f t="shared" si="88"/>
        <v>174.92847878212234</v>
      </c>
      <c r="U83" s="16">
        <f>IF(ISNA(VLOOKUP(A83,'Données projet'!$A$35:$I$55,3,0)),0,VLOOKUP(A83,'Données projet'!$A$35:$I$55,3,0))</f>
        <v>2</v>
      </c>
      <c r="V83" s="16">
        <f>IF(ISNA(VLOOKUP(A83,'Données projet'!$A$35:$I$55,4,0)),0,VLOOKUP(A83,'Données projet'!$A$35:$I$55,4,0))</f>
        <v>147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0</v>
      </c>
      <c r="AB83" s="23">
        <f>EXP(-LN(2)/2)*AB82+(1-EXP(-LN(2)/2))/(LN(2)/2)*V83*Y83*VLOOKUP('Données projet'!$B$9,Paramètres!$A$1:$I$88,3,0)*0.475*44/12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147</v>
      </c>
      <c r="AG83" s="13">
        <f>VLOOKUP(A83,'Données projet'!$A$61:$I$81,9,0)</f>
        <v>1.4</v>
      </c>
      <c r="AH83" s="13">
        <f t="array" ref="AH83">INDEX(AG:AG,MIN(IF(ISNUMBER(AG83:AG279),ROW(AG83:AG279),"")))</f>
        <v>1.4</v>
      </c>
      <c r="AI83" s="14">
        <f>IF('Données projet'!$A$62&gt;35,AI82+AH83-AQ82,IF(A83&lt;'Données projet'!$A$62,$AF$205^A83,IF(A83='Données projet'!$A$62,'Données projet'!$B$62,AI82+AH83-AQ82)))</f>
        <v>146.99999999999994</v>
      </c>
      <c r="AJ83" s="14">
        <f>AI83*VLOOKUP('Données projet'!$B$10,Paramètres!$A$1:$I$88,3,0)*VLOOKUP('Données projet'!$B$10,Paramètres!$A$1:$I$88,5,0)</f>
        <v>158.23079999999993</v>
      </c>
      <c r="AK83" s="14">
        <f t="shared" si="89"/>
        <v>40.443209539378984</v>
      </c>
      <c r="AL83" s="22">
        <f t="shared" si="58"/>
        <v>346.02389994775154</v>
      </c>
      <c r="AM83" s="62">
        <f t="shared" si="59"/>
        <v>639.35723328108486</v>
      </c>
      <c r="AN83" s="62">
        <f ca="1">AVERAGE(OFFSET($AM$3,0,0,'Données projet'!$E$10+1,1))-AVERAGE(OFFSET($H$3,0,0,'Données projet'!$E$10+1,1))</f>
        <v>179.61236179838011</v>
      </c>
      <c r="AO83" s="62">
        <f t="shared" si="90"/>
        <v>186.66130555850333</v>
      </c>
      <c r="AP83" s="16">
        <f>IF(ISNA(VLOOKUP(A83,'Données projet'!$A$61:$I$81,3,0)),0,VLOOKUP(A83,'Données projet'!$A$61:$I$81,3,0))</f>
        <v>2</v>
      </c>
      <c r="AQ83" s="16">
        <f>IF(ISNA(VLOOKUP(A83,'Données projet'!$A$61:$I$81,4,0)),0,VLOOKUP(A83,'Données projet'!$A$61:$I$81,4,0))</f>
        <v>147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0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734</v>
      </c>
      <c r="BB83" s="13">
        <f>VLOOKUP(A83,'Données projet'!$A$87:$I$107,9,0)</f>
        <v>21.2</v>
      </c>
      <c r="BC83" s="13">
        <f t="array" ref="BC83">INDEX(BB:BB,MIN(IF(ISNUMBER(BB83:BB279),ROW(BB83:BB279),"")))</f>
        <v>21.2</v>
      </c>
      <c r="BD83" s="13">
        <f>IF('Données projet'!$A$88&gt;35,BD82+BC83-BL82,IF(A83&lt;'Données projet'!$A$88,$BA$205^A83,IF(A83='Données projet'!$A$88,'Données projet'!$B$88,BD82+BC83-BL82)))</f>
        <v>734.00000000000034</v>
      </c>
      <c r="BE83" s="14">
        <f>BD83*VLOOKUP('Données projet'!$B$11,Paramètres!$A$1:$I$88,3,0)*VLOOKUP('Données projet'!$B$11,Paramètres!$A$1:$I$88,5,0)</f>
        <v>343.51200000000017</v>
      </c>
      <c r="BF83" s="14">
        <f t="shared" si="91"/>
        <v>80.225113314048286</v>
      </c>
      <c r="BG83" s="22">
        <f t="shared" si="61"/>
        <v>738.00880568863431</v>
      </c>
      <c r="BH83" s="62">
        <f t="shared" si="62"/>
        <v>1031.3421390219676</v>
      </c>
      <c r="BI83" s="62">
        <f ca="1">AVERAGE(OFFSET($BH$3,0,0,'Données projet'!$E$11+1,1))-AVERAGE(OFFSET($H$3,0,0,'Données projet'!$E$11+1,1))</f>
        <v>335.00873408144395</v>
      </c>
      <c r="BJ83" s="62">
        <f t="shared" si="92"/>
        <v>106.28577694955948</v>
      </c>
      <c r="BK83" s="16">
        <f>IF(ISNA(VLOOKUP(A83,'Données projet'!$A$87:$I$107,3,0)),0,VLOOKUP(A83,'Données projet'!$A$87:$I$107,3,0))</f>
        <v>5</v>
      </c>
      <c r="BL83" s="23">
        <f>IF(ISNA(VLOOKUP(A83,'Données projet'!$A$87:$I$107,4,0)),0,VLOOKUP(A83,'Données projet'!$A$87:$I$107,4,0))</f>
        <v>110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0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6.25</v>
      </c>
      <c r="BY83" s="13">
        <f>IF('Données projet'!$A$114&gt;35,BY82+BX83-CG82,IF(A83&lt;'Données projet'!$A$114,$BV$205^A83,IF(A83='Données projet'!$A$114,'Données projet'!$B$114,BY82+BX83-CG82)))</f>
        <v>224.75000000000003</v>
      </c>
      <c r="BZ83" s="14">
        <f>BY83*VLOOKUP('Données projet'!$B$12,Paramètres!$A$1:$I$88,3,0)*VLOOKUP('Données projet'!$B$12,Paramètres!$A$1:$I$88,5,0)</f>
        <v>134.40050000000002</v>
      </c>
      <c r="CA83" s="14">
        <f t="shared" si="93"/>
        <v>35.011207252760464</v>
      </c>
      <c r="CB83" s="22">
        <f t="shared" si="64"/>
        <v>295.05872346522455</v>
      </c>
      <c r="CC83" s="62">
        <f t="shared" si="65"/>
        <v>588.39205679855786</v>
      </c>
      <c r="CD83" s="62">
        <f ca="1">AVERAGE(OFFSET($CC$3,0,0,'Données projet'!$E$12+1,1))-AVERAGE(OFFSET($H$3,0,0,'Données projet'!$E$12+1,1))</f>
        <v>136.47709057888358</v>
      </c>
      <c r="CE83" s="62">
        <f t="shared" si="94"/>
        <v>99.705248792886493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0</v>
      </c>
      <c r="CL83" s="23">
        <f>EXP(-LN(2)/25)*CL82+(1-EXP(-LN(2)/25))/(LN(2)/25)*Calculateur!CG83*Calculateur!CI83*VLOOKUP('Données projet'!$B$12,Paramètres!$A$1:$I$88,3,0)*0.475*44/12</f>
        <v>0</v>
      </c>
      <c r="CM83" s="23">
        <f>EXP(-LN(2)/2)*CM82+(1-EXP(-LN(2)/2))/(LN(2)/2)*CG83*CJ83*VLOOKUP('Données projet'!$B$12,Paramètres!$A$1:$I$88,3,0)*0.475*44/12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361</v>
      </c>
      <c r="CR83" s="13">
        <f>VLOOKUP(A83,'Données projet'!$A$139:$I$159,9,0)</f>
        <v>11.3</v>
      </c>
      <c r="CS83" s="13">
        <f t="array" ref="CS83">INDEX(CR:CR,MIN(IF(ISNUMBER(CR83:CR279),ROW(CR83:CR279),"")))</f>
        <v>11.3</v>
      </c>
      <c r="CT83" s="13">
        <f>IF('Données projet'!$A$140&gt;35,CT82+CS83-DB82,IF(A83&lt;'Données projet'!$A$140,$CQ$205^A83,IF(A83='Données projet'!$A$140,'Données projet'!$B$140,CT82+CS83-DB82)))</f>
        <v>361.00000000000011</v>
      </c>
      <c r="CU83" s="18">
        <f>CT83*VLOOKUP('Données projet'!$B$13,Paramètres!$A$1:$I$88,3,0)*VLOOKUP('Données projet'!$B$13,Paramètres!$A$1:$I$88,5,0)</f>
        <v>173.64100000000008</v>
      </c>
      <c r="CV83" s="14">
        <f t="shared" si="95"/>
        <v>43.90447799582666</v>
      </c>
      <c r="CW83" s="22">
        <f t="shared" si="67"/>
        <v>378.8917075093982</v>
      </c>
      <c r="CX83" s="62">
        <f t="shared" si="68"/>
        <v>672.22504084273146</v>
      </c>
      <c r="CY83" s="62">
        <f ca="1">AVERAGE(OFFSET($CX$3,0,0,'Données projet'!$E$13+1,1))-AVERAGE(OFFSET($H$3,0,0,'Données projet'!$E$13+1,1))</f>
        <v>205.01234521498333</v>
      </c>
      <c r="CZ83" s="62">
        <f t="shared" si="96"/>
        <v>100.26042113972852</v>
      </c>
      <c r="DA83" s="16">
        <f>IF(ISNA(VLOOKUP(A83,'Données projet'!$A$139:$I$159,3,0)),0,VLOOKUP(A83,'Données projet'!$A$139:$I$159,3,0))</f>
        <v>5</v>
      </c>
      <c r="DB83" s="16">
        <f>IF(ISNA(VLOOKUP(A83,'Données projet'!$A$139:$I$159,4,0)),0,VLOOKUP(A83,'Données projet'!$A$139:$I$159,4,0))</f>
        <v>58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projet'!$B$13,Paramètres!$A$1:$I$88,3,0)*0.475*44/12</f>
        <v>0</v>
      </c>
      <c r="DG83" s="23">
        <f>EXP(-LN(2)/25)*DG82+(1-EXP(-LN(2)/25))/(LN(2)/25)*Calculateur!DB83*Calculateur!DD83*VLOOKUP('Données projet'!$B$13,Paramètres!$A$1:$I$88,3,0)*0.475*44/12</f>
        <v>0</v>
      </c>
      <c r="DH83" s="23">
        <f>EXP(-LN(2)/2)*DH82+(1-EXP(-LN(2)/2))/(LN(2)/2)*DB83*DE83*VLOOKUP('Données projet'!$B$13,Paramètres!$A$1:$I$88,3,0)*0.475*44/12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23.692500000000027</v>
      </c>
      <c r="D84" s="12">
        <f t="shared" si="86"/>
        <v>7.5536741557273217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241.19853734245672</v>
      </c>
      <c r="H84" s="70">
        <f t="shared" si="56"/>
        <v>347.75375332122513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-5.6843418860808015E-14</v>
      </c>
      <c r="O84" s="14">
        <f>N84*VLOOKUP('Données projet'!$B$9,Paramètres!$A$1:$I$88,3,0)*VLOOKUP('Données projet'!$B$9,Paramètres!$A$1:$I$88,5,0)</f>
        <v>-5.7639226724859328E-14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167.90363814107491</v>
      </c>
      <c r="T84" s="62">
        <f t="shared" si="88"/>
        <v>174.92847878212234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0</v>
      </c>
      <c r="AB84" s="23">
        <f>EXP(-LN(2)/2)*AB83+(1-EXP(-LN(2)/2))/(LN(2)/2)*V84*Y84*VLOOKUP('Données projet'!$B$9,Paramètres!$A$1:$I$88,3,0)*0.475*44/12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projet'!$B$10,Paramètres!$A$1:$I$88,3,0)*VLOOKUP('Données projet'!$B$10,Paramètres!$A$1:$I$88,5,0)</f>
        <v>-6.1186256061773749E-14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179.61236179838011</v>
      </c>
      <c r="AO84" s="62">
        <f t="shared" si="90"/>
        <v>186.66130555850333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0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17.8</v>
      </c>
      <c r="BD84" s="13">
        <f>IF('Données projet'!$A$88&gt;35,BD83+BC84-BL83,IF(A84&lt;'Données projet'!$A$88,$BA$205^A84,IF(A84='Données projet'!$A$88,'Données projet'!$B$88,BD83+BC84-BL83)))</f>
        <v>641.8000000000003</v>
      </c>
      <c r="BE84" s="14">
        <f>BD84*VLOOKUP('Données projet'!$B$11,Paramètres!$A$1:$I$88,3,0)*VLOOKUP('Données projet'!$B$11,Paramètres!$A$1:$I$88,5,0)</f>
        <v>300.36240000000015</v>
      </c>
      <c r="BF84" s="14">
        <f t="shared" si="91"/>
        <v>71.252431096700917</v>
      </c>
      <c r="BG84" s="22">
        <f t="shared" si="61"/>
        <v>647.22916416008775</v>
      </c>
      <c r="BH84" s="62">
        <f t="shared" si="62"/>
        <v>940.56249749342101</v>
      </c>
      <c r="BI84" s="62">
        <f ca="1">AVERAGE(OFFSET($BH$3,0,0,'Données projet'!$E$11+1,1))-AVERAGE(OFFSET($H$3,0,0,'Données projet'!$E$11+1,1))</f>
        <v>335.00873408144395</v>
      </c>
      <c r="BJ84" s="62">
        <f t="shared" si="92"/>
        <v>106.28577694955948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0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6.25</v>
      </c>
      <c r="BY84" s="13">
        <f>IF('Données projet'!$A$114&gt;35,BY83+BX84-CG83,IF(A84&lt;'Données projet'!$A$114,$BV$205^A84,IF(A84='Données projet'!$A$114,'Données projet'!$B$114,BY83+BX84-CG83)))</f>
        <v>231.00000000000003</v>
      </c>
      <c r="BZ84" s="14">
        <f>BY84*VLOOKUP('Données projet'!$B$12,Paramètres!$A$1:$I$88,3,0)*VLOOKUP('Données projet'!$B$12,Paramètres!$A$1:$I$88,5,0)</f>
        <v>138.13800000000003</v>
      </c>
      <c r="CA84" s="14">
        <f t="shared" si="93"/>
        <v>35.870115614757175</v>
      </c>
      <c r="CB84" s="22">
        <f t="shared" si="64"/>
        <v>303.06413469570208</v>
      </c>
      <c r="CC84" s="62">
        <f t="shared" si="65"/>
        <v>596.39746802903539</v>
      </c>
      <c r="CD84" s="62">
        <f ca="1">AVERAGE(OFFSET($CC$3,0,0,'Données projet'!$E$12+1,1))-AVERAGE(OFFSET($H$3,0,0,'Données projet'!$E$12+1,1))</f>
        <v>136.47709057888358</v>
      </c>
      <c r="CE84" s="62">
        <f t="shared" si="94"/>
        <v>99.705248792886493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0</v>
      </c>
      <c r="CL84" s="23">
        <f>EXP(-LN(2)/25)*CL83+(1-EXP(-LN(2)/25))/(LN(2)/25)*Calculateur!CG84*Calculateur!CI84*VLOOKUP('Données projet'!$B$12,Paramètres!$A$1:$I$88,3,0)*0.475*44/12</f>
        <v>0</v>
      </c>
      <c r="CM84" s="23">
        <f>EXP(-LN(2)/2)*CM83+(1-EXP(-LN(2)/2))/(LN(2)/2)*CG84*CJ84*VLOOKUP('Données projet'!$B$12,Paramètres!$A$1:$I$88,3,0)*0.475*44/12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11.8</v>
      </c>
      <c r="CT84" s="13">
        <f>IF('Données projet'!$A$140&gt;35,CT83+CS84-DB83,IF(A84&lt;'Données projet'!$A$140,$CQ$205^A84,IF(A84='Données projet'!$A$140,'Données projet'!$B$140,CT83+CS84-DB83)))</f>
        <v>314.80000000000013</v>
      </c>
      <c r="CU84" s="18">
        <f>CT84*VLOOKUP('Données projet'!$B$13,Paramètres!$A$1:$I$88,3,0)*VLOOKUP('Données projet'!$B$13,Paramètres!$A$1:$I$88,5,0)</f>
        <v>151.41880000000006</v>
      </c>
      <c r="CV84" s="14">
        <f t="shared" si="95"/>
        <v>38.900836139202958</v>
      </c>
      <c r="CW84" s="22">
        <f t="shared" si="67"/>
        <v>331.47336627577857</v>
      </c>
      <c r="CX84" s="62">
        <f t="shared" si="68"/>
        <v>624.80669960911189</v>
      </c>
      <c r="CY84" s="62">
        <f ca="1">AVERAGE(OFFSET($CX$3,0,0,'Données projet'!$E$13+1,1))-AVERAGE(OFFSET($H$3,0,0,'Données projet'!$E$13+1,1))</f>
        <v>205.01234521498333</v>
      </c>
      <c r="CZ84" s="62">
        <f t="shared" si="96"/>
        <v>100.26042113972852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projet'!$B$13,Paramètres!$A$1:$I$88,3,0)*0.475*44/12</f>
        <v>0</v>
      </c>
      <c r="DG84" s="23">
        <f>EXP(-LN(2)/25)*DG83+(1-EXP(-LN(2)/25))/(LN(2)/25)*Calculateur!DB84*Calculateur!DD84*VLOOKUP('Données projet'!$B$13,Paramètres!$A$1:$I$88,3,0)*0.475*44/12</f>
        <v>0</v>
      </c>
      <c r="DH84" s="23">
        <f>EXP(-LN(2)/2)*DH83+(1-EXP(-LN(2)/2))/(LN(2)/2)*DB84*DE84*VLOOKUP('Données projet'!$B$13,Paramètres!$A$1:$I$88,3,0)*0.475*44/12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23.985000000000028</v>
      </c>
      <c r="D85" s="12">
        <f t="shared" si="86"/>
        <v>7.636015546773451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244.09204983474265</v>
      </c>
      <c r="H85" s="70">
        <f t="shared" si="56"/>
        <v>348.40660207729712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-5.6843418860808015E-14</v>
      </c>
      <c r="O85" s="14">
        <f>N85*VLOOKUP('Données projet'!$B$9,Paramètres!$A$1:$I$88,3,0)*VLOOKUP('Données projet'!$B$9,Paramètres!$A$1:$I$88,5,0)</f>
        <v>-5.7639226724859328E-14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167.90363814107491</v>
      </c>
      <c r="T85" s="62">
        <f t="shared" si="88"/>
        <v>174.92847878212234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0</v>
      </c>
      <c r="AB85" s="23">
        <f>EXP(-LN(2)/2)*AB84+(1-EXP(-LN(2)/2))/(LN(2)/2)*V85*Y85*VLOOKUP('Données projet'!$B$9,Paramètres!$A$1:$I$88,3,0)*0.475*44/12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projet'!$B$10,Paramètres!$A$1:$I$88,3,0)*VLOOKUP('Données projet'!$B$10,Paramètres!$A$1:$I$88,5,0)</f>
        <v>-6.1186256061773749E-14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179.61236179838011</v>
      </c>
      <c r="AO85" s="62">
        <f t="shared" si="90"/>
        <v>186.66130555850333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0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17.8</v>
      </c>
      <c r="BD85" s="13">
        <f>IF('Données projet'!$A$88&gt;35,BD84+BC85-BL84,IF(A85&lt;'Données projet'!$A$88,$BA$205^A85,IF(A85='Données projet'!$A$88,'Données projet'!$B$88,BD84+BC85-BL84)))</f>
        <v>659.60000000000025</v>
      </c>
      <c r="BE85" s="14">
        <f>BD85*VLOOKUP('Données projet'!$B$11,Paramètres!$A$1:$I$88,3,0)*VLOOKUP('Données projet'!$B$11,Paramètres!$A$1:$I$88,5,0)</f>
        <v>308.69280000000009</v>
      </c>
      <c r="BF85" s="14">
        <f t="shared" si="91"/>
        <v>72.995767680913616</v>
      </c>
      <c r="BG85" s="22">
        <f t="shared" si="61"/>
        <v>664.77425537759143</v>
      </c>
      <c r="BH85" s="62">
        <f t="shared" si="62"/>
        <v>958.1075887109248</v>
      </c>
      <c r="BI85" s="62">
        <f ca="1">AVERAGE(OFFSET($BH$3,0,0,'Données projet'!$E$11+1,1))-AVERAGE(OFFSET($H$3,0,0,'Données projet'!$E$11+1,1))</f>
        <v>335.00873408144395</v>
      </c>
      <c r="BJ85" s="62">
        <f t="shared" si="92"/>
        <v>106.28577694955948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0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6.25</v>
      </c>
      <c r="BY85" s="13">
        <f>IF('Données projet'!$A$114&gt;35,BY84+BX85-CG84,IF(A85&lt;'Données projet'!$A$114,$BV$205^A85,IF(A85='Données projet'!$A$114,'Données projet'!$B$114,BY84+BX85-CG84)))</f>
        <v>237.25000000000003</v>
      </c>
      <c r="BZ85" s="14">
        <f>BY85*VLOOKUP('Données projet'!$B$12,Paramètres!$A$1:$I$88,3,0)*VLOOKUP('Données projet'!$B$12,Paramètres!$A$1:$I$88,5,0)</f>
        <v>141.87550000000002</v>
      </c>
      <c r="CA85" s="14">
        <f t="shared" si="93"/>
        <v>36.726322879934969</v>
      </c>
      <c r="CB85" s="22">
        <f t="shared" si="64"/>
        <v>311.06484151588677</v>
      </c>
      <c r="CC85" s="62">
        <f t="shared" si="65"/>
        <v>604.39817484922014</v>
      </c>
      <c r="CD85" s="62">
        <f ca="1">AVERAGE(OFFSET($CC$3,0,0,'Données projet'!$E$12+1,1))-AVERAGE(OFFSET($H$3,0,0,'Données projet'!$E$12+1,1))</f>
        <v>136.47709057888358</v>
      </c>
      <c r="CE85" s="62">
        <f t="shared" si="94"/>
        <v>99.705248792886493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0</v>
      </c>
      <c r="CL85" s="23">
        <f>EXP(-LN(2)/25)*CL84+(1-EXP(-LN(2)/25))/(LN(2)/25)*Calculateur!CG85*Calculateur!CI85*VLOOKUP('Données projet'!$B$12,Paramètres!$A$1:$I$88,3,0)*0.475*44/12</f>
        <v>0</v>
      </c>
      <c r="CM85" s="23">
        <f>EXP(-LN(2)/2)*CM84+(1-EXP(-LN(2)/2))/(LN(2)/2)*CG85*CJ85*VLOOKUP('Données projet'!$B$12,Paramètres!$A$1:$I$88,3,0)*0.475*44/12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11.8</v>
      </c>
      <c r="CT85" s="13">
        <f>IF('Données projet'!$A$140&gt;35,CT84+CS85-DB84,IF(A85&lt;'Données projet'!$A$140,$CQ$205^A85,IF(A85='Données projet'!$A$140,'Données projet'!$B$140,CT84+CS85-DB84)))</f>
        <v>326.60000000000014</v>
      </c>
      <c r="CU85" s="18">
        <f>CT85*VLOOKUP('Données projet'!$B$13,Paramètres!$A$1:$I$88,3,0)*VLOOKUP('Données projet'!$B$13,Paramètres!$A$1:$I$88,5,0)</f>
        <v>157.09460000000007</v>
      </c>
      <c r="CV85" s="14">
        <f t="shared" si="95"/>
        <v>40.186497032218156</v>
      </c>
      <c r="CW85" s="22">
        <f t="shared" si="67"/>
        <v>343.59791066444672</v>
      </c>
      <c r="CX85" s="62">
        <f t="shared" si="68"/>
        <v>636.93124399778003</v>
      </c>
      <c r="CY85" s="62">
        <f ca="1">AVERAGE(OFFSET($CX$3,0,0,'Données projet'!$E$13+1,1))-AVERAGE(OFFSET($H$3,0,0,'Données projet'!$E$13+1,1))</f>
        <v>205.01234521498333</v>
      </c>
      <c r="CZ85" s="62">
        <f t="shared" si="96"/>
        <v>100.26042113972852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projet'!$B$13,Paramètres!$A$1:$I$88,3,0)*0.475*44/12</f>
        <v>0</v>
      </c>
      <c r="DG85" s="23">
        <f>EXP(-LN(2)/25)*DG84+(1-EXP(-LN(2)/25))/(LN(2)/25)*Calculateur!DB85*Calculateur!DD85*VLOOKUP('Données projet'!$B$13,Paramètres!$A$1:$I$88,3,0)*0.475*44/12</f>
        <v>0</v>
      </c>
      <c r="DH85" s="23">
        <f>EXP(-LN(2)/2)*DH84+(1-EXP(-LN(2)/2))/(LN(2)/2)*DB85*DE85*VLOOKUP('Données projet'!$B$13,Paramètres!$A$1:$I$88,3,0)*0.475*44/12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24.277500000000028</v>
      </c>
      <c r="D86" s="12">
        <f t="shared" si="86"/>
        <v>7.7182401330694921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246.98466067632614</v>
      </c>
      <c r="H86" s="70">
        <f t="shared" si="56"/>
        <v>349.05924739842942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-5.6843418860808015E-14</v>
      </c>
      <c r="O86" s="14">
        <f>N86*VLOOKUP('Données projet'!$B$9,Paramètres!$A$1:$I$88,3,0)*VLOOKUP('Données projet'!$B$9,Paramètres!$A$1:$I$88,5,0)</f>
        <v>-5.7639226724859328E-14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167.90363814107491</v>
      </c>
      <c r="T86" s="62">
        <f t="shared" si="88"/>
        <v>174.92847878212234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0</v>
      </c>
      <c r="AB86" s="23">
        <f>EXP(-LN(2)/2)*AB85+(1-EXP(-LN(2)/2))/(LN(2)/2)*V86*Y86*VLOOKUP('Données projet'!$B$9,Paramètres!$A$1:$I$88,3,0)*0.475*44/12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projet'!$B$10,Paramètres!$A$1:$I$88,3,0)*VLOOKUP('Données projet'!$B$10,Paramètres!$A$1:$I$88,5,0)</f>
        <v>-6.1186256061773749E-14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179.61236179838011</v>
      </c>
      <c r="AO86" s="62">
        <f t="shared" si="90"/>
        <v>186.66130555850333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0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17.8</v>
      </c>
      <c r="BD86" s="13">
        <f>IF('Données projet'!$A$88&gt;35,BD85+BC86-BL85,IF(A86&lt;'Données projet'!$A$88,$BA$205^A86,IF(A86='Données projet'!$A$88,'Données projet'!$B$88,BD85+BC86-BL85)))</f>
        <v>677.4000000000002</v>
      </c>
      <c r="BE86" s="14">
        <f>BD86*VLOOKUP('Données projet'!$B$11,Paramètres!$A$1:$I$88,3,0)*VLOOKUP('Données projet'!$B$11,Paramètres!$A$1:$I$88,5,0)</f>
        <v>317.02320000000009</v>
      </c>
      <c r="BF86" s="14">
        <f t="shared" si="91"/>
        <v>74.733636027657681</v>
      </c>
      <c r="BG86" s="22">
        <f t="shared" si="61"/>
        <v>682.30982274817052</v>
      </c>
      <c r="BH86" s="62">
        <f t="shared" si="62"/>
        <v>975.64315608150378</v>
      </c>
      <c r="BI86" s="62">
        <f ca="1">AVERAGE(OFFSET($BH$3,0,0,'Données projet'!$E$11+1,1))-AVERAGE(OFFSET($H$3,0,0,'Données projet'!$E$11+1,1))</f>
        <v>335.00873408144395</v>
      </c>
      <c r="BJ86" s="62">
        <f t="shared" si="92"/>
        <v>106.28577694955948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0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6.25</v>
      </c>
      <c r="BY86" s="13">
        <f>IF('Données projet'!$A$114&gt;35,BY85+BX86-CG85,IF(A86&lt;'Données projet'!$A$114,$BV$205^A86,IF(A86='Données projet'!$A$114,'Données projet'!$B$114,BY85+BX86-CG85)))</f>
        <v>243.50000000000003</v>
      </c>
      <c r="BZ86" s="14">
        <f>BY86*VLOOKUP('Données projet'!$B$12,Paramètres!$A$1:$I$88,3,0)*VLOOKUP('Données projet'!$B$12,Paramètres!$A$1:$I$88,5,0)</f>
        <v>145.61300000000003</v>
      </c>
      <c r="CA86" s="14">
        <f t="shared" si="93"/>
        <v>37.579908384199904</v>
      </c>
      <c r="CB86" s="22">
        <f t="shared" si="64"/>
        <v>319.06098210248155</v>
      </c>
      <c r="CC86" s="62">
        <f t="shared" si="65"/>
        <v>612.39431543581486</v>
      </c>
      <c r="CD86" s="62">
        <f ca="1">AVERAGE(OFFSET($CC$3,0,0,'Données projet'!$E$12+1,1))-AVERAGE(OFFSET($H$3,0,0,'Données projet'!$E$12+1,1))</f>
        <v>136.47709057888358</v>
      </c>
      <c r="CE86" s="62">
        <f t="shared" si="94"/>
        <v>99.705248792886493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0</v>
      </c>
      <c r="CL86" s="23">
        <f>EXP(-LN(2)/25)*CL85+(1-EXP(-LN(2)/25))/(LN(2)/25)*Calculateur!CG86*Calculateur!CI86*VLOOKUP('Données projet'!$B$12,Paramètres!$A$1:$I$88,3,0)*0.475*44/12</f>
        <v>0</v>
      </c>
      <c r="CM86" s="23">
        <f>EXP(-LN(2)/2)*CM85+(1-EXP(-LN(2)/2))/(LN(2)/2)*CG86*CJ86*VLOOKUP('Données projet'!$B$12,Paramètres!$A$1:$I$88,3,0)*0.475*44/12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11.8</v>
      </c>
      <c r="CT86" s="13">
        <f>IF('Données projet'!$A$140&gt;35,CT85+CS86-DB85,IF(A86&lt;'Données projet'!$A$140,$CQ$205^A86,IF(A86='Données projet'!$A$140,'Données projet'!$B$140,CT85+CS86-DB85)))</f>
        <v>338.40000000000015</v>
      </c>
      <c r="CU86" s="18">
        <f>CT86*VLOOKUP('Données projet'!$B$13,Paramètres!$A$1:$I$88,3,0)*VLOOKUP('Données projet'!$B$13,Paramètres!$A$1:$I$88,5,0)</f>
        <v>162.77040000000008</v>
      </c>
      <c r="CV86" s="14">
        <f t="shared" si="95"/>
        <v>41.466761176934298</v>
      </c>
      <c r="CW86" s="22">
        <f t="shared" si="67"/>
        <v>355.71305571649401</v>
      </c>
      <c r="CX86" s="62">
        <f t="shared" si="68"/>
        <v>649.04638904982733</v>
      </c>
      <c r="CY86" s="62">
        <f ca="1">AVERAGE(OFFSET($CX$3,0,0,'Données projet'!$E$13+1,1))-AVERAGE(OFFSET($H$3,0,0,'Données projet'!$E$13+1,1))</f>
        <v>205.01234521498333</v>
      </c>
      <c r="CZ86" s="62">
        <f t="shared" si="96"/>
        <v>100.26042113972852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projet'!$B$13,Paramètres!$A$1:$I$88,3,0)*0.475*44/12</f>
        <v>0</v>
      </c>
      <c r="DG86" s="23">
        <f>EXP(-LN(2)/25)*DG85+(1-EXP(-LN(2)/25))/(LN(2)/25)*Calculateur!DB86*Calculateur!DD86*VLOOKUP('Données projet'!$B$13,Paramètres!$A$1:$I$88,3,0)*0.475*44/12</f>
        <v>0</v>
      </c>
      <c r="DH86" s="23">
        <f>EXP(-LN(2)/2)*DH85+(1-EXP(-LN(2)/2))/(LN(2)/2)*DB86*DE86*VLOOKUP('Données projet'!$B$13,Paramètres!$A$1:$I$88,3,0)*0.475*44/12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24.570000000000029</v>
      </c>
      <c r="D87" s="12">
        <f t="shared" si="86"/>
        <v>7.8003494846849346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249.87638198704187</v>
      </c>
      <c r="H87" s="70">
        <f t="shared" si="56"/>
        <v>349.71169201915961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-5.6843418860808015E-14</v>
      </c>
      <c r="O87" s="14">
        <f>N87*VLOOKUP('Données projet'!$B$9,Paramètres!$A$1:$I$88,3,0)*VLOOKUP('Données projet'!$B$9,Paramètres!$A$1:$I$88,5,0)</f>
        <v>-5.7639226724859328E-14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167.90363814107491</v>
      </c>
      <c r="T87" s="62">
        <f t="shared" si="88"/>
        <v>174.92847878212234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0</v>
      </c>
      <c r="AB87" s="23">
        <f>EXP(-LN(2)/2)*AB86+(1-EXP(-LN(2)/2))/(LN(2)/2)*V87*Y87*VLOOKUP('Données projet'!$B$9,Paramètres!$A$1:$I$88,3,0)*0.475*44/12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projet'!$B$10,Paramètres!$A$1:$I$88,3,0)*VLOOKUP('Données projet'!$B$10,Paramètres!$A$1:$I$88,5,0)</f>
        <v>-6.1186256061773749E-14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179.61236179838011</v>
      </c>
      <c r="AO87" s="62">
        <f t="shared" si="90"/>
        <v>186.66130555850333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0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17.8</v>
      </c>
      <c r="BD87" s="13">
        <f>IF('Données projet'!$A$88&gt;35,BD86+BC87-BL86,IF(A87&lt;'Données projet'!$A$88,$BA$205^A87,IF(A87='Données projet'!$A$88,'Données projet'!$B$88,BD86+BC87-BL86)))</f>
        <v>695.20000000000016</v>
      </c>
      <c r="BE87" s="14">
        <f>BD87*VLOOKUP('Données projet'!$B$11,Paramètres!$A$1:$I$88,3,0)*VLOOKUP('Données projet'!$B$11,Paramètres!$A$1:$I$88,5,0)</f>
        <v>325.35360000000009</v>
      </c>
      <c r="BF87" s="14">
        <f t="shared" si="91"/>
        <v>76.466196343081592</v>
      </c>
      <c r="BG87" s="22">
        <f t="shared" si="61"/>
        <v>699.83614529753402</v>
      </c>
      <c r="BH87" s="62">
        <f t="shared" si="62"/>
        <v>993.16947863086739</v>
      </c>
      <c r="BI87" s="62">
        <f ca="1">AVERAGE(OFFSET($BH$3,0,0,'Données projet'!$E$11+1,1))-AVERAGE(OFFSET($H$3,0,0,'Données projet'!$E$11+1,1))</f>
        <v>335.00873408144395</v>
      </c>
      <c r="BJ87" s="62">
        <f t="shared" si="92"/>
        <v>106.28577694955948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0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6.25</v>
      </c>
      <c r="BY87" s="13">
        <f>IF('Données projet'!$A$114&gt;35,BY86+BX87-CG86,IF(A87&lt;'Données projet'!$A$114,$BV$205^A87,IF(A87='Données projet'!$A$114,'Données projet'!$B$114,BY86+BX87-CG86)))</f>
        <v>249.75000000000003</v>
      </c>
      <c r="BZ87" s="14">
        <f>BY87*VLOOKUP('Données projet'!$B$12,Paramètres!$A$1:$I$88,3,0)*VLOOKUP('Données projet'!$B$12,Paramètres!$A$1:$I$88,5,0)</f>
        <v>149.35050000000004</v>
      </c>
      <c r="CA87" s="14">
        <f t="shared" si="93"/>
        <v>38.430947158748282</v>
      </c>
      <c r="CB87" s="22">
        <f t="shared" si="64"/>
        <v>327.05268713481996</v>
      </c>
      <c r="CC87" s="62">
        <f t="shared" si="65"/>
        <v>620.38602046815322</v>
      </c>
      <c r="CD87" s="62">
        <f ca="1">AVERAGE(OFFSET($CC$3,0,0,'Données projet'!$E$12+1,1))-AVERAGE(OFFSET($H$3,0,0,'Données projet'!$E$12+1,1))</f>
        <v>136.47709057888358</v>
      </c>
      <c r="CE87" s="62">
        <f t="shared" si="94"/>
        <v>99.705248792886493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0</v>
      </c>
      <c r="CL87" s="23">
        <f>EXP(-LN(2)/25)*CL86+(1-EXP(-LN(2)/25))/(LN(2)/25)*Calculateur!CG87*Calculateur!CI87*VLOOKUP('Données projet'!$B$12,Paramètres!$A$1:$I$88,3,0)*0.475*44/12</f>
        <v>0</v>
      </c>
      <c r="CM87" s="23">
        <f>EXP(-LN(2)/2)*CM86+(1-EXP(-LN(2)/2))/(LN(2)/2)*CG87*CJ87*VLOOKUP('Données projet'!$B$12,Paramètres!$A$1:$I$88,3,0)*0.475*44/12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11.8</v>
      </c>
      <c r="CT87" s="13">
        <f>IF('Données projet'!$A$140&gt;35,CT86+CS87-DB86,IF(A87&lt;'Données projet'!$A$140,$CQ$205^A87,IF(A87='Données projet'!$A$140,'Données projet'!$B$140,CT86+CS87-DB86)))</f>
        <v>350.20000000000016</v>
      </c>
      <c r="CU87" s="18">
        <f>CT87*VLOOKUP('Données projet'!$B$13,Paramètres!$A$1:$I$88,3,0)*VLOOKUP('Données projet'!$B$13,Paramètres!$A$1:$I$88,5,0)</f>
        <v>168.44620000000009</v>
      </c>
      <c r="CV87" s="14">
        <f t="shared" si="95"/>
        <v>42.741838323127588</v>
      </c>
      <c r="CW87" s="22">
        <f t="shared" si="67"/>
        <v>367.81916674611404</v>
      </c>
      <c r="CX87" s="62">
        <f t="shared" si="68"/>
        <v>661.15250007944735</v>
      </c>
      <c r="CY87" s="62">
        <f ca="1">AVERAGE(OFFSET($CX$3,0,0,'Données projet'!$E$13+1,1))-AVERAGE(OFFSET($H$3,0,0,'Données projet'!$E$13+1,1))</f>
        <v>205.01234521498333</v>
      </c>
      <c r="CZ87" s="62">
        <f t="shared" si="96"/>
        <v>100.26042113972852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projet'!$B$13,Paramètres!$A$1:$I$88,3,0)*0.475*44/12</f>
        <v>0</v>
      </c>
      <c r="DG87" s="23">
        <f>EXP(-LN(2)/25)*DG86+(1-EXP(-LN(2)/25))/(LN(2)/25)*Calculateur!DB87*Calculateur!DD87*VLOOKUP('Données projet'!$B$13,Paramètres!$A$1:$I$88,3,0)*0.475*44/12</f>
        <v>0</v>
      </c>
      <c r="DH87" s="23">
        <f>EXP(-LN(2)/2)*DH86+(1-EXP(-LN(2)/2))/(LN(2)/2)*DB87*DE87*VLOOKUP('Données projet'!$B$13,Paramètres!$A$1:$I$88,3,0)*0.475*44/12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24.862500000000029</v>
      </c>
      <c r="D88" s="12">
        <f t="shared" si="86"/>
        <v>7.8823451321556153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252.76722558155237</v>
      </c>
      <c r="H88" s="70">
        <f t="shared" si="56"/>
        <v>350.36393860517103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-5.6843418860808015E-14</v>
      </c>
      <c r="O88" s="14">
        <f>N88*VLOOKUP('Données projet'!$B$9,Paramètres!$A$1:$I$88,3,0)*VLOOKUP('Données projet'!$B$9,Paramètres!$A$1:$I$88,5,0)</f>
        <v>-5.7639226724859328E-14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167.90363814107491</v>
      </c>
      <c r="T88" s="62">
        <f t="shared" si="88"/>
        <v>174.92847878212234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0</v>
      </c>
      <c r="AB88" s="23">
        <f>EXP(-LN(2)/2)*AB87+(1-EXP(-LN(2)/2))/(LN(2)/2)*V88*Y88*VLOOKUP('Données projet'!$B$9,Paramètres!$A$1:$I$88,3,0)*0.475*44/12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projet'!$B$10,Paramètres!$A$1:$I$88,3,0)*VLOOKUP('Données projet'!$B$10,Paramètres!$A$1:$I$88,5,0)</f>
        <v>-6.1186256061773749E-14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179.61236179838011</v>
      </c>
      <c r="AO88" s="62">
        <f t="shared" si="90"/>
        <v>186.66130555850333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0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17.8</v>
      </c>
      <c r="BD88" s="13">
        <f>IF('Données projet'!$A$88&gt;35,BD87+BC88-BL87,IF(A88&lt;'Données projet'!$A$88,$BA$205^A88,IF(A88='Données projet'!$A$88,'Données projet'!$B$88,BD87+BC88-BL87)))</f>
        <v>713.00000000000011</v>
      </c>
      <c r="BE88" s="14">
        <f>BD88*VLOOKUP('Données projet'!$B$11,Paramètres!$A$1:$I$88,3,0)*VLOOKUP('Données projet'!$B$11,Paramètres!$A$1:$I$88,5,0)</f>
        <v>333.68400000000003</v>
      </c>
      <c r="BF88" s="14">
        <f t="shared" si="91"/>
        <v>78.193600162051595</v>
      </c>
      <c r="BG88" s="22">
        <f t="shared" si="61"/>
        <v>717.35348694890661</v>
      </c>
      <c r="BH88" s="62">
        <f t="shared" si="62"/>
        <v>1010.68682028224</v>
      </c>
      <c r="BI88" s="62">
        <f ca="1">AVERAGE(OFFSET($BH$3,0,0,'Données projet'!$E$11+1,1))-AVERAGE(OFFSET($H$3,0,0,'Données projet'!$E$11+1,1))</f>
        <v>335.00873408144395</v>
      </c>
      <c r="BJ88" s="62">
        <f t="shared" si="92"/>
        <v>106.28577694955948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0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6.25</v>
      </c>
      <c r="BY88" s="13">
        <f>IF('Données projet'!$A$114&gt;35,BY87+BX88-CG87,IF(A88&lt;'Données projet'!$A$114,$BV$205^A88,IF(A88='Données projet'!$A$114,'Données projet'!$B$114,BY87+BX88-CG87)))</f>
        <v>256</v>
      </c>
      <c r="BZ88" s="14">
        <f>BY88*VLOOKUP('Données projet'!$B$12,Paramètres!$A$1:$I$88,3,0)*VLOOKUP('Données projet'!$B$12,Paramètres!$A$1:$I$88,5,0)</f>
        <v>153.08800000000002</v>
      </c>
      <c r="CA88" s="14">
        <f t="shared" si="93"/>
        <v>39.27951026543515</v>
      </c>
      <c r="CB88" s="22">
        <f t="shared" si="64"/>
        <v>335.04008037896625</v>
      </c>
      <c r="CC88" s="62">
        <f t="shared" si="65"/>
        <v>628.37341371229957</v>
      </c>
      <c r="CD88" s="62">
        <f ca="1">AVERAGE(OFFSET($CC$3,0,0,'Données projet'!$E$12+1,1))-AVERAGE(OFFSET($H$3,0,0,'Données projet'!$E$12+1,1))</f>
        <v>136.47709057888358</v>
      </c>
      <c r="CE88" s="62">
        <f t="shared" si="94"/>
        <v>99.705248792886493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0</v>
      </c>
      <c r="CL88" s="23">
        <f>EXP(-LN(2)/25)*CL87+(1-EXP(-LN(2)/25))/(LN(2)/25)*Calculateur!CG88*Calculateur!CI88*VLOOKUP('Données projet'!$B$12,Paramètres!$A$1:$I$88,3,0)*0.475*44/12</f>
        <v>0</v>
      </c>
      <c r="CM88" s="23">
        <f>EXP(-LN(2)/2)*CM87+(1-EXP(-LN(2)/2))/(LN(2)/2)*CG88*CJ88*VLOOKUP('Données projet'!$B$12,Paramètres!$A$1:$I$88,3,0)*0.475*44/12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11.8</v>
      </c>
      <c r="CT88" s="13">
        <f>IF('Données projet'!$A$140&gt;35,CT87+CS88-DB87,IF(A88&lt;'Données projet'!$A$140,$CQ$205^A88,IF(A88='Données projet'!$A$140,'Données projet'!$B$140,CT87+CS88-DB87)))</f>
        <v>362.00000000000017</v>
      </c>
      <c r="CU88" s="18">
        <f>CT88*VLOOKUP('Données projet'!$B$13,Paramètres!$A$1:$I$88,3,0)*VLOOKUP('Données projet'!$B$13,Paramètres!$A$1:$I$88,5,0)</f>
        <v>174.12200000000007</v>
      </c>
      <c r="CV88" s="14">
        <f t="shared" si="95"/>
        <v>44.011923283560357</v>
      </c>
      <c r="CW88" s="22">
        <f t="shared" si="67"/>
        <v>379.91658305220102</v>
      </c>
      <c r="CX88" s="62">
        <f t="shared" si="68"/>
        <v>673.24991638553433</v>
      </c>
      <c r="CY88" s="62">
        <f ca="1">AVERAGE(OFFSET($CX$3,0,0,'Données projet'!$E$13+1,1))-AVERAGE(OFFSET($H$3,0,0,'Données projet'!$E$13+1,1))</f>
        <v>205.01234521498333</v>
      </c>
      <c r="CZ88" s="62">
        <f t="shared" si="96"/>
        <v>100.26042113972852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projet'!$B$13,Paramètres!$A$1:$I$88,3,0)*0.475*44/12</f>
        <v>0</v>
      </c>
      <c r="DG88" s="23">
        <f>EXP(-LN(2)/25)*DG87+(1-EXP(-LN(2)/25))/(LN(2)/25)*Calculateur!DB88*Calculateur!DD88*VLOOKUP('Données projet'!$B$13,Paramètres!$A$1:$I$88,3,0)*0.475*44/12</f>
        <v>0</v>
      </c>
      <c r="DH88" s="23">
        <f>EXP(-LN(2)/2)*DH87+(1-EXP(-LN(2)/2))/(LN(2)/2)*DB88*DE88*VLOOKUP('Données projet'!$B$13,Paramètres!$A$1:$I$88,3,0)*0.475*44/12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25.15500000000003</v>
      </c>
      <c r="D89" s="12">
        <f t="shared" si="86"/>
        <v>7.9642285679322908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255.65720298053017</v>
      </c>
      <c r="H89" s="70">
        <f t="shared" si="56"/>
        <v>351.01598975581544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-5.6843418860808015E-14</v>
      </c>
      <c r="O89" s="14">
        <f>N89*VLOOKUP('Données projet'!$B$9,Paramètres!$A$1:$I$88,3,0)*VLOOKUP('Données projet'!$B$9,Paramètres!$A$1:$I$88,5,0)</f>
        <v>-5.7639226724859328E-14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167.90363814107491</v>
      </c>
      <c r="T89" s="62">
        <f t="shared" si="88"/>
        <v>174.92847878212234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0</v>
      </c>
      <c r="AB89" s="23">
        <f>EXP(-LN(2)/2)*AB88+(1-EXP(-LN(2)/2))/(LN(2)/2)*V89*Y89*VLOOKUP('Données projet'!$B$9,Paramètres!$A$1:$I$88,3,0)*0.475*44/12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projet'!$B$10,Paramètres!$A$1:$I$88,3,0)*VLOOKUP('Données projet'!$B$10,Paramètres!$A$1:$I$88,5,0)</f>
        <v>-6.1186256061773749E-14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179.61236179838011</v>
      </c>
      <c r="AO89" s="62">
        <f t="shared" si="90"/>
        <v>186.66130555850333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0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17.8</v>
      </c>
      <c r="BD89" s="13">
        <f>IF('Données projet'!$A$88&gt;35,BD88+BC89-BL88,IF(A89&lt;'Données projet'!$A$88,$BA$205^A89,IF(A89='Données projet'!$A$88,'Données projet'!$B$88,BD88+BC89-BL88)))</f>
        <v>730.80000000000007</v>
      </c>
      <c r="BE89" s="14">
        <f>BD89*VLOOKUP('Données projet'!$B$11,Paramètres!$A$1:$I$88,3,0)*VLOOKUP('Données projet'!$B$11,Paramètres!$A$1:$I$88,5,0)</f>
        <v>342.01440000000002</v>
      </c>
      <c r="BF89" s="14">
        <f t="shared" si="91"/>
        <v>79.915991022086629</v>
      </c>
      <c r="BG89" s="22">
        <f t="shared" si="61"/>
        <v>734.8620976968009</v>
      </c>
      <c r="BH89" s="62">
        <f t="shared" si="62"/>
        <v>1028.1954310301342</v>
      </c>
      <c r="BI89" s="62">
        <f ca="1">AVERAGE(OFFSET($BH$3,0,0,'Données projet'!$E$11+1,1))-AVERAGE(OFFSET($H$3,0,0,'Données projet'!$E$11+1,1))</f>
        <v>335.00873408144395</v>
      </c>
      <c r="BJ89" s="62">
        <f t="shared" si="92"/>
        <v>106.28577694955948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0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6.25</v>
      </c>
      <c r="BY89" s="13">
        <f>IF('Données projet'!$A$114&gt;35,BY88+BX89-CG88,IF(A89&lt;'Données projet'!$A$114,$BV$205^A89,IF(A89='Données projet'!$A$114,'Données projet'!$B$114,BY88+BX89-CG88)))</f>
        <v>262.25</v>
      </c>
      <c r="BZ89" s="14">
        <f>BY89*VLOOKUP('Données projet'!$B$12,Paramètres!$A$1:$I$88,3,0)*VLOOKUP('Données projet'!$B$12,Paramètres!$A$1:$I$88,5,0)</f>
        <v>156.82550000000001</v>
      </c>
      <c r="CA89" s="14">
        <f t="shared" si="93"/>
        <v>40.12566509846944</v>
      </c>
      <c r="CB89" s="22">
        <f t="shared" si="64"/>
        <v>343.0232792131676</v>
      </c>
      <c r="CC89" s="62">
        <f t="shared" si="65"/>
        <v>636.35661254650086</v>
      </c>
      <c r="CD89" s="62">
        <f ca="1">AVERAGE(OFFSET($CC$3,0,0,'Données projet'!$E$12+1,1))-AVERAGE(OFFSET($H$3,0,0,'Données projet'!$E$12+1,1))</f>
        <v>136.47709057888358</v>
      </c>
      <c r="CE89" s="62">
        <f t="shared" si="94"/>
        <v>99.705248792886493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0</v>
      </c>
      <c r="CL89" s="23">
        <f>EXP(-LN(2)/25)*CL88+(1-EXP(-LN(2)/25))/(LN(2)/25)*Calculateur!CG89*Calculateur!CI89*VLOOKUP('Données projet'!$B$12,Paramètres!$A$1:$I$88,3,0)*0.475*44/12</f>
        <v>0</v>
      </c>
      <c r="CM89" s="23">
        <f>EXP(-LN(2)/2)*CM88+(1-EXP(-LN(2)/2))/(LN(2)/2)*CG89*CJ89*VLOOKUP('Données projet'!$B$12,Paramètres!$A$1:$I$88,3,0)*0.475*44/12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11.8</v>
      </c>
      <c r="CT89" s="13">
        <f>IF('Données projet'!$A$140&gt;35,CT88+CS89-DB88,IF(A89&lt;'Données projet'!$A$140,$CQ$205^A89,IF(A89='Données projet'!$A$140,'Données projet'!$B$140,CT88+CS89-DB88)))</f>
        <v>373.80000000000018</v>
      </c>
      <c r="CU89" s="18">
        <f>CT89*VLOOKUP('Données projet'!$B$13,Paramètres!$A$1:$I$88,3,0)*VLOOKUP('Données projet'!$B$13,Paramètres!$A$1:$I$88,5,0)</f>
        <v>179.79780000000011</v>
      </c>
      <c r="CV89" s="14">
        <f t="shared" si="95"/>
        <v>45.277197449567822</v>
      </c>
      <c r="CW89" s="22">
        <f t="shared" si="67"/>
        <v>392.00562055799747</v>
      </c>
      <c r="CX89" s="62">
        <f t="shared" si="68"/>
        <v>685.33895389133079</v>
      </c>
      <c r="CY89" s="62">
        <f ca="1">AVERAGE(OFFSET($CX$3,0,0,'Données projet'!$E$13+1,1))-AVERAGE(OFFSET($H$3,0,0,'Données projet'!$E$13+1,1))</f>
        <v>205.01234521498333</v>
      </c>
      <c r="CZ89" s="62">
        <f t="shared" si="96"/>
        <v>100.26042113972852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projet'!$B$13,Paramètres!$A$1:$I$88,3,0)*0.475*44/12</f>
        <v>0</v>
      </c>
      <c r="DG89" s="23">
        <f>EXP(-LN(2)/25)*DG88+(1-EXP(-LN(2)/25))/(LN(2)/25)*Calculateur!DB89*Calculateur!DD89*VLOOKUP('Données projet'!$B$13,Paramètres!$A$1:$I$88,3,0)*0.475*44/12</f>
        <v>0</v>
      </c>
      <c r="DH89" s="23">
        <f>EXP(-LN(2)/2)*DH88+(1-EXP(-LN(2)/2))/(LN(2)/2)*DB89*DE89*VLOOKUP('Données projet'!$B$13,Paramètres!$A$1:$I$88,3,0)*0.475*44/12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25.44750000000003</v>
      </c>
      <c r="D90" s="12">
        <f t="shared" si="86"/>
        <v>8.0460012477599303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258.54632542130497</v>
      </c>
      <c r="H90" s="70">
        <f t="shared" si="56"/>
        <v>351.66784800651521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-5.6843418860808015E-14</v>
      </c>
      <c r="O90" s="14">
        <f>N90*VLOOKUP('Données projet'!$B$9,Paramètres!$A$1:$I$88,3,0)*VLOOKUP('Données projet'!$B$9,Paramètres!$A$1:$I$88,5,0)</f>
        <v>-5.7639226724859328E-14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167.90363814107491</v>
      </c>
      <c r="T90" s="62">
        <f t="shared" si="88"/>
        <v>174.92847878212234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0</v>
      </c>
      <c r="AB90" s="23">
        <f>EXP(-LN(2)/2)*AB89+(1-EXP(-LN(2)/2))/(LN(2)/2)*V90*Y90*VLOOKUP('Données projet'!$B$9,Paramètres!$A$1:$I$88,3,0)*0.475*44/12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projet'!$B$10,Paramètres!$A$1:$I$88,3,0)*VLOOKUP('Données projet'!$B$10,Paramètres!$A$1:$I$88,5,0)</f>
        <v>-6.1186256061773749E-14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179.61236179838011</v>
      </c>
      <c r="AO90" s="62">
        <f t="shared" si="90"/>
        <v>186.66130555850333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0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17.8</v>
      </c>
      <c r="BD90" s="13">
        <f>IF('Données projet'!$A$88&gt;35,BD89+BC90-BL89,IF(A90&lt;'Données projet'!$A$88,$BA$205^A90,IF(A90='Données projet'!$A$88,'Données projet'!$B$88,BD89+BC90-BL89)))</f>
        <v>748.6</v>
      </c>
      <c r="BE90" s="14">
        <f>BD90*VLOOKUP('Données projet'!$B$11,Paramètres!$A$1:$I$88,3,0)*VLOOKUP('Données projet'!$B$11,Paramètres!$A$1:$I$88,5,0)</f>
        <v>350.34479999999996</v>
      </c>
      <c r="BF90" s="14">
        <f t="shared" si="91"/>
        <v>81.633505069784817</v>
      </c>
      <c r="BG90" s="22">
        <f t="shared" si="61"/>
        <v>752.36221466320842</v>
      </c>
      <c r="BH90" s="62">
        <f t="shared" si="62"/>
        <v>1045.6955479965418</v>
      </c>
      <c r="BI90" s="62">
        <f ca="1">AVERAGE(OFFSET($BH$3,0,0,'Données projet'!$E$11+1,1))-AVERAGE(OFFSET($H$3,0,0,'Données projet'!$E$11+1,1))</f>
        <v>335.00873408144395</v>
      </c>
      <c r="BJ90" s="62">
        <f t="shared" si="92"/>
        <v>106.28577694955948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0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6.25</v>
      </c>
      <c r="BY90" s="13">
        <f>IF('Données projet'!$A$114&gt;35,BY89+BX90-CG89,IF(A90&lt;'Données projet'!$A$114,$BV$205^A90,IF(A90='Données projet'!$A$114,'Données projet'!$B$114,BY89+BX90-CG89)))</f>
        <v>268.5</v>
      </c>
      <c r="BZ90" s="14">
        <f>BY90*VLOOKUP('Données projet'!$B$12,Paramètres!$A$1:$I$88,3,0)*VLOOKUP('Données projet'!$B$12,Paramètres!$A$1:$I$88,5,0)</f>
        <v>160.56300000000002</v>
      </c>
      <c r="CA90" s="14">
        <f t="shared" si="93"/>
        <v>40.969475656539245</v>
      </c>
      <c r="CB90" s="22">
        <f t="shared" si="64"/>
        <v>351.00239510180586</v>
      </c>
      <c r="CC90" s="62">
        <f t="shared" si="65"/>
        <v>644.33572843513912</v>
      </c>
      <c r="CD90" s="62">
        <f ca="1">AVERAGE(OFFSET($CC$3,0,0,'Données projet'!$E$12+1,1))-AVERAGE(OFFSET($H$3,0,0,'Données projet'!$E$12+1,1))</f>
        <v>136.47709057888358</v>
      </c>
      <c r="CE90" s="62">
        <f t="shared" si="94"/>
        <v>99.705248792886493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0</v>
      </c>
      <c r="CL90" s="23">
        <f>EXP(-LN(2)/25)*CL89+(1-EXP(-LN(2)/25))/(LN(2)/25)*Calculateur!CG90*Calculateur!CI90*VLOOKUP('Données projet'!$B$12,Paramètres!$A$1:$I$88,3,0)*0.475*44/12</f>
        <v>0</v>
      </c>
      <c r="CM90" s="23">
        <f>EXP(-LN(2)/2)*CM89+(1-EXP(-LN(2)/2))/(LN(2)/2)*CG90*CJ90*VLOOKUP('Données projet'!$B$12,Paramètres!$A$1:$I$88,3,0)*0.475*44/12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11.8</v>
      </c>
      <c r="CT90" s="13">
        <f>IF('Données projet'!$A$140&gt;35,CT89+CS90-DB89,IF(A90&lt;'Données projet'!$A$140,$CQ$205^A90,IF(A90='Données projet'!$A$140,'Données projet'!$B$140,CT89+CS90-DB89)))</f>
        <v>385.60000000000019</v>
      </c>
      <c r="CU90" s="18">
        <f>CT90*VLOOKUP('Données projet'!$B$13,Paramètres!$A$1:$I$88,3,0)*VLOOKUP('Données projet'!$B$13,Paramètres!$A$1:$I$88,5,0)</f>
        <v>185.47360000000012</v>
      </c>
      <c r="CV90" s="14">
        <f t="shared" si="95"/>
        <v>46.537830109895161</v>
      </c>
      <c r="CW90" s="22">
        <f t="shared" si="67"/>
        <v>404.08657410806762</v>
      </c>
      <c r="CX90" s="62">
        <f t="shared" si="68"/>
        <v>697.41990744140094</v>
      </c>
      <c r="CY90" s="62">
        <f ca="1">AVERAGE(OFFSET($CX$3,0,0,'Données projet'!$E$13+1,1))-AVERAGE(OFFSET($H$3,0,0,'Données projet'!$E$13+1,1))</f>
        <v>205.01234521498333</v>
      </c>
      <c r="CZ90" s="62">
        <f t="shared" si="96"/>
        <v>100.26042113972852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projet'!$B$13,Paramètres!$A$1:$I$88,3,0)*0.475*44/12</f>
        <v>0</v>
      </c>
      <c r="DG90" s="23">
        <f>EXP(-LN(2)/25)*DG89+(1-EXP(-LN(2)/25))/(LN(2)/25)*Calculateur!DB90*Calculateur!DD90*VLOOKUP('Données projet'!$B$13,Paramètres!$A$1:$I$88,3,0)*0.475*44/12</f>
        <v>0</v>
      </c>
      <c r="DH90" s="23">
        <f>EXP(-LN(2)/2)*DH89+(1-EXP(-LN(2)/2))/(LN(2)/2)*DB90*DE90*VLOOKUP('Données projet'!$B$13,Paramètres!$A$1:$I$88,3,0)*0.475*44/12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25.74000000000003</v>
      </c>
      <c r="D91" s="12">
        <f t="shared" si="86"/>
        <v>8.1276645919917794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261.43460386800695</v>
      </c>
      <c r="H91" s="70">
        <f t="shared" si="56"/>
        <v>352.3195158310524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-5.6843418860808015E-14</v>
      </c>
      <c r="O91" s="14">
        <f>N91*VLOOKUP('Données projet'!$B$9,Paramètres!$A$1:$I$88,3,0)*VLOOKUP('Données projet'!$B$9,Paramètres!$A$1:$I$88,5,0)</f>
        <v>-5.7639226724859328E-14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167.90363814107491</v>
      </c>
      <c r="T91" s="62">
        <f t="shared" si="88"/>
        <v>174.92847878212234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0</v>
      </c>
      <c r="AB91" s="23">
        <f>EXP(-LN(2)/2)*AB90+(1-EXP(-LN(2)/2))/(LN(2)/2)*V91*Y91*VLOOKUP('Données projet'!$B$9,Paramètres!$A$1:$I$88,3,0)*0.475*44/12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projet'!$B$10,Paramètres!$A$1:$I$88,3,0)*VLOOKUP('Données projet'!$B$10,Paramètres!$A$1:$I$88,5,0)</f>
        <v>-6.1186256061773749E-14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179.61236179838011</v>
      </c>
      <c r="AO91" s="62">
        <f t="shared" si="90"/>
        <v>186.66130555850333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0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17.8</v>
      </c>
      <c r="BD91" s="13">
        <f>IF('Données projet'!$A$88&gt;35,BD90+BC91-BL90,IF(A91&lt;'Données projet'!$A$88,$BA$205^A91,IF(A91='Données projet'!$A$88,'Données projet'!$B$88,BD90+BC91-BL90)))</f>
        <v>766.4</v>
      </c>
      <c r="BE91" s="14">
        <f>BD91*VLOOKUP('Données projet'!$B$11,Paramètres!$A$1:$I$88,3,0)*VLOOKUP('Données projet'!$B$11,Paramètres!$A$1:$I$88,5,0)</f>
        <v>358.67520000000002</v>
      </c>
      <c r="BF91" s="14">
        <f t="shared" si="91"/>
        <v>83.346271607947827</v>
      </c>
      <c r="BG91" s="22">
        <f t="shared" si="61"/>
        <v>769.85406305050913</v>
      </c>
      <c r="BH91" s="62">
        <f t="shared" si="62"/>
        <v>1063.1873963838425</v>
      </c>
      <c r="BI91" s="62">
        <f ca="1">AVERAGE(OFFSET($BH$3,0,0,'Données projet'!$E$11+1,1))-AVERAGE(OFFSET($H$3,0,0,'Données projet'!$E$11+1,1))</f>
        <v>335.00873408144395</v>
      </c>
      <c r="BJ91" s="62">
        <f t="shared" si="92"/>
        <v>106.28577694955948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0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6.25</v>
      </c>
      <c r="BY91" s="13">
        <f>IF('Données projet'!$A$114&gt;35,BY90+BX91-CG90,IF(A91&lt;'Données projet'!$A$114,$BV$205^A91,IF(A91='Données projet'!$A$114,'Données projet'!$B$114,BY90+BX91-CG90)))</f>
        <v>274.75</v>
      </c>
      <c r="BZ91" s="14">
        <f>BY91*VLOOKUP('Données projet'!$B$12,Paramètres!$A$1:$I$88,3,0)*VLOOKUP('Données projet'!$B$12,Paramètres!$A$1:$I$88,5,0)</f>
        <v>164.3005</v>
      </c>
      <c r="CA91" s="14">
        <f t="shared" si="93"/>
        <v>41.811002788885126</v>
      </c>
      <c r="CB91" s="22">
        <f t="shared" si="64"/>
        <v>358.9775340239749</v>
      </c>
      <c r="CC91" s="62">
        <f t="shared" si="65"/>
        <v>652.31086735730821</v>
      </c>
      <c r="CD91" s="62">
        <f ca="1">AVERAGE(OFFSET($CC$3,0,0,'Données projet'!$E$12+1,1))-AVERAGE(OFFSET($H$3,0,0,'Données projet'!$E$12+1,1))</f>
        <v>136.47709057888358</v>
      </c>
      <c r="CE91" s="62">
        <f t="shared" si="94"/>
        <v>99.705248792886493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0</v>
      </c>
      <c r="CL91" s="23">
        <f>EXP(-LN(2)/25)*CL90+(1-EXP(-LN(2)/25))/(LN(2)/25)*Calculateur!CG91*Calculateur!CI91*VLOOKUP('Données projet'!$B$12,Paramètres!$A$1:$I$88,3,0)*0.475*44/12</f>
        <v>0</v>
      </c>
      <c r="CM91" s="23">
        <f>EXP(-LN(2)/2)*CM90+(1-EXP(-LN(2)/2))/(LN(2)/2)*CG91*CJ91*VLOOKUP('Données projet'!$B$12,Paramètres!$A$1:$I$88,3,0)*0.475*44/12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11.8</v>
      </c>
      <c r="CT91" s="13">
        <f>IF('Données projet'!$A$140&gt;35,CT90+CS91-DB90,IF(A91&lt;'Données projet'!$A$140,$CQ$205^A91,IF(A91='Données projet'!$A$140,'Données projet'!$B$140,CT90+CS91-DB90)))</f>
        <v>397.4000000000002</v>
      </c>
      <c r="CU91" s="18">
        <f>CT91*VLOOKUP('Données projet'!$B$13,Paramètres!$A$1:$I$88,3,0)*VLOOKUP('Données projet'!$B$13,Paramètres!$A$1:$I$88,5,0)</f>
        <v>191.1494000000001</v>
      </c>
      <c r="CV91" s="14">
        <f t="shared" si="95"/>
        <v>47.793979603564196</v>
      </c>
      <c r="CW91" s="22">
        <f t="shared" si="67"/>
        <v>416.15971947620778</v>
      </c>
      <c r="CX91" s="62">
        <f t="shared" si="68"/>
        <v>709.49305280954104</v>
      </c>
      <c r="CY91" s="62">
        <f ca="1">AVERAGE(OFFSET($CX$3,0,0,'Données projet'!$E$13+1,1))-AVERAGE(OFFSET($H$3,0,0,'Données projet'!$E$13+1,1))</f>
        <v>205.01234521498333</v>
      </c>
      <c r="CZ91" s="62">
        <f t="shared" si="96"/>
        <v>100.26042113972852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projet'!$B$13,Paramètres!$A$1:$I$88,3,0)*0.475*44/12</f>
        <v>0</v>
      </c>
      <c r="DG91" s="23">
        <f>EXP(-LN(2)/25)*DG90+(1-EXP(-LN(2)/25))/(LN(2)/25)*Calculateur!DB91*Calculateur!DD91*VLOOKUP('Données projet'!$B$13,Paramètres!$A$1:$I$88,3,0)*0.475*44/12</f>
        <v>0</v>
      </c>
      <c r="DH91" s="23">
        <f>EXP(-LN(2)/2)*DH90+(1-EXP(-LN(2)/2))/(LN(2)/2)*DB91*DE91*VLOOKUP('Données projet'!$B$13,Paramètres!$A$1:$I$88,3,0)*0.475*44/12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26.032500000000031</v>
      </c>
      <c r="D92" s="12">
        <f t="shared" si="86"/>
        <v>8.2092199868419797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264.32204902123664</v>
      </c>
      <c r="H92" s="70">
        <f t="shared" si="56"/>
        <v>352.9709956437498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-5.6843418860808015E-14</v>
      </c>
      <c r="O92" s="14">
        <f>N92*VLOOKUP('Données projet'!$B$9,Paramètres!$A$1:$I$88,3,0)*VLOOKUP('Données projet'!$B$9,Paramètres!$A$1:$I$88,5,0)</f>
        <v>-5.7639226724859328E-14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167.90363814107491</v>
      </c>
      <c r="T92" s="62">
        <f t="shared" si="88"/>
        <v>174.92847878212234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0</v>
      </c>
      <c r="AB92" s="23">
        <f>EXP(-LN(2)/2)*AB91+(1-EXP(-LN(2)/2))/(LN(2)/2)*V92*Y92*VLOOKUP('Données projet'!$B$9,Paramètres!$A$1:$I$88,3,0)*0.475*44/12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projet'!$B$10,Paramètres!$A$1:$I$88,3,0)*VLOOKUP('Données projet'!$B$10,Paramètres!$A$1:$I$88,5,0)</f>
        <v>-6.1186256061773749E-14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179.61236179838011</v>
      </c>
      <c r="AO92" s="62">
        <f t="shared" si="90"/>
        <v>186.66130555850333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0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17.8</v>
      </c>
      <c r="BD92" s="13">
        <f>IF('Données projet'!$A$88&gt;35,BD91+BC92-BL91,IF(A92&lt;'Données projet'!$A$88,$BA$205^A92,IF(A92='Données projet'!$A$88,'Données projet'!$B$88,BD91+BC92-BL91)))</f>
        <v>784.19999999999993</v>
      </c>
      <c r="BE92" s="14">
        <f>BD92*VLOOKUP('Données projet'!$B$11,Paramètres!$A$1:$I$88,3,0)*VLOOKUP('Données projet'!$B$11,Paramètres!$A$1:$I$88,5,0)</f>
        <v>367.00559999999996</v>
      </c>
      <c r="BF92" s="14">
        <f t="shared" si="91"/>
        <v>85.054413590443389</v>
      </c>
      <c r="BG92" s="22">
        <f t="shared" si="61"/>
        <v>787.33785700335545</v>
      </c>
      <c r="BH92" s="62">
        <f t="shared" si="62"/>
        <v>1080.6711903366888</v>
      </c>
      <c r="BI92" s="62">
        <f ca="1">AVERAGE(OFFSET($BH$3,0,0,'Données projet'!$E$11+1,1))-AVERAGE(OFFSET($H$3,0,0,'Données projet'!$E$11+1,1))</f>
        <v>335.00873408144395</v>
      </c>
      <c r="BJ92" s="62">
        <f t="shared" si="92"/>
        <v>106.28577694955948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0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>
        <f>VLOOKUP(A92,'Données projet'!$A$113:$I$133,2,0)</f>
        <v>281</v>
      </c>
      <c r="BW92" s="13">
        <f>VLOOKUP(A92,'Données projet'!$A$113:$I$133,9,0)</f>
        <v>6.25</v>
      </c>
      <c r="BX92" s="13">
        <f t="array" ref="BX92">INDEX(BW:BW,MIN(IF(ISNUMBER(BW92:BW288),ROW(BW92:BW288),"")))</f>
        <v>6.25</v>
      </c>
      <c r="BY92" s="13">
        <f>IF('Données projet'!$A$114&gt;35,BY91+BX92-CG91,IF(A92&lt;'Données projet'!$A$114,$BV$205^A92,IF(A92='Données projet'!$A$114,'Données projet'!$B$114,BY91+BX92-CG91)))</f>
        <v>281</v>
      </c>
      <c r="BZ92" s="14">
        <f>BY92*VLOOKUP('Données projet'!$B$12,Paramètres!$A$1:$I$88,3,0)*VLOOKUP('Données projet'!$B$12,Paramètres!$A$1:$I$88,5,0)</f>
        <v>168.03800000000004</v>
      </c>
      <c r="CA92" s="14">
        <f t="shared" si="93"/>
        <v>42.650304418351887</v>
      </c>
      <c r="CB92" s="22">
        <f t="shared" si="64"/>
        <v>366.94879686196288</v>
      </c>
      <c r="CC92" s="62">
        <f t="shared" si="65"/>
        <v>660.28213019529619</v>
      </c>
      <c r="CD92" s="62">
        <f ca="1">AVERAGE(OFFSET($CC$3,0,0,'Données projet'!$E$12+1,1))-AVERAGE(OFFSET($H$3,0,0,'Données projet'!$E$12+1,1))</f>
        <v>136.47709057888358</v>
      </c>
      <c r="CE92" s="62">
        <f t="shared" si="94"/>
        <v>99.705248792886493</v>
      </c>
      <c r="CF92" s="16">
        <f>IF(ISNA(VLOOKUP(A92,'Données projet'!$A$113:$I$133,3,0)),0,VLOOKUP(A92,'Données projet'!$A$113:$I$133,3,0))</f>
        <v>6</v>
      </c>
      <c r="CG92" s="16">
        <f>IF(ISNA(VLOOKUP(A92,'Données projet'!$A$113:$I$133,4,0)),0,VLOOKUP(A92,'Données projet'!$A$113:$I$133,4,0))</f>
        <v>281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0</v>
      </c>
      <c r="CL92" s="23">
        <f>EXP(-LN(2)/25)*CL91+(1-EXP(-LN(2)/25))/(LN(2)/25)*Calculateur!CG92*Calculateur!CI92*VLOOKUP('Données projet'!$B$12,Paramètres!$A$1:$I$88,3,0)*0.475*44/12</f>
        <v>0</v>
      </c>
      <c r="CM92" s="23">
        <f>EXP(-LN(2)/2)*CM91+(1-EXP(-LN(2)/2))/(LN(2)/2)*CG92*CJ92*VLOOKUP('Données projet'!$B$12,Paramètres!$A$1:$I$88,3,0)*0.475*44/12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11.8</v>
      </c>
      <c r="CT92" s="13">
        <f>IF('Données projet'!$A$140&gt;35,CT91+CS92-DB91,IF(A92&lt;'Données projet'!$A$140,$CQ$205^A92,IF(A92='Données projet'!$A$140,'Données projet'!$B$140,CT91+CS92-DB91)))</f>
        <v>409.20000000000022</v>
      </c>
      <c r="CU92" s="18">
        <f>CT92*VLOOKUP('Données projet'!$B$13,Paramètres!$A$1:$I$88,3,0)*VLOOKUP('Données projet'!$B$13,Paramètres!$A$1:$I$88,5,0)</f>
        <v>196.82520000000011</v>
      </c>
      <c r="CV92" s="14">
        <f t="shared" si="95"/>
        <v>49.045794331964828</v>
      </c>
      <c r="CW92" s="22">
        <f t="shared" si="67"/>
        <v>428.22531512817227</v>
      </c>
      <c r="CX92" s="62">
        <f t="shared" si="68"/>
        <v>721.55864846150553</v>
      </c>
      <c r="CY92" s="62">
        <f ca="1">AVERAGE(OFFSET($CX$3,0,0,'Données projet'!$E$13+1,1))-AVERAGE(OFFSET($H$3,0,0,'Données projet'!$E$13+1,1))</f>
        <v>205.01234521498333</v>
      </c>
      <c r="CZ92" s="62">
        <f t="shared" si="96"/>
        <v>100.26042113972852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projet'!$B$13,Paramètres!$A$1:$I$88,3,0)*0.475*44/12</f>
        <v>0</v>
      </c>
      <c r="DG92" s="23">
        <f>EXP(-LN(2)/25)*DG91+(1-EXP(-LN(2)/25))/(LN(2)/25)*Calculateur!DB92*Calculateur!DD92*VLOOKUP('Données projet'!$B$13,Paramètres!$A$1:$I$88,3,0)*0.475*44/12</f>
        <v>0</v>
      </c>
      <c r="DH92" s="23">
        <f>EXP(-LN(2)/2)*DH91+(1-EXP(-LN(2)/2))/(LN(2)/2)*DB92*DE92*VLOOKUP('Données projet'!$B$13,Paramètres!$A$1:$I$88,3,0)*0.475*44/12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26.325000000000031</v>
      </c>
      <c r="D93" s="12">
        <f t="shared" si="86"/>
        <v>8.2906687855803103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267.20867132728682</v>
      </c>
      <c r="H93" s="70">
        <f t="shared" si="56"/>
        <v>353.62228980155243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-5.6843418860808015E-14</v>
      </c>
      <c r="O93" s="14">
        <f>N93*VLOOKUP('Données projet'!$B$9,Paramètres!$A$1:$I$88,3,0)*VLOOKUP('Données projet'!$B$9,Paramètres!$A$1:$I$88,5,0)</f>
        <v>-5.7639226724859328E-14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167.90363814107491</v>
      </c>
      <c r="T93" s="62">
        <f t="shared" si="88"/>
        <v>174.92847878212234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0</v>
      </c>
      <c r="AB93" s="23">
        <f>EXP(-LN(2)/2)*AB92+(1-EXP(-LN(2)/2))/(LN(2)/2)*V93*Y93*VLOOKUP('Données projet'!$B$9,Paramètres!$A$1:$I$88,3,0)*0.475*44/12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projet'!$B$10,Paramètres!$A$1:$I$88,3,0)*VLOOKUP('Données projet'!$B$10,Paramètres!$A$1:$I$88,5,0)</f>
        <v>-6.1186256061773749E-14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179.61236179838011</v>
      </c>
      <c r="AO93" s="62">
        <f t="shared" si="90"/>
        <v>186.66130555850333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0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802</v>
      </c>
      <c r="BB93" s="13">
        <f>VLOOKUP(A93,'Données projet'!$A$87:$I$107,9,0)</f>
        <v>17.8</v>
      </c>
      <c r="BC93" s="13">
        <f t="array" ref="BC93">INDEX(BB:BB,MIN(IF(ISNUMBER(BB93:BB289),ROW(BB93:BB289),"")))</f>
        <v>17.8</v>
      </c>
      <c r="BD93" s="13">
        <f>IF('Données projet'!$A$88&gt;35,BD92+BC93-BL92,IF(A93&lt;'Données projet'!$A$88,$BA$205^A93,IF(A93='Données projet'!$A$88,'Données projet'!$B$88,BD92+BC93-BL92)))</f>
        <v>801.99999999999989</v>
      </c>
      <c r="BE93" s="14">
        <f>BD93*VLOOKUP('Données projet'!$B$11,Paramètres!$A$1:$I$88,3,0)*VLOOKUP('Données projet'!$B$11,Paramètres!$A$1:$I$88,5,0)</f>
        <v>375.33599999999996</v>
      </c>
      <c r="BF93" s="14">
        <f t="shared" si="91"/>
        <v>86.75804807087205</v>
      </c>
      <c r="BG93" s="22">
        <f t="shared" si="61"/>
        <v>804.81380039010207</v>
      </c>
      <c r="BH93" s="62">
        <f t="shared" si="62"/>
        <v>1098.1471337234354</v>
      </c>
      <c r="BI93" s="62">
        <f ca="1">AVERAGE(OFFSET($BH$3,0,0,'Données projet'!$E$11+1,1))-AVERAGE(OFFSET($H$3,0,0,'Données projet'!$E$11+1,1))</f>
        <v>335.00873408144395</v>
      </c>
      <c r="BJ93" s="62">
        <f t="shared" si="92"/>
        <v>106.28577694955948</v>
      </c>
      <c r="BK93" s="16">
        <f>IF(ISNA(VLOOKUP(A93,'Données projet'!$A$87:$I$107,3,0)),0,VLOOKUP(A93,'Données projet'!$A$87:$I$107,3,0))</f>
        <v>6</v>
      </c>
      <c r="BL93" s="16">
        <f>IF(ISNA(VLOOKUP(A93,'Données projet'!$A$87:$I$107,4,0)),0,VLOOKUP(A93,'Données projet'!$A$87:$I$107,4,0))</f>
        <v>97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0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projet'!$B$12,Paramètres!$A$1:$I$88,3,0)*VLOOKUP('Données projet'!$B$12,Paramètres!$A$1:$I$88,5,0)</f>
        <v>0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136.47709057888358</v>
      </c>
      <c r="CE93" s="62">
        <f t="shared" si="94"/>
        <v>99.705248792886493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0</v>
      </c>
      <c r="CL93" s="23">
        <f>EXP(-LN(2)/25)*CL92+(1-EXP(-LN(2)/25))/(LN(2)/25)*Calculateur!CG93*Calculateur!CI93*VLOOKUP('Données projet'!$B$12,Paramètres!$A$1:$I$88,3,0)*0.475*44/12</f>
        <v>0</v>
      </c>
      <c r="CM93" s="23">
        <f>EXP(-LN(2)/2)*CM92+(1-EXP(-LN(2)/2))/(LN(2)/2)*CG93*CJ93*VLOOKUP('Données projet'!$B$12,Paramètres!$A$1:$I$88,3,0)*0.475*44/12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421</v>
      </c>
      <c r="CR93" s="13">
        <f>VLOOKUP(A93,'Données projet'!$A$139:$I$159,9,0)</f>
        <v>11.8</v>
      </c>
      <c r="CS93" s="13">
        <f t="array" ref="CS93">INDEX(CR:CR,MIN(IF(ISNUMBER(CR93:CR289),ROW(CR93:CR289),"")))</f>
        <v>11.8</v>
      </c>
      <c r="CT93" s="13">
        <f>IF('Données projet'!$A$140&gt;35,CT92+CS93-DB92,IF(A93&lt;'Données projet'!$A$140,$CQ$205^A93,IF(A93='Données projet'!$A$140,'Données projet'!$B$140,CT92+CS93-DB92)))</f>
        <v>421.00000000000023</v>
      </c>
      <c r="CU93" s="18">
        <f>CT93*VLOOKUP('Données projet'!$B$13,Paramètres!$A$1:$I$88,3,0)*VLOOKUP('Données projet'!$B$13,Paramètres!$A$1:$I$88,5,0)</f>
        <v>202.50100000000012</v>
      </c>
      <c r="CV93" s="14">
        <f t="shared" si="95"/>
        <v>50.293413650922858</v>
      </c>
      <c r="CW93" s="22">
        <f t="shared" si="67"/>
        <v>440.28360377535751</v>
      </c>
      <c r="CX93" s="62">
        <f t="shared" si="68"/>
        <v>733.61693710869076</v>
      </c>
      <c r="CY93" s="62">
        <f ca="1">AVERAGE(OFFSET($CX$3,0,0,'Données projet'!$E$13+1,1))-AVERAGE(OFFSET($H$3,0,0,'Données projet'!$E$13+1,1))</f>
        <v>205.01234521498333</v>
      </c>
      <c r="CZ93" s="62">
        <f t="shared" si="96"/>
        <v>100.26042113972852</v>
      </c>
      <c r="DA93" s="16">
        <f>IF(ISNA(VLOOKUP(A93,'Données projet'!$A$139:$I$159,3,0)),0,VLOOKUP(A93,'Données projet'!$A$139:$I$159,3,0))</f>
        <v>6</v>
      </c>
      <c r="DB93" s="16">
        <f>IF(ISNA(VLOOKUP(A93,'Données projet'!$A$139:$I$159,4,0)),0,VLOOKUP(A93,'Données projet'!$A$139:$I$159,4,0))</f>
        <v>50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projet'!$B$13,Paramètres!$A$1:$I$88,3,0)*0.475*44/12</f>
        <v>0</v>
      </c>
      <c r="DG93" s="23">
        <f>EXP(-LN(2)/25)*DG92+(1-EXP(-LN(2)/25))/(LN(2)/25)*Calculateur!DB93*Calculateur!DD93*VLOOKUP('Données projet'!$B$13,Paramètres!$A$1:$I$88,3,0)*0.475*44/12</f>
        <v>0</v>
      </c>
      <c r="DH93" s="23">
        <f>EXP(-LN(2)/2)*DH92+(1-EXP(-LN(2)/2))/(LN(2)/2)*DB93*DE93*VLOOKUP('Données projet'!$B$13,Paramètres!$A$1:$I$88,3,0)*0.475*44/12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26.617500000000032</v>
      </c>
      <c r="D94" s="12">
        <f t="shared" si="86"/>
        <v>8.3720123096722645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270.09448098694406</v>
      </c>
      <c r="H94" s="70">
        <f t="shared" si="56"/>
        <v>354.27340060601256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-5.6843418860808015E-14</v>
      </c>
      <c r="O94" s="14">
        <f>N94*VLOOKUP('Données projet'!$B$9,Paramètres!$A$1:$I$88,3,0)*VLOOKUP('Données projet'!$B$9,Paramètres!$A$1:$I$88,5,0)</f>
        <v>-5.7639226724859328E-14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167.90363814107491</v>
      </c>
      <c r="T94" s="62">
        <f t="shared" si="88"/>
        <v>174.92847878212234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0</v>
      </c>
      <c r="AB94" s="23">
        <f>EXP(-LN(2)/2)*AB93+(1-EXP(-LN(2)/2))/(LN(2)/2)*V94*Y94*VLOOKUP('Données projet'!$B$9,Paramètres!$A$1:$I$88,3,0)*0.475*44/12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projet'!$B$10,Paramètres!$A$1:$I$88,3,0)*VLOOKUP('Données projet'!$B$10,Paramètres!$A$1:$I$88,5,0)</f>
        <v>-6.1186256061773749E-14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179.61236179838011</v>
      </c>
      <c r="AO94" s="62">
        <f t="shared" si="90"/>
        <v>186.66130555850333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0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15</v>
      </c>
      <c r="BD94" s="13">
        <f>IF('Données projet'!$A$88&gt;35,BD93+BC94-BL93,IF(A94&lt;'Données projet'!$A$88,$BA$205^A94,IF(A94='Données projet'!$A$88,'Données projet'!$B$88,BD93+BC94-BL93)))</f>
        <v>719.99999999999989</v>
      </c>
      <c r="BE94" s="14">
        <f>BD94*VLOOKUP('Données projet'!$B$11,Paramètres!$A$1:$I$88,3,0)*VLOOKUP('Données projet'!$B$11,Paramètres!$A$1:$I$88,5,0)</f>
        <v>336.95999999999992</v>
      </c>
      <c r="BF94" s="14">
        <f t="shared" si="91"/>
        <v>78.871535242083567</v>
      </c>
      <c r="BG94" s="22">
        <f t="shared" si="61"/>
        <v>724.23992387996202</v>
      </c>
      <c r="BH94" s="62">
        <f t="shared" si="62"/>
        <v>1017.5732572132954</v>
      </c>
      <c r="BI94" s="62">
        <f ca="1">AVERAGE(OFFSET($BH$3,0,0,'Données projet'!$E$11+1,1))-AVERAGE(OFFSET($H$3,0,0,'Données projet'!$E$11+1,1))</f>
        <v>335.00873408144395</v>
      </c>
      <c r="BJ94" s="62">
        <f t="shared" si="92"/>
        <v>106.28577694955948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0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projet'!$B$12,Paramètres!$A$1:$I$88,3,0)*VLOOKUP('Données projet'!$B$12,Paramètres!$A$1:$I$88,5,0)</f>
        <v>0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136.47709057888358</v>
      </c>
      <c r="CE94" s="62">
        <f t="shared" si="94"/>
        <v>99.705248792886493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0</v>
      </c>
      <c r="CL94" s="23">
        <f>EXP(-LN(2)/25)*CL93+(1-EXP(-LN(2)/25))/(LN(2)/25)*Calculateur!CG94*Calculateur!CI94*VLOOKUP('Données projet'!$B$12,Paramètres!$A$1:$I$88,3,0)*0.475*44/12</f>
        <v>0</v>
      </c>
      <c r="CM94" s="23">
        <f>EXP(-LN(2)/2)*CM93+(1-EXP(-LN(2)/2))/(LN(2)/2)*CG94*CJ94*VLOOKUP('Données projet'!$B$12,Paramètres!$A$1:$I$88,3,0)*0.475*44/12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12.7</v>
      </c>
      <c r="CT94" s="13">
        <f>IF('Données projet'!$A$140&gt;35,CT93+CS94-DB93,IF(A94&lt;'Données projet'!$A$140,$CQ$205^A94,IF(A94='Données projet'!$A$140,'Données projet'!$B$140,CT93+CS94-DB93)))</f>
        <v>383.70000000000022</v>
      </c>
      <c r="CU94" s="18">
        <f>CT94*VLOOKUP('Données projet'!$B$13,Paramètres!$A$1:$I$88,3,0)*VLOOKUP('Données projet'!$B$13,Paramètres!$A$1:$I$88,5,0)</f>
        <v>184.55970000000011</v>
      </c>
      <c r="CV94" s="14">
        <f t="shared" si="95"/>
        <v>46.335153716193432</v>
      </c>
      <c r="CW94" s="22">
        <f t="shared" si="67"/>
        <v>402.14187022237041</v>
      </c>
      <c r="CX94" s="62">
        <f t="shared" si="68"/>
        <v>695.47520355570373</v>
      </c>
      <c r="CY94" s="62">
        <f ca="1">AVERAGE(OFFSET($CX$3,0,0,'Données projet'!$E$13+1,1))-AVERAGE(OFFSET($H$3,0,0,'Données projet'!$E$13+1,1))</f>
        <v>205.01234521498333</v>
      </c>
      <c r="CZ94" s="62">
        <f t="shared" si="96"/>
        <v>100.26042113972852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projet'!$B$13,Paramètres!$A$1:$I$88,3,0)*0.475*44/12</f>
        <v>0</v>
      </c>
      <c r="DG94" s="23">
        <f>EXP(-LN(2)/25)*DG93+(1-EXP(-LN(2)/25))/(LN(2)/25)*Calculateur!DB94*Calculateur!DD94*VLOOKUP('Données projet'!$B$13,Paramètres!$A$1:$I$88,3,0)*0.475*44/12</f>
        <v>0</v>
      </c>
      <c r="DH94" s="23">
        <f>EXP(-LN(2)/2)*DH93+(1-EXP(-LN(2)/2))/(LN(2)/2)*DB94*DE94*VLOOKUP('Données projet'!$B$13,Paramètres!$A$1:$I$88,3,0)*0.475*44/12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26.910000000000032</v>
      </c>
      <c r="D95" s="12">
        <f t="shared" si="86"/>
        <v>8.4532518498676463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272.9794879638909</v>
      </c>
      <c r="H95" s="70">
        <f t="shared" si="56"/>
        <v>354.92433030518617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-5.6843418860808015E-14</v>
      </c>
      <c r="O95" s="14">
        <f>N95*VLOOKUP('Données projet'!$B$9,Paramètres!$A$1:$I$88,3,0)*VLOOKUP('Données projet'!$B$9,Paramètres!$A$1:$I$88,5,0)</f>
        <v>-5.7639226724859328E-14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167.90363814107491</v>
      </c>
      <c r="T95" s="62">
        <f t="shared" si="88"/>
        <v>174.92847878212234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0</v>
      </c>
      <c r="AB95" s="23">
        <f>EXP(-LN(2)/2)*AB94+(1-EXP(-LN(2)/2))/(LN(2)/2)*V95*Y95*VLOOKUP('Données projet'!$B$9,Paramètres!$A$1:$I$88,3,0)*0.475*44/12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projet'!$B$10,Paramètres!$A$1:$I$88,3,0)*VLOOKUP('Données projet'!$B$10,Paramètres!$A$1:$I$88,5,0)</f>
        <v>-6.1186256061773749E-14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179.61236179838011</v>
      </c>
      <c r="AO95" s="62">
        <f t="shared" si="90"/>
        <v>186.66130555850333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0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15</v>
      </c>
      <c r="BD95" s="13">
        <f>IF('Données projet'!$A$88&gt;35,BD94+BC95-BL94,IF(A95&lt;'Données projet'!$A$88,$BA$205^A95,IF(A95='Données projet'!$A$88,'Données projet'!$B$88,BD94+BC95-BL94)))</f>
        <v>734.99999999999989</v>
      </c>
      <c r="BE95" s="14">
        <f>BD95*VLOOKUP('Données projet'!$B$11,Paramètres!$A$1:$I$88,3,0)*VLOOKUP('Données projet'!$B$11,Paramètres!$A$1:$I$88,5,0)</f>
        <v>343.97999999999996</v>
      </c>
      <c r="BF95" s="14">
        <f t="shared" si="91"/>
        <v>80.321681832084693</v>
      </c>
      <c r="BG95" s="22">
        <f t="shared" si="61"/>
        <v>738.9920958575475</v>
      </c>
      <c r="BH95" s="62">
        <f t="shared" si="62"/>
        <v>1032.3254291908809</v>
      </c>
      <c r="BI95" s="62">
        <f ca="1">AVERAGE(OFFSET($BH$3,0,0,'Données projet'!$E$11+1,1))-AVERAGE(OFFSET($H$3,0,0,'Données projet'!$E$11+1,1))</f>
        <v>335.00873408144395</v>
      </c>
      <c r="BJ95" s="62">
        <f t="shared" si="92"/>
        <v>106.28577694955948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0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projet'!$B$12,Paramètres!$A$1:$I$88,3,0)*VLOOKUP('Données projet'!$B$12,Paramètres!$A$1:$I$88,5,0)</f>
        <v>0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136.47709057888358</v>
      </c>
      <c r="CE95" s="62">
        <f t="shared" si="94"/>
        <v>99.705248792886493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0</v>
      </c>
      <c r="CL95" s="23">
        <f>EXP(-LN(2)/25)*CL94+(1-EXP(-LN(2)/25))/(LN(2)/25)*Calculateur!CG95*Calculateur!CI95*VLOOKUP('Données projet'!$B$12,Paramètres!$A$1:$I$88,3,0)*0.475*44/12</f>
        <v>0</v>
      </c>
      <c r="CM95" s="23">
        <f>EXP(-LN(2)/2)*CM94+(1-EXP(-LN(2)/2))/(LN(2)/2)*CG95*CJ95*VLOOKUP('Données projet'!$B$12,Paramètres!$A$1:$I$88,3,0)*0.475*44/12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12.7</v>
      </c>
      <c r="CT95" s="13">
        <f>IF('Données projet'!$A$140&gt;35,CT94+CS95-DB94,IF(A95&lt;'Données projet'!$A$140,$CQ$205^A95,IF(A95='Données projet'!$A$140,'Données projet'!$B$140,CT94+CS95-DB94)))</f>
        <v>396.4000000000002</v>
      </c>
      <c r="CU95" s="18">
        <f>CT95*VLOOKUP('Données projet'!$B$13,Paramètres!$A$1:$I$88,3,0)*VLOOKUP('Données projet'!$B$13,Paramètres!$A$1:$I$88,5,0)</f>
        <v>190.66840000000008</v>
      </c>
      <c r="CV95" s="14">
        <f t="shared" si="95"/>
        <v>47.68769638526107</v>
      </c>
      <c r="CW95" s="22">
        <f t="shared" si="67"/>
        <v>415.13686787099647</v>
      </c>
      <c r="CX95" s="62">
        <f t="shared" si="68"/>
        <v>708.47020120432978</v>
      </c>
      <c r="CY95" s="62">
        <f ca="1">AVERAGE(OFFSET($CX$3,0,0,'Données projet'!$E$13+1,1))-AVERAGE(OFFSET($H$3,0,0,'Données projet'!$E$13+1,1))</f>
        <v>205.01234521498333</v>
      </c>
      <c r="CZ95" s="62">
        <f t="shared" si="96"/>
        <v>100.26042113972852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projet'!$B$13,Paramètres!$A$1:$I$88,3,0)*0.475*44/12</f>
        <v>0</v>
      </c>
      <c r="DG95" s="23">
        <f>EXP(-LN(2)/25)*DG94+(1-EXP(-LN(2)/25))/(LN(2)/25)*Calculateur!DB95*Calculateur!DD95*VLOOKUP('Données projet'!$B$13,Paramètres!$A$1:$I$88,3,0)*0.475*44/12</f>
        <v>0</v>
      </c>
      <c r="DH95" s="23">
        <f>EXP(-LN(2)/2)*DH94+(1-EXP(-LN(2)/2))/(LN(2)/2)*DB95*DE95*VLOOKUP('Données projet'!$B$13,Paramètres!$A$1:$I$88,3,0)*0.475*44/12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27.202500000000033</v>
      </c>
      <c r="D96" s="12">
        <f t="shared" si="86"/>
        <v>8.5343886672404459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275.86370199273352</v>
      </c>
      <c r="H96" s="70">
        <f t="shared" si="56"/>
        <v>355.57508109544381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-5.6843418860808015E-14</v>
      </c>
      <c r="O96" s="14">
        <f>N96*VLOOKUP('Données projet'!$B$9,Paramètres!$A$1:$I$88,3,0)*VLOOKUP('Données projet'!$B$9,Paramètres!$A$1:$I$88,5,0)</f>
        <v>-5.7639226724859328E-14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167.90363814107491</v>
      </c>
      <c r="T96" s="62">
        <f t="shared" si="88"/>
        <v>174.92847878212234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0</v>
      </c>
      <c r="AB96" s="23">
        <f>EXP(-LN(2)/2)*AB95+(1-EXP(-LN(2)/2))/(LN(2)/2)*V96*Y96*VLOOKUP('Données projet'!$B$9,Paramètres!$A$1:$I$88,3,0)*0.475*44/12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projet'!$B$10,Paramètres!$A$1:$I$88,3,0)*VLOOKUP('Données projet'!$B$10,Paramètres!$A$1:$I$88,5,0)</f>
        <v>-6.1186256061773749E-14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179.61236179838011</v>
      </c>
      <c r="AO96" s="62">
        <f t="shared" si="90"/>
        <v>186.66130555850333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0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15</v>
      </c>
      <c r="BD96" s="13">
        <f>IF('Données projet'!$A$88&gt;35,BD95+BC96-BL95,IF(A96&lt;'Données projet'!$A$88,$BA$205^A96,IF(A96='Données projet'!$A$88,'Données projet'!$B$88,BD95+BC96-BL95)))</f>
        <v>749.99999999999989</v>
      </c>
      <c r="BE96" s="14">
        <f>BD96*VLOOKUP('Données projet'!$B$11,Paramètres!$A$1:$I$88,3,0)*VLOOKUP('Données projet'!$B$11,Paramètres!$A$1:$I$88,5,0)</f>
        <v>350.99999999999994</v>
      </c>
      <c r="BF96" s="14">
        <f t="shared" si="91"/>
        <v>81.768387419963787</v>
      </c>
      <c r="BG96" s="22">
        <f t="shared" si="61"/>
        <v>753.73827475643691</v>
      </c>
      <c r="BH96" s="62">
        <f t="shared" si="62"/>
        <v>1047.0716080897703</v>
      </c>
      <c r="BI96" s="62">
        <f ca="1">AVERAGE(OFFSET($BH$3,0,0,'Données projet'!$E$11+1,1))-AVERAGE(OFFSET($H$3,0,0,'Données projet'!$E$11+1,1))</f>
        <v>335.00873408144395</v>
      </c>
      <c r="BJ96" s="62">
        <f t="shared" si="92"/>
        <v>106.28577694955948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0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projet'!$B$12,Paramètres!$A$1:$I$88,3,0)*VLOOKUP('Données projet'!$B$12,Paramètres!$A$1:$I$88,5,0)</f>
        <v>0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136.47709057888358</v>
      </c>
      <c r="CE96" s="62">
        <f t="shared" si="94"/>
        <v>99.705248792886493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0</v>
      </c>
      <c r="CL96" s="23">
        <f>EXP(-LN(2)/25)*CL95+(1-EXP(-LN(2)/25))/(LN(2)/25)*Calculateur!CG96*Calculateur!CI96*VLOOKUP('Données projet'!$B$12,Paramètres!$A$1:$I$88,3,0)*0.475*44/12</f>
        <v>0</v>
      </c>
      <c r="CM96" s="23">
        <f>EXP(-LN(2)/2)*CM95+(1-EXP(-LN(2)/2))/(LN(2)/2)*CG96*CJ96*VLOOKUP('Données projet'!$B$12,Paramètres!$A$1:$I$88,3,0)*0.475*44/12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12.7</v>
      </c>
      <c r="CT96" s="13">
        <f>IF('Données projet'!$A$140&gt;35,CT95+CS96-DB95,IF(A96&lt;'Données projet'!$A$140,$CQ$205^A96,IF(A96='Données projet'!$A$140,'Données projet'!$B$140,CT95+CS96-DB95)))</f>
        <v>409.10000000000019</v>
      </c>
      <c r="CU96" s="18">
        <f>CT96*VLOOKUP('Données projet'!$B$13,Paramètres!$A$1:$I$88,3,0)*VLOOKUP('Données projet'!$B$13,Paramètres!$A$1:$I$88,5,0)</f>
        <v>196.7771000000001</v>
      </c>
      <c r="CV96" s="14">
        <f t="shared" si="95"/>
        <v>49.035203549877203</v>
      </c>
      <c r="CW96" s="22">
        <f t="shared" si="67"/>
        <v>428.12309534936963</v>
      </c>
      <c r="CX96" s="62">
        <f t="shared" si="68"/>
        <v>721.45642868270295</v>
      </c>
      <c r="CY96" s="62">
        <f ca="1">AVERAGE(OFFSET($CX$3,0,0,'Données projet'!$E$13+1,1))-AVERAGE(OFFSET($H$3,0,0,'Données projet'!$E$13+1,1))</f>
        <v>205.01234521498333</v>
      </c>
      <c r="CZ96" s="62">
        <f t="shared" si="96"/>
        <v>100.26042113972852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projet'!$B$13,Paramètres!$A$1:$I$88,3,0)*0.475*44/12</f>
        <v>0</v>
      </c>
      <c r="DG96" s="23">
        <f>EXP(-LN(2)/25)*DG95+(1-EXP(-LN(2)/25))/(LN(2)/25)*Calculateur!DB96*Calculateur!DD96*VLOOKUP('Données projet'!$B$13,Paramètres!$A$1:$I$88,3,0)*0.475*44/12</f>
        <v>0</v>
      </c>
      <c r="DH96" s="23">
        <f>EXP(-LN(2)/2)*DH95+(1-EXP(-LN(2)/2))/(LN(2)/2)*DB96*DE96*VLOOKUP('Données projet'!$B$13,Paramètres!$A$1:$I$88,3,0)*0.475*44/12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27.495000000000033</v>
      </c>
      <c r="D97" s="12">
        <f t="shared" si="86"/>
        <v>8.6154239941827004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278.74713258667373</v>
      </c>
      <c r="H97" s="70">
        <f t="shared" si="56"/>
        <v>356.22565512320159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-5.6843418860808015E-14</v>
      </c>
      <c r="O97" s="14">
        <f>N97*VLOOKUP('Données projet'!$B$9,Paramètres!$A$1:$I$88,3,0)*VLOOKUP('Données projet'!$B$9,Paramètres!$A$1:$I$88,5,0)</f>
        <v>-5.7639226724859328E-14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167.90363814107491</v>
      </c>
      <c r="T97" s="62">
        <f t="shared" si="88"/>
        <v>174.92847878212234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0</v>
      </c>
      <c r="AB97" s="23">
        <f>EXP(-LN(2)/2)*AB96+(1-EXP(-LN(2)/2))/(LN(2)/2)*V97*Y97*VLOOKUP('Données projet'!$B$9,Paramètres!$A$1:$I$88,3,0)*0.475*44/12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projet'!$B$10,Paramètres!$A$1:$I$88,3,0)*VLOOKUP('Données projet'!$B$10,Paramètres!$A$1:$I$88,5,0)</f>
        <v>-6.1186256061773749E-14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179.61236179838011</v>
      </c>
      <c r="AO97" s="62">
        <f t="shared" si="90"/>
        <v>186.66130555850333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0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15</v>
      </c>
      <c r="BD97" s="13">
        <f>IF('Données projet'!$A$88&gt;35,BD96+BC97-BL96,IF(A97&lt;'Données projet'!$A$88,$BA$205^A97,IF(A97='Données projet'!$A$88,'Données projet'!$B$88,BD96+BC97-BL96)))</f>
        <v>764.99999999999989</v>
      </c>
      <c r="BE97" s="14">
        <f>BD97*VLOOKUP('Données projet'!$B$11,Paramètres!$A$1:$I$88,3,0)*VLOOKUP('Données projet'!$B$11,Paramètres!$A$1:$I$88,5,0)</f>
        <v>358.02</v>
      </c>
      <c r="BF97" s="14">
        <f t="shared" si="91"/>
        <v>83.211728757381735</v>
      </c>
      <c r="BG97" s="22">
        <f t="shared" si="61"/>
        <v>768.47859425243985</v>
      </c>
      <c r="BH97" s="62">
        <f t="shared" si="62"/>
        <v>1061.8119275857732</v>
      </c>
      <c r="BI97" s="62">
        <f ca="1">AVERAGE(OFFSET($BH$3,0,0,'Données projet'!$E$11+1,1))-AVERAGE(OFFSET($H$3,0,0,'Données projet'!$E$11+1,1))</f>
        <v>335.00873408144395</v>
      </c>
      <c r="BJ97" s="62">
        <f t="shared" si="92"/>
        <v>106.28577694955948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0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projet'!$B$12,Paramètres!$A$1:$I$88,3,0)*VLOOKUP('Données projet'!$B$12,Paramètres!$A$1:$I$88,5,0)</f>
        <v>0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136.47709057888358</v>
      </c>
      <c r="CE97" s="62">
        <f t="shared" si="94"/>
        <v>99.705248792886493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0</v>
      </c>
      <c r="CL97" s="23">
        <f>EXP(-LN(2)/25)*CL96+(1-EXP(-LN(2)/25))/(LN(2)/25)*Calculateur!CG97*Calculateur!CI97*VLOOKUP('Données projet'!$B$12,Paramètres!$A$1:$I$88,3,0)*0.475*44/12</f>
        <v>0</v>
      </c>
      <c r="CM97" s="23">
        <f>EXP(-LN(2)/2)*CM96+(1-EXP(-LN(2)/2))/(LN(2)/2)*CG97*CJ97*VLOOKUP('Données projet'!$B$12,Paramètres!$A$1:$I$88,3,0)*0.475*44/12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12.7</v>
      </c>
      <c r="CT97" s="13">
        <f>IF('Données projet'!$A$140&gt;35,CT96+CS97-DB96,IF(A97&lt;'Données projet'!$A$140,$CQ$205^A97,IF(A97='Données projet'!$A$140,'Données projet'!$B$140,CT96+CS97-DB96)))</f>
        <v>421.80000000000018</v>
      </c>
      <c r="CU97" s="18">
        <f>CT97*VLOOKUP('Données projet'!$B$13,Paramètres!$A$1:$I$88,3,0)*VLOOKUP('Données projet'!$B$13,Paramètres!$A$1:$I$88,5,0)</f>
        <v>202.88580000000007</v>
      </c>
      <c r="CV97" s="14">
        <f t="shared" si="95"/>
        <v>50.377849468625698</v>
      </c>
      <c r="CW97" s="22">
        <f t="shared" si="67"/>
        <v>441.10085615785653</v>
      </c>
      <c r="CX97" s="62">
        <f t="shared" si="68"/>
        <v>734.43418949118984</v>
      </c>
      <c r="CY97" s="62">
        <f ca="1">AVERAGE(OFFSET($CX$3,0,0,'Données projet'!$E$13+1,1))-AVERAGE(OFFSET($H$3,0,0,'Données projet'!$E$13+1,1))</f>
        <v>205.01234521498333</v>
      </c>
      <c r="CZ97" s="62">
        <f t="shared" si="96"/>
        <v>100.26042113972852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projet'!$B$13,Paramètres!$A$1:$I$88,3,0)*0.475*44/12</f>
        <v>0</v>
      </c>
      <c r="DG97" s="23">
        <f>EXP(-LN(2)/25)*DG96+(1-EXP(-LN(2)/25))/(LN(2)/25)*Calculateur!DB97*Calculateur!DD97*VLOOKUP('Données projet'!$B$13,Paramètres!$A$1:$I$88,3,0)*0.475*44/12</f>
        <v>0</v>
      </c>
      <c r="DH97" s="23">
        <f>EXP(-LN(2)/2)*DH96+(1-EXP(-LN(2)/2))/(LN(2)/2)*DB97*DE97*VLOOKUP('Données projet'!$B$13,Paramètres!$A$1:$I$88,3,0)*0.475*44/12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27.787500000000033</v>
      </c>
      <c r="D98" s="12">
        <f t="shared" si="86"/>
        <v>8.6963590353549005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281.6297890448451</v>
      </c>
      <c r="H98" s="70">
        <f t="shared" si="56"/>
        <v>356.87605448657649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-5.6843418860808015E-14</v>
      </c>
      <c r="O98" s="14">
        <f>N98*VLOOKUP('Données projet'!$B$9,Paramètres!$A$1:$I$88,3,0)*VLOOKUP('Données projet'!$B$9,Paramètres!$A$1:$I$88,5,0)</f>
        <v>-5.7639226724859328E-14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167.90363814107491</v>
      </c>
      <c r="T98" s="62">
        <f t="shared" si="88"/>
        <v>174.92847878212234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0</v>
      </c>
      <c r="AB98" s="23">
        <f>EXP(-LN(2)/2)*AB97+(1-EXP(-LN(2)/2))/(LN(2)/2)*V98*Y98*VLOOKUP('Données projet'!$B$9,Paramètres!$A$1:$I$88,3,0)*0.475*44/12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projet'!$B$10,Paramètres!$A$1:$I$88,3,0)*VLOOKUP('Données projet'!$B$10,Paramètres!$A$1:$I$88,5,0)</f>
        <v>-6.1186256061773749E-14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179.61236179838011</v>
      </c>
      <c r="AO98" s="62">
        <f t="shared" si="90"/>
        <v>186.66130555850333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0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15</v>
      </c>
      <c r="BD98" s="13">
        <f>IF('Données projet'!$A$88&gt;35,BD97+BC98-BL97,IF(A98&lt;'Données projet'!$A$88,$BA$205^A98,IF(A98='Données projet'!$A$88,'Données projet'!$B$88,BD97+BC98-BL97)))</f>
        <v>779.99999999999989</v>
      </c>
      <c r="BE98" s="14">
        <f>BD98*VLOOKUP('Données projet'!$B$11,Paramètres!$A$1:$I$88,3,0)*VLOOKUP('Données projet'!$B$11,Paramètres!$A$1:$I$88,5,0)</f>
        <v>365.03999999999996</v>
      </c>
      <c r="BF98" s="14">
        <f t="shared" si="91"/>
        <v>84.651779413976413</v>
      </c>
      <c r="BG98" s="22">
        <f t="shared" si="61"/>
        <v>783.21318247934221</v>
      </c>
      <c r="BH98" s="62">
        <f t="shared" si="62"/>
        <v>1076.5465158126756</v>
      </c>
      <c r="BI98" s="62">
        <f ca="1">AVERAGE(OFFSET($BH$3,0,0,'Données projet'!$E$11+1,1))-AVERAGE(OFFSET($H$3,0,0,'Données projet'!$E$11+1,1))</f>
        <v>335.00873408144395</v>
      </c>
      <c r="BJ98" s="62">
        <f t="shared" si="92"/>
        <v>106.28577694955948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0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projet'!$B$12,Paramètres!$A$1:$I$88,3,0)*VLOOKUP('Données projet'!$B$12,Paramètres!$A$1:$I$88,5,0)</f>
        <v>0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136.47709057888358</v>
      </c>
      <c r="CE98" s="62">
        <f t="shared" si="94"/>
        <v>99.705248792886493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0</v>
      </c>
      <c r="CL98" s="23">
        <f>EXP(-LN(2)/25)*CL97+(1-EXP(-LN(2)/25))/(LN(2)/25)*Calculateur!CG98*Calculateur!CI98*VLOOKUP('Données projet'!$B$12,Paramètres!$A$1:$I$88,3,0)*0.475*44/12</f>
        <v>0</v>
      </c>
      <c r="CM98" s="23">
        <f>EXP(-LN(2)/2)*CM97+(1-EXP(-LN(2)/2))/(LN(2)/2)*CG98*CJ98*VLOOKUP('Données projet'!$B$12,Paramètres!$A$1:$I$88,3,0)*0.475*44/12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12.7</v>
      </c>
      <c r="CT98" s="13">
        <f>IF('Données projet'!$A$140&gt;35,CT97+CS98-DB97,IF(A98&lt;'Données projet'!$A$140,$CQ$205^A98,IF(A98='Données projet'!$A$140,'Données projet'!$B$140,CT97+CS98-DB97)))</f>
        <v>434.50000000000017</v>
      </c>
      <c r="CU98" s="18">
        <f>CT98*VLOOKUP('Données projet'!$B$13,Paramètres!$A$1:$I$88,3,0)*VLOOKUP('Données projet'!$B$13,Paramètres!$A$1:$I$88,5,0)</f>
        <v>208.9945000000001</v>
      </c>
      <c r="CV98" s="14">
        <f t="shared" si="95"/>
        <v>51.715797310202156</v>
      </c>
      <c r="CW98" s="22">
        <f t="shared" si="67"/>
        <v>454.07043448193554</v>
      </c>
      <c r="CX98" s="62">
        <f t="shared" si="68"/>
        <v>747.40376781526879</v>
      </c>
      <c r="CY98" s="62">
        <f ca="1">AVERAGE(OFFSET($CX$3,0,0,'Données projet'!$E$13+1,1))-AVERAGE(OFFSET($H$3,0,0,'Données projet'!$E$13+1,1))</f>
        <v>205.01234521498333</v>
      </c>
      <c r="CZ98" s="62">
        <f t="shared" si="96"/>
        <v>100.26042113972852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projet'!$B$13,Paramètres!$A$1:$I$88,3,0)*0.475*44/12</f>
        <v>0</v>
      </c>
      <c r="DG98" s="23">
        <f>EXP(-LN(2)/25)*DG97+(1-EXP(-LN(2)/25))/(LN(2)/25)*Calculateur!DB98*Calculateur!DD98*VLOOKUP('Données projet'!$B$13,Paramètres!$A$1:$I$88,3,0)*0.475*44/12</f>
        <v>0</v>
      </c>
      <c r="DH98" s="23">
        <f>EXP(-LN(2)/2)*DH97+(1-EXP(-LN(2)/2))/(LN(2)/2)*DB98*DE98*VLOOKUP('Données projet'!$B$13,Paramètres!$A$1:$I$88,3,0)*0.475*44/12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28.080000000000034</v>
      </c>
      <c r="D99" s="12">
        <f t="shared" si="86"/>
        <v>8.7771949685951949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284.51168045933161</v>
      </c>
      <c r="H99" s="70">
        <f t="shared" si="56"/>
        <v>357.52628123697002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-5.6843418860808015E-14</v>
      </c>
      <c r="O99" s="14">
        <f>N99*VLOOKUP('Données projet'!$B$9,Paramètres!$A$1:$I$88,3,0)*VLOOKUP('Données projet'!$B$9,Paramètres!$A$1:$I$88,5,0)</f>
        <v>-5.7639226724859328E-14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167.90363814107491</v>
      </c>
      <c r="T99" s="62">
        <f t="shared" si="88"/>
        <v>174.92847878212234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0</v>
      </c>
      <c r="AB99" s="23">
        <f>EXP(-LN(2)/2)*AB98+(1-EXP(-LN(2)/2))/(LN(2)/2)*V99*Y99*VLOOKUP('Données projet'!$B$9,Paramètres!$A$1:$I$88,3,0)*0.475*44/12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projet'!$B$10,Paramètres!$A$1:$I$88,3,0)*VLOOKUP('Données projet'!$B$10,Paramètres!$A$1:$I$88,5,0)</f>
        <v>-6.1186256061773749E-14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179.61236179838011</v>
      </c>
      <c r="AO99" s="62">
        <f t="shared" si="90"/>
        <v>186.66130555850333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0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15</v>
      </c>
      <c r="BD99" s="13">
        <f>IF('Données projet'!$A$88&gt;35,BD98+BC99-BL98,IF(A99&lt;'Données projet'!$A$88,$BA$205^A99,IF(A99='Données projet'!$A$88,'Données projet'!$B$88,BD98+BC99-BL98)))</f>
        <v>794.99999999999989</v>
      </c>
      <c r="BE99" s="14">
        <f>BD99*VLOOKUP('Données projet'!$B$11,Paramètres!$A$1:$I$88,3,0)*VLOOKUP('Données projet'!$B$11,Paramètres!$A$1:$I$88,5,0)</f>
        <v>372.05999999999995</v>
      </c>
      <c r="BF99" s="14">
        <f t="shared" si="91"/>
        <v>86.08860996789744</v>
      </c>
      <c r="BG99" s="22">
        <f t="shared" si="61"/>
        <v>797.94216236075465</v>
      </c>
      <c r="BH99" s="62">
        <f t="shared" si="62"/>
        <v>1091.275495694088</v>
      </c>
      <c r="BI99" s="62">
        <f ca="1">AVERAGE(OFFSET($BH$3,0,0,'Données projet'!$E$11+1,1))-AVERAGE(OFFSET($H$3,0,0,'Données projet'!$E$11+1,1))</f>
        <v>335.00873408144395</v>
      </c>
      <c r="BJ99" s="62">
        <f t="shared" si="92"/>
        <v>106.28577694955948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0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projet'!$B$12,Paramètres!$A$1:$I$88,3,0)*VLOOKUP('Données projet'!$B$12,Paramètres!$A$1:$I$88,5,0)</f>
        <v>0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136.47709057888358</v>
      </c>
      <c r="CE99" s="62">
        <f t="shared" si="94"/>
        <v>99.705248792886493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0</v>
      </c>
      <c r="CL99" s="23">
        <f>EXP(-LN(2)/25)*CL98+(1-EXP(-LN(2)/25))/(LN(2)/25)*Calculateur!CG99*Calculateur!CI99*VLOOKUP('Données projet'!$B$12,Paramètres!$A$1:$I$88,3,0)*0.475*44/12</f>
        <v>0</v>
      </c>
      <c r="CM99" s="23">
        <f>EXP(-LN(2)/2)*CM98+(1-EXP(-LN(2)/2))/(LN(2)/2)*CG99*CJ99*VLOOKUP('Données projet'!$B$12,Paramètres!$A$1:$I$88,3,0)*0.475*44/12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12.7</v>
      </c>
      <c r="CT99" s="13">
        <f>IF('Données projet'!$A$140&gt;35,CT98+CS99-DB98,IF(A99&lt;'Données projet'!$A$140,$CQ$205^A99,IF(A99='Données projet'!$A$140,'Données projet'!$B$140,CT98+CS99-DB98)))</f>
        <v>447.20000000000016</v>
      </c>
      <c r="CU99" s="18">
        <f>CT99*VLOOKUP('Données projet'!$B$13,Paramètres!$A$1:$I$88,3,0)*VLOOKUP('Données projet'!$B$13,Paramètres!$A$1:$I$88,5,0)</f>
        <v>215.10320000000007</v>
      </c>
      <c r="CV99" s="14">
        <f t="shared" si="95"/>
        <v>53.049200162450404</v>
      </c>
      <c r="CW99" s="22">
        <f t="shared" si="67"/>
        <v>467.03209694960123</v>
      </c>
      <c r="CX99" s="62">
        <f t="shared" si="68"/>
        <v>760.36543028293454</v>
      </c>
      <c r="CY99" s="62">
        <f ca="1">AVERAGE(OFFSET($CX$3,0,0,'Données projet'!$E$13+1,1))-AVERAGE(OFFSET($H$3,0,0,'Données projet'!$E$13+1,1))</f>
        <v>205.01234521498333</v>
      </c>
      <c r="CZ99" s="62">
        <f t="shared" si="96"/>
        <v>100.26042113972852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projet'!$B$13,Paramètres!$A$1:$I$88,3,0)*0.475*44/12</f>
        <v>0</v>
      </c>
      <c r="DG99" s="23">
        <f>EXP(-LN(2)/25)*DG98+(1-EXP(-LN(2)/25))/(LN(2)/25)*Calculateur!DB99*Calculateur!DD99*VLOOKUP('Données projet'!$B$13,Paramètres!$A$1:$I$88,3,0)*0.475*44/12</f>
        <v>0</v>
      </c>
      <c r="DH99" s="23">
        <f>EXP(-LN(2)/2)*DH98+(1-EXP(-LN(2)/2))/(LN(2)/2)*DB99*DE99*VLOOKUP('Données projet'!$B$13,Paramètres!$A$1:$I$88,3,0)*0.475*44/12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28.372500000000034</v>
      </c>
      <c r="D100" s="12">
        <f t="shared" si="86"/>
        <v>8.8579329457896598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287.39281572188537</v>
      </c>
      <c r="H100" s="70">
        <f t="shared" si="56"/>
        <v>358.17633738058367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-5.6843418860808015E-14</v>
      </c>
      <c r="O100" s="14">
        <f>N100*VLOOKUP('Données projet'!$B$9,Paramètres!$A$1:$I$88,3,0)*VLOOKUP('Données projet'!$B$9,Paramètres!$A$1:$I$88,5,0)</f>
        <v>-5.7639226724859328E-14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167.90363814107491</v>
      </c>
      <c r="T100" s="62">
        <f t="shared" si="88"/>
        <v>174.92847878212234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0</v>
      </c>
      <c r="AB100" s="23">
        <f>EXP(-LN(2)/2)*AB99+(1-EXP(-LN(2)/2))/(LN(2)/2)*V100*Y100*VLOOKUP('Données projet'!$B$9,Paramètres!$A$1:$I$88,3,0)*0.475*44/12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projet'!$B$10,Paramètres!$A$1:$I$88,3,0)*VLOOKUP('Données projet'!$B$10,Paramètres!$A$1:$I$88,5,0)</f>
        <v>-6.1186256061773749E-14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179.61236179838011</v>
      </c>
      <c r="AO100" s="62">
        <f t="shared" si="90"/>
        <v>186.66130555850333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0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15</v>
      </c>
      <c r="BD100" s="13">
        <f>IF('Données projet'!$A$88&gt;35,BD99+BC100-BL99,IF(A100&lt;'Données projet'!$A$88,$BA$205^A100,IF(A100='Données projet'!$A$88,'Données projet'!$B$88,BD99+BC100-BL99)))</f>
        <v>809.99999999999989</v>
      </c>
      <c r="BE100" s="14">
        <f>BD100*VLOOKUP('Données projet'!$B$11,Paramètres!$A$1:$I$88,3,0)*VLOOKUP('Données projet'!$B$11,Paramètres!$A$1:$I$88,5,0)</f>
        <v>379.08</v>
      </c>
      <c r="BF100" s="14">
        <f t="shared" si="91"/>
        <v>87.522288181554913</v>
      </c>
      <c r="BG100" s="22">
        <f t="shared" si="61"/>
        <v>812.66565191620805</v>
      </c>
      <c r="BH100" s="62">
        <f t="shared" si="62"/>
        <v>1105.9989852495414</v>
      </c>
      <c r="BI100" s="62">
        <f ca="1">AVERAGE(OFFSET($BH$3,0,0,'Données projet'!$E$11+1,1))-AVERAGE(OFFSET($H$3,0,0,'Données projet'!$E$11+1,1))</f>
        <v>335.00873408144395</v>
      </c>
      <c r="BJ100" s="62">
        <f t="shared" si="92"/>
        <v>106.28577694955948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0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projet'!$B$12,Paramètres!$A$1:$I$88,3,0)*VLOOKUP('Données projet'!$B$12,Paramètres!$A$1:$I$88,5,0)</f>
        <v>0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136.47709057888358</v>
      </c>
      <c r="CE100" s="62">
        <f t="shared" si="94"/>
        <v>99.705248792886493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0</v>
      </c>
      <c r="CL100" s="23">
        <f>EXP(-LN(2)/25)*CL99+(1-EXP(-LN(2)/25))/(LN(2)/25)*Calculateur!CG100*Calculateur!CI100*VLOOKUP('Données projet'!$B$12,Paramètres!$A$1:$I$88,3,0)*0.475*44/12</f>
        <v>0</v>
      </c>
      <c r="CM100" s="23">
        <f>EXP(-LN(2)/2)*CM99+(1-EXP(-LN(2)/2))/(LN(2)/2)*CG100*CJ100*VLOOKUP('Données projet'!$B$12,Paramètres!$A$1:$I$88,3,0)*0.475*44/12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12.7</v>
      </c>
      <c r="CT100" s="13">
        <f>IF('Données projet'!$A$140&gt;35,CT99+CS100-DB99,IF(A100&lt;'Données projet'!$A$140,$CQ$205^A100,IF(A100='Données projet'!$A$140,'Données projet'!$B$140,CT99+CS100-DB99)))</f>
        <v>459.90000000000015</v>
      </c>
      <c r="CU100" s="18">
        <f>CT100*VLOOKUP('Données projet'!$B$13,Paramètres!$A$1:$I$88,3,0)*VLOOKUP('Données projet'!$B$13,Paramètres!$A$1:$I$88,5,0)</f>
        <v>221.21190000000007</v>
      </c>
      <c r="CV100" s="14">
        <f t="shared" si="95"/>
        <v>54.378201923554862</v>
      </c>
      <c r="CW100" s="22">
        <f t="shared" si="67"/>
        <v>479.98609418352476</v>
      </c>
      <c r="CX100" s="62">
        <f t="shared" si="68"/>
        <v>773.31942751685801</v>
      </c>
      <c r="CY100" s="62">
        <f ca="1">AVERAGE(OFFSET($CX$3,0,0,'Données projet'!$E$13+1,1))-AVERAGE(OFFSET($H$3,0,0,'Données projet'!$E$13+1,1))</f>
        <v>205.01234521498333</v>
      </c>
      <c r="CZ100" s="62">
        <f t="shared" si="96"/>
        <v>100.26042113972852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projet'!$B$13,Paramètres!$A$1:$I$88,3,0)*0.475*44/12</f>
        <v>0</v>
      </c>
      <c r="DG100" s="23">
        <f>EXP(-LN(2)/25)*DG99+(1-EXP(-LN(2)/25))/(LN(2)/25)*Calculateur!DB100*Calculateur!DD100*VLOOKUP('Données projet'!$B$13,Paramètres!$A$1:$I$88,3,0)*0.475*44/12</f>
        <v>0</v>
      </c>
      <c r="DH100" s="23">
        <f>EXP(-LN(2)/2)*DH99+(1-EXP(-LN(2)/2))/(LN(2)/2)*DB100*DE100*VLOOKUP('Données projet'!$B$13,Paramètres!$A$1:$I$88,3,0)*0.475*44/12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28.665000000000035</v>
      </c>
      <c r="D101" s="12">
        <f t="shared" si="86"/>
        <v>8.9385740937056148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290.27320353035935</v>
      </c>
      <c r="H101" s="70">
        <f t="shared" si="56"/>
        <v>358.82622487987067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-5.6843418860808015E-14</v>
      </c>
      <c r="O101" s="14">
        <f>N101*VLOOKUP('Données projet'!$B$9,Paramètres!$A$1:$I$88,3,0)*VLOOKUP('Données projet'!$B$9,Paramètres!$A$1:$I$88,5,0)</f>
        <v>-5.7639226724859328E-14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167.90363814107491</v>
      </c>
      <c r="T101" s="62">
        <f t="shared" si="88"/>
        <v>174.92847878212234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0</v>
      </c>
      <c r="AB101" s="23">
        <f>EXP(-LN(2)/2)*AB100+(1-EXP(-LN(2)/2))/(LN(2)/2)*V101*Y101*VLOOKUP('Données projet'!$B$9,Paramètres!$A$1:$I$88,3,0)*0.475*44/12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projet'!$B$10,Paramètres!$A$1:$I$88,3,0)*VLOOKUP('Données projet'!$B$10,Paramètres!$A$1:$I$88,5,0)</f>
        <v>-6.1186256061773749E-14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179.61236179838011</v>
      </c>
      <c r="AO101" s="62">
        <f t="shared" si="90"/>
        <v>186.66130555850333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0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15</v>
      </c>
      <c r="BD101" s="13">
        <f>IF('Données projet'!$A$88&gt;35,BD100+BC101-BL100,IF(A101&lt;'Données projet'!$A$88,$BA$205^A101,IF(A101='Données projet'!$A$88,'Données projet'!$B$88,BD100+BC101-BL100)))</f>
        <v>824.99999999999989</v>
      </c>
      <c r="BE101" s="14">
        <f>BD101*VLOOKUP('Données projet'!$B$11,Paramètres!$A$1:$I$88,3,0)*VLOOKUP('Données projet'!$B$11,Paramètres!$A$1:$I$88,5,0)</f>
        <v>386.09999999999997</v>
      </c>
      <c r="BF101" s="14">
        <f t="shared" si="91"/>
        <v>88.952879163979915</v>
      </c>
      <c r="BG101" s="22">
        <f t="shared" si="61"/>
        <v>827.38376454393153</v>
      </c>
      <c r="BH101" s="62">
        <f t="shared" si="62"/>
        <v>1120.7170978772649</v>
      </c>
      <c r="BI101" s="62">
        <f ca="1">AVERAGE(OFFSET($BH$3,0,0,'Données projet'!$E$11+1,1))-AVERAGE(OFFSET($H$3,0,0,'Données projet'!$E$11+1,1))</f>
        <v>335.00873408144395</v>
      </c>
      <c r="BJ101" s="62">
        <f t="shared" si="92"/>
        <v>106.28577694955948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0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projet'!$B$12,Paramètres!$A$1:$I$88,3,0)*VLOOKUP('Données projet'!$B$12,Paramètres!$A$1:$I$88,5,0)</f>
        <v>0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136.47709057888358</v>
      </c>
      <c r="CE101" s="62">
        <f t="shared" si="94"/>
        <v>99.705248792886493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0</v>
      </c>
      <c r="CL101" s="23">
        <f>EXP(-LN(2)/25)*CL100+(1-EXP(-LN(2)/25))/(LN(2)/25)*Calculateur!CG101*Calculateur!CI101*VLOOKUP('Données projet'!$B$12,Paramètres!$A$1:$I$88,3,0)*0.475*44/12</f>
        <v>0</v>
      </c>
      <c r="CM101" s="23">
        <f>EXP(-LN(2)/2)*CM100+(1-EXP(-LN(2)/2))/(LN(2)/2)*CG101*CJ101*VLOOKUP('Données projet'!$B$12,Paramètres!$A$1:$I$88,3,0)*0.475*44/12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12.7</v>
      </c>
      <c r="CT101" s="13">
        <f>IF('Données projet'!$A$140&gt;35,CT100+CS101-DB100,IF(A101&lt;'Données projet'!$A$140,$CQ$205^A101,IF(A101='Données projet'!$A$140,'Données projet'!$B$140,CT100+CS101-DB100)))</f>
        <v>472.60000000000014</v>
      </c>
      <c r="CU101" s="18">
        <f>CT101*VLOOKUP('Données projet'!$B$13,Paramètres!$A$1:$I$88,3,0)*VLOOKUP('Données projet'!$B$13,Paramètres!$A$1:$I$88,5,0)</f>
        <v>227.32060000000007</v>
      </c>
      <c r="CV101" s="14">
        <f t="shared" si="95"/>
        <v>55.702938092025441</v>
      </c>
      <c r="CW101" s="22">
        <f t="shared" si="67"/>
        <v>492.93266217694435</v>
      </c>
      <c r="CX101" s="62">
        <f t="shared" si="68"/>
        <v>786.26599551027766</v>
      </c>
      <c r="CY101" s="62">
        <f ca="1">AVERAGE(OFFSET($CX$3,0,0,'Données projet'!$E$13+1,1))-AVERAGE(OFFSET($H$3,0,0,'Données projet'!$E$13+1,1))</f>
        <v>205.01234521498333</v>
      </c>
      <c r="CZ101" s="62">
        <f t="shared" si="96"/>
        <v>100.26042113972852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projet'!$B$13,Paramètres!$A$1:$I$88,3,0)*0.475*44/12</f>
        <v>0</v>
      </c>
      <c r="DG101" s="23">
        <f>EXP(-LN(2)/25)*DG100+(1-EXP(-LN(2)/25))/(LN(2)/25)*Calculateur!DB101*Calculateur!DD101*VLOOKUP('Données projet'!$B$13,Paramètres!$A$1:$I$88,3,0)*0.475*44/12</f>
        <v>0</v>
      </c>
      <c r="DH101" s="23">
        <f>EXP(-LN(2)/2)*DH100+(1-EXP(-LN(2)/2))/(LN(2)/2)*DB101*DE101*VLOOKUP('Données projet'!$B$13,Paramètres!$A$1:$I$88,3,0)*0.475*44/12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28.957500000000035</v>
      </c>
      <c r="D102" s="12">
        <f t="shared" si="86"/>
        <v>9.0191195147900114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293.15285239487054</v>
      </c>
      <c r="H102" s="70">
        <f t="shared" si="56"/>
        <v>359.47594565492597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-5.6843418860808015E-14</v>
      </c>
      <c r="O102" s="14">
        <f>N102*VLOOKUP('Données projet'!$B$9,Paramètres!$A$1:$I$88,3,0)*VLOOKUP('Données projet'!$B$9,Paramètres!$A$1:$I$88,5,0)</f>
        <v>-5.7639226724859328E-14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167.90363814107491</v>
      </c>
      <c r="T102" s="62">
        <f t="shared" si="88"/>
        <v>174.92847878212234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0</v>
      </c>
      <c r="AB102" s="23">
        <f>EXP(-LN(2)/2)*AB101+(1-EXP(-LN(2)/2))/(LN(2)/2)*V102*Y102*VLOOKUP('Données projet'!$B$9,Paramètres!$A$1:$I$88,3,0)*0.475*44/12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projet'!$B$10,Paramètres!$A$1:$I$88,3,0)*VLOOKUP('Données projet'!$B$10,Paramètres!$A$1:$I$88,5,0)</f>
        <v>-6.1186256061773749E-14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179.61236179838011</v>
      </c>
      <c r="AO102" s="62">
        <f t="shared" si="90"/>
        <v>186.66130555850333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0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15</v>
      </c>
      <c r="BD102" s="13">
        <f>IF('Données projet'!$A$88&gt;35,BD101+BC102-BL101,IF(A102&lt;'Données projet'!$A$88,$BA$205^A102,IF(A102='Données projet'!$A$88,'Données projet'!$B$88,BD101+BC102-BL101)))</f>
        <v>839.99999999999989</v>
      </c>
      <c r="BE102" s="14">
        <f>BD102*VLOOKUP('Données projet'!$B$11,Paramètres!$A$1:$I$88,3,0)*VLOOKUP('Données projet'!$B$11,Paramètres!$A$1:$I$88,5,0)</f>
        <v>393.11999999999989</v>
      </c>
      <c r="BF102" s="14">
        <f t="shared" si="91"/>
        <v>90.380445521044919</v>
      </c>
      <c r="BG102" s="22">
        <f t="shared" si="61"/>
        <v>842.09660928248638</v>
      </c>
      <c r="BH102" s="62">
        <f t="shared" si="62"/>
        <v>1135.4299426158198</v>
      </c>
      <c r="BI102" s="62">
        <f ca="1">AVERAGE(OFFSET($BH$3,0,0,'Données projet'!$E$11+1,1))-AVERAGE(OFFSET($H$3,0,0,'Données projet'!$E$11+1,1))</f>
        <v>335.00873408144395</v>
      </c>
      <c r="BJ102" s="62">
        <f t="shared" si="92"/>
        <v>106.28577694955948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0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projet'!$B$12,Paramètres!$A$1:$I$88,3,0)*VLOOKUP('Données projet'!$B$12,Paramètres!$A$1:$I$88,5,0)</f>
        <v>0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136.47709057888358</v>
      </c>
      <c r="CE102" s="62">
        <f t="shared" si="94"/>
        <v>99.705248792886493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0</v>
      </c>
      <c r="CL102" s="23">
        <f>EXP(-LN(2)/25)*CL101+(1-EXP(-LN(2)/25))/(LN(2)/25)*Calculateur!CG102*Calculateur!CI102*VLOOKUP('Données projet'!$B$12,Paramètres!$A$1:$I$88,3,0)*0.475*44/12</f>
        <v>0</v>
      </c>
      <c r="CM102" s="23">
        <f>EXP(-LN(2)/2)*CM101+(1-EXP(-LN(2)/2))/(LN(2)/2)*CG102*CJ102*VLOOKUP('Données projet'!$B$12,Paramètres!$A$1:$I$88,3,0)*0.475*44/12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12.7</v>
      </c>
      <c r="CT102" s="13">
        <f>IF('Données projet'!$A$140&gt;35,CT101+CS102-DB101,IF(A102&lt;'Données projet'!$A$140,$CQ$205^A102,IF(A102='Données projet'!$A$140,'Données projet'!$B$140,CT101+CS102-DB101)))</f>
        <v>485.30000000000013</v>
      </c>
      <c r="CU102" s="18">
        <f>CT102*VLOOKUP('Données projet'!$B$13,Paramètres!$A$1:$I$88,3,0)*VLOOKUP('Données projet'!$B$13,Paramètres!$A$1:$I$88,5,0)</f>
        <v>233.42930000000004</v>
      </c>
      <c r="CV102" s="14">
        <f t="shared" si="95"/>
        <v>57.023536469378378</v>
      </c>
      <c r="CW102" s="22">
        <f t="shared" si="67"/>
        <v>505.87202351750079</v>
      </c>
      <c r="CX102" s="62">
        <f t="shared" si="68"/>
        <v>799.20535685083405</v>
      </c>
      <c r="CY102" s="62">
        <f ca="1">AVERAGE(OFFSET($CX$3,0,0,'Données projet'!$E$13+1,1))-AVERAGE(OFFSET($H$3,0,0,'Données projet'!$E$13+1,1))</f>
        <v>205.01234521498333</v>
      </c>
      <c r="CZ102" s="62">
        <f t="shared" si="96"/>
        <v>100.26042113972852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projet'!$B$13,Paramètres!$A$1:$I$88,3,0)*0.475*44/12</f>
        <v>0</v>
      </c>
      <c r="DG102" s="23">
        <f>EXP(-LN(2)/25)*DG101+(1-EXP(-LN(2)/25))/(LN(2)/25)*Calculateur!DB102*Calculateur!DD102*VLOOKUP('Données projet'!$B$13,Paramètres!$A$1:$I$88,3,0)*0.475*44/12</f>
        <v>0</v>
      </c>
      <c r="DH102" s="23">
        <f>EXP(-LN(2)/2)*DH101+(1-EXP(-LN(2)/2))/(LN(2)/2)*DB102*DE102*VLOOKUP('Données projet'!$B$13,Paramètres!$A$1:$I$88,3,0)*0.475*44/12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29.250000000000036</v>
      </c>
      <c r="D103" s="12">
        <f t="shared" si="86"/>
        <v>9.0995702879345846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296.03177064370584</v>
      </c>
      <c r="H103" s="70">
        <f t="shared" si="56"/>
        <v>360.1255015848194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-5.6843418860808015E-14</v>
      </c>
      <c r="O103" s="14">
        <f>N103*VLOOKUP('Données projet'!$B$9,Paramètres!$A$1:$I$88,3,0)*VLOOKUP('Données projet'!$B$9,Paramètres!$A$1:$I$88,5,0)</f>
        <v>-5.7639226724859328E-14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167.90363814107491</v>
      </c>
      <c r="T103" s="62">
        <f t="shared" si="88"/>
        <v>174.92847878212234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0</v>
      </c>
      <c r="AB103" s="23">
        <f>EXP(-LN(2)/2)*AB102+(1-EXP(-LN(2)/2))/(LN(2)/2)*V103*Y103*VLOOKUP('Données projet'!$B$9,Paramètres!$A$1:$I$88,3,0)*0.475*44/12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projet'!$B$10,Paramètres!$A$1:$I$88,3,0)*VLOOKUP('Données projet'!$B$10,Paramètres!$A$1:$I$88,5,0)</f>
        <v>-6.1186256061773749E-14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179.61236179838011</v>
      </c>
      <c r="AO103" s="62">
        <f t="shared" si="90"/>
        <v>186.66130555850333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0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855</v>
      </c>
      <c r="BB103" s="13">
        <f>VLOOKUP(A103,'Données projet'!$A$87:$I$107,9,0)</f>
        <v>15</v>
      </c>
      <c r="BC103" s="13">
        <f t="array" ref="BC103">INDEX(BB:BB,MIN(IF(ISNUMBER(BB103:BB299),ROW(BB103:BB299),"")))</f>
        <v>15</v>
      </c>
      <c r="BD103" s="13">
        <f>IF('Données projet'!$A$88&gt;35,BD102+BC103-BL102,IF(A103&lt;'Données projet'!$A$88,$BA$205^A103,IF(A103='Données projet'!$A$88,'Données projet'!$B$88,BD102+BC103-BL102)))</f>
        <v>854.99999999999989</v>
      </c>
      <c r="BE103" s="14">
        <f>BD103*VLOOKUP('Données projet'!$B$11,Paramètres!$A$1:$I$88,3,0)*VLOOKUP('Données projet'!$B$11,Paramètres!$A$1:$I$88,5,0)</f>
        <v>400.13999999999993</v>
      </c>
      <c r="BF103" s="14">
        <f t="shared" si="91"/>
        <v>91.805047494648534</v>
      </c>
      <c r="BG103" s="22">
        <f t="shared" si="61"/>
        <v>856.80429105317944</v>
      </c>
      <c r="BH103" s="62">
        <f t="shared" si="62"/>
        <v>1150.1376243865127</v>
      </c>
      <c r="BI103" s="62">
        <f ca="1">AVERAGE(OFFSET($BH$3,0,0,'Données projet'!$E$11+1,1))-AVERAGE(OFFSET($H$3,0,0,'Données projet'!$E$11+1,1))</f>
        <v>335.00873408144395</v>
      </c>
      <c r="BJ103" s="62">
        <f t="shared" si="92"/>
        <v>106.28577694955948</v>
      </c>
      <c r="BK103" s="16">
        <f>IF(ISNA(VLOOKUP(A103,'Données projet'!$A$87:$I$107,3,0)),0,VLOOKUP(A103,'Données projet'!$A$87:$I$107,3,0))</f>
        <v>7</v>
      </c>
      <c r="BL103" s="16">
        <f>IF(ISNA(VLOOKUP(A103,'Données projet'!$A$87:$I$107,4,0)),0,VLOOKUP(A103,'Données projet'!$A$87:$I$107,4,0))</f>
        <v>855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0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projet'!$B$12,Paramètres!$A$1:$I$88,3,0)*VLOOKUP('Données projet'!$B$12,Paramètres!$A$1:$I$88,5,0)</f>
        <v>0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136.47709057888358</v>
      </c>
      <c r="CE103" s="62">
        <f t="shared" si="94"/>
        <v>99.705248792886493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0</v>
      </c>
      <c r="CL103" s="23">
        <f>EXP(-LN(2)/25)*CL102+(1-EXP(-LN(2)/25))/(LN(2)/25)*Calculateur!CG103*Calculateur!CI103*VLOOKUP('Données projet'!$B$12,Paramètres!$A$1:$I$88,3,0)*0.475*44/12</f>
        <v>0</v>
      </c>
      <c r="CM103" s="23">
        <f>EXP(-LN(2)/2)*CM102+(1-EXP(-LN(2)/2))/(LN(2)/2)*CG103*CJ103*VLOOKUP('Données projet'!$B$12,Paramètres!$A$1:$I$88,3,0)*0.475*44/12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498</v>
      </c>
      <c r="CR103" s="13">
        <f>VLOOKUP(A103,'Données projet'!$A$139:$I$159,9,0)</f>
        <v>12.7</v>
      </c>
      <c r="CS103" s="13">
        <f t="array" ref="CS103">INDEX(CR:CR,MIN(IF(ISNUMBER(CR103:CR299),ROW(CR103:CR299),"")))</f>
        <v>12.7</v>
      </c>
      <c r="CT103" s="13">
        <f>IF('Données projet'!$A$140&gt;35,CT102+CS103-DB102,IF(A103&lt;'Données projet'!$A$140,$CQ$205^A103,IF(A103='Données projet'!$A$140,'Données projet'!$B$140,CT102+CS103-DB102)))</f>
        <v>498.00000000000011</v>
      </c>
      <c r="CU103" s="18">
        <f>CT103*VLOOKUP('Données projet'!$B$13,Paramètres!$A$1:$I$88,3,0)*VLOOKUP('Données projet'!$B$13,Paramètres!$A$1:$I$88,5,0)</f>
        <v>239.53800000000007</v>
      </c>
      <c r="CV103" s="14">
        <f t="shared" si="95"/>
        <v>58.340117787192874</v>
      </c>
      <c r="CW103" s="22">
        <f t="shared" si="67"/>
        <v>518.80438847936102</v>
      </c>
      <c r="CX103" s="62">
        <f t="shared" si="68"/>
        <v>812.13772181269428</v>
      </c>
      <c r="CY103" s="62">
        <f ca="1">AVERAGE(OFFSET($CX$3,0,0,'Données projet'!$E$13+1,1))-AVERAGE(OFFSET($H$3,0,0,'Données projet'!$E$13+1,1))</f>
        <v>205.01234521498333</v>
      </c>
      <c r="CZ103" s="62">
        <f t="shared" si="96"/>
        <v>100.26042113972852</v>
      </c>
      <c r="DA103" s="16">
        <f>IF(ISNA(VLOOKUP(A103,'Données projet'!$A$139:$I$159,3,0)),0,VLOOKUP(A103,'Données projet'!$A$139:$I$159,3,0))</f>
        <v>7</v>
      </c>
      <c r="DB103" s="16">
        <f>IF(ISNA(VLOOKUP(A103,'Données projet'!$A$139:$I$159,4,0)),0,VLOOKUP(A103,'Données projet'!$A$139:$I$159,4,0))</f>
        <v>45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projet'!$B$13,Paramètres!$A$1:$I$88,3,0)*0.475*44/12</f>
        <v>0</v>
      </c>
      <c r="DG103" s="23">
        <f>EXP(-LN(2)/25)*DG102+(1-EXP(-LN(2)/25))/(LN(2)/25)*Calculateur!DB103*Calculateur!DD103*VLOOKUP('Données projet'!$B$13,Paramètres!$A$1:$I$88,3,0)*0.475*44/12</f>
        <v>0</v>
      </c>
      <c r="DH103" s="23">
        <f>EXP(-LN(2)/2)*DH102+(1-EXP(-LN(2)/2))/(LN(2)/2)*DB103*DE103*VLOOKUP('Données projet'!$B$13,Paramètres!$A$1:$I$88,3,0)*0.475*44/12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29.542500000000036</v>
      </c>
      <c r="D104" s="12">
        <f t="shared" si="86"/>
        <v>9.1799274692095629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298.90996642898637</v>
      </c>
      <c r="H104" s="70">
        <f t="shared" si="56"/>
        <v>360.77489450887339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-5.6843418860808015E-14</v>
      </c>
      <c r="O104" s="14">
        <f>N104*VLOOKUP('Données projet'!$B$9,Paramètres!$A$1:$I$88,3,0)*VLOOKUP('Données projet'!$B$9,Paramètres!$A$1:$I$88,5,0)</f>
        <v>-5.7639226724859328E-14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167.90363814107491</v>
      </c>
      <c r="T104" s="62">
        <f t="shared" si="88"/>
        <v>174.92847878212234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0</v>
      </c>
      <c r="AB104" s="23">
        <f>EXP(-LN(2)/2)*AB103+(1-EXP(-LN(2)/2))/(LN(2)/2)*V104*Y104*VLOOKUP('Données projet'!$B$9,Paramètres!$A$1:$I$88,3,0)*0.475*44/12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projet'!$B$10,Paramètres!$A$1:$I$88,3,0)*VLOOKUP('Données projet'!$B$10,Paramètres!$A$1:$I$88,5,0)</f>
        <v>-6.1186256061773749E-14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179.61236179838011</v>
      </c>
      <c r="AO104" s="62">
        <f t="shared" si="90"/>
        <v>186.66130555850333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0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projet'!$B$11,Paramètres!$A$1:$I$88,3,0)*VLOOKUP('Données projet'!$B$11,Paramètres!$A$1:$I$88,5,0)</f>
        <v>-5.3205440053716299E-14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335.00873408144395</v>
      </c>
      <c r="BJ104" s="62">
        <f t="shared" si="92"/>
        <v>106.28577694955948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0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projet'!$B$12,Paramètres!$A$1:$I$88,3,0)*VLOOKUP('Données projet'!$B$12,Paramètres!$A$1:$I$88,5,0)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136.47709057888358</v>
      </c>
      <c r="CE104" s="62">
        <f t="shared" si="94"/>
        <v>99.705248792886493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0</v>
      </c>
      <c r="CL104" s="23">
        <f>EXP(-LN(2)/25)*CL103+(1-EXP(-LN(2)/25))/(LN(2)/25)*Calculateur!CG104*Calculateur!CI104*VLOOKUP('Données projet'!$B$12,Paramètres!$A$1:$I$88,3,0)*0.475*44/12</f>
        <v>0</v>
      </c>
      <c r="CM104" s="23">
        <f>EXP(-LN(2)/2)*CM103+(1-EXP(-LN(2)/2))/(LN(2)/2)*CG104*CJ104*VLOOKUP('Données projet'!$B$12,Paramètres!$A$1:$I$88,3,0)*0.475*44/12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14</v>
      </c>
      <c r="CT104" s="13">
        <f>IF('Données projet'!$A$140&gt;35,CT103+CS104-DB103,IF(A104&lt;'Données projet'!$A$140,$CQ$205^A104,IF(A104='Données projet'!$A$140,'Données projet'!$B$140,CT103+CS104-DB103)))</f>
        <v>467.00000000000011</v>
      </c>
      <c r="CU104" s="18">
        <f>CT104*VLOOKUP('Données projet'!$B$13,Paramètres!$A$1:$I$88,3,0)*VLOOKUP('Données projet'!$B$13,Paramètres!$A$1:$I$88,5,0)</f>
        <v>224.62700000000007</v>
      </c>
      <c r="CV104" s="14">
        <f t="shared" si="95"/>
        <v>55.119319863505318</v>
      </c>
      <c r="CW104" s="22">
        <f t="shared" si="67"/>
        <v>487.22484042893853</v>
      </c>
      <c r="CX104" s="62">
        <f t="shared" si="68"/>
        <v>780.55817376227185</v>
      </c>
      <c r="CY104" s="62">
        <f ca="1">AVERAGE(OFFSET($CX$3,0,0,'Données projet'!$E$13+1,1))-AVERAGE(OFFSET($H$3,0,0,'Données projet'!$E$13+1,1))</f>
        <v>205.01234521498333</v>
      </c>
      <c r="CZ104" s="62">
        <f t="shared" si="96"/>
        <v>100.26042113972852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projet'!$B$13,Paramètres!$A$1:$I$88,3,0)*0.475*44/12</f>
        <v>0</v>
      </c>
      <c r="DG104" s="23">
        <f>EXP(-LN(2)/25)*DG103+(1-EXP(-LN(2)/25))/(LN(2)/25)*Calculateur!DB104*Calculateur!DD104*VLOOKUP('Données projet'!$B$13,Paramètres!$A$1:$I$88,3,0)*0.475*44/12</f>
        <v>0</v>
      </c>
      <c r="DH104" s="23">
        <f>EXP(-LN(2)/2)*DH103+(1-EXP(-LN(2)/2))/(LN(2)/2)*DB104*DE104*VLOOKUP('Données projet'!$B$13,Paramètres!$A$1:$I$88,3,0)*0.475*44/12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29.835000000000036</v>
      </c>
      <c r="D105" s="12">
        <f t="shared" si="86"/>
        <v>9.2601920925674737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301.78744773210008</v>
      </c>
      <c r="H105" s="70">
        <f t="shared" si="56"/>
        <v>361.42412622788839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-5.6843418860808015E-14</v>
      </c>
      <c r="O105" s="14">
        <f>N105*VLOOKUP('Données projet'!$B$9,Paramètres!$A$1:$I$88,3,0)*VLOOKUP('Données projet'!$B$9,Paramètres!$A$1:$I$88,5,0)</f>
        <v>-5.7639226724859328E-14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167.90363814107491</v>
      </c>
      <c r="T105" s="62">
        <f t="shared" si="88"/>
        <v>174.92847878212234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0</v>
      </c>
      <c r="AB105" s="23">
        <f>EXP(-LN(2)/2)*AB104+(1-EXP(-LN(2)/2))/(LN(2)/2)*V105*Y105*VLOOKUP('Données projet'!$B$9,Paramètres!$A$1:$I$88,3,0)*0.475*44/12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projet'!$B$10,Paramètres!$A$1:$I$88,3,0)*VLOOKUP('Données projet'!$B$10,Paramètres!$A$1:$I$88,5,0)</f>
        <v>-6.1186256061773749E-14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179.61236179838011</v>
      </c>
      <c r="AO105" s="62">
        <f t="shared" si="90"/>
        <v>186.66130555850333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0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projet'!$B$11,Paramètres!$A$1:$I$88,3,0)*VLOOKUP('Données projet'!$B$11,Paramètres!$A$1:$I$88,5,0)</f>
        <v>-5.3205440053716299E-14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335.00873408144395</v>
      </c>
      <c r="BJ105" s="62">
        <f t="shared" si="92"/>
        <v>106.28577694955948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0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projet'!$B$12,Paramètres!$A$1:$I$88,3,0)*VLOOKUP('Données projet'!$B$12,Paramètres!$A$1:$I$88,5,0)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136.47709057888358</v>
      </c>
      <c r="CE105" s="62">
        <f t="shared" si="94"/>
        <v>99.705248792886493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0</v>
      </c>
      <c r="CL105" s="23">
        <f>EXP(-LN(2)/25)*CL104+(1-EXP(-LN(2)/25))/(LN(2)/25)*Calculateur!CG105*Calculateur!CI105*VLOOKUP('Données projet'!$B$12,Paramètres!$A$1:$I$88,3,0)*0.475*44/12</f>
        <v>0</v>
      </c>
      <c r="CM105" s="23">
        <f>EXP(-LN(2)/2)*CM104+(1-EXP(-LN(2)/2))/(LN(2)/2)*CG105*CJ105*VLOOKUP('Données projet'!$B$12,Paramètres!$A$1:$I$88,3,0)*0.475*44/12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14</v>
      </c>
      <c r="CT105" s="13">
        <f>IF('Données projet'!$A$140&gt;35,CT104+CS105-DB104,IF(A105&lt;'Données projet'!$A$140,$CQ$205^A105,IF(A105='Données projet'!$A$140,'Données projet'!$B$140,CT104+CS105-DB104)))</f>
        <v>481.00000000000011</v>
      </c>
      <c r="CU105" s="18">
        <f>CT105*VLOOKUP('Données projet'!$B$13,Paramètres!$A$1:$I$88,3,0)*VLOOKUP('Données projet'!$B$13,Paramètres!$A$1:$I$88,5,0)</f>
        <v>231.36100000000005</v>
      </c>
      <c r="CV105" s="14">
        <f t="shared" si="95"/>
        <v>56.576860426068023</v>
      </c>
      <c r="CW105" s="22">
        <f t="shared" si="67"/>
        <v>501.49177357540185</v>
      </c>
      <c r="CX105" s="62">
        <f t="shared" si="68"/>
        <v>794.82510690873517</v>
      </c>
      <c r="CY105" s="62">
        <f ca="1">AVERAGE(OFFSET($CX$3,0,0,'Données projet'!$E$13+1,1))-AVERAGE(OFFSET($H$3,0,0,'Données projet'!$E$13+1,1))</f>
        <v>205.01234521498333</v>
      </c>
      <c r="CZ105" s="62">
        <f t="shared" si="96"/>
        <v>100.26042113972852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projet'!$B$13,Paramètres!$A$1:$I$88,3,0)*0.475*44/12</f>
        <v>0</v>
      </c>
      <c r="DG105" s="23">
        <f>EXP(-LN(2)/25)*DG104+(1-EXP(-LN(2)/25))/(LN(2)/25)*Calculateur!DB105*Calculateur!DD105*VLOOKUP('Données projet'!$B$13,Paramètres!$A$1:$I$88,3,0)*0.475*44/12</f>
        <v>0</v>
      </c>
      <c r="DH105" s="23">
        <f>EXP(-LN(2)/2)*DH104+(1-EXP(-LN(2)/2))/(LN(2)/2)*DB105*DE105*VLOOKUP('Données projet'!$B$13,Paramètres!$A$1:$I$88,3,0)*0.475*44/12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30.127500000000037</v>
      </c>
      <c r="D106" s="12">
        <f t="shared" si="86"/>
        <v>9.3403651705185595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304.66422236891543</v>
      </c>
      <c r="H106" s="70">
        <f t="shared" si="56"/>
        <v>362.07319850531985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-5.6843418860808015E-14</v>
      </c>
      <c r="O106" s="14">
        <f>N106*VLOOKUP('Données projet'!$B$9,Paramètres!$A$1:$I$88,3,0)*VLOOKUP('Données projet'!$B$9,Paramètres!$A$1:$I$88,5,0)</f>
        <v>-5.7639226724859328E-14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167.90363814107491</v>
      </c>
      <c r="T106" s="62">
        <f t="shared" si="88"/>
        <v>174.92847878212234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0</v>
      </c>
      <c r="AB106" s="23">
        <f>EXP(-LN(2)/2)*AB105+(1-EXP(-LN(2)/2))/(LN(2)/2)*V106*Y106*VLOOKUP('Données projet'!$B$9,Paramètres!$A$1:$I$88,3,0)*0.475*44/12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projet'!$B$10,Paramètres!$A$1:$I$88,3,0)*VLOOKUP('Données projet'!$B$10,Paramètres!$A$1:$I$88,5,0)</f>
        <v>-6.1186256061773749E-14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179.61236179838011</v>
      </c>
      <c r="AO106" s="62">
        <f t="shared" si="90"/>
        <v>186.66130555850333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0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projet'!$B$11,Paramètres!$A$1:$I$88,3,0)*VLOOKUP('Données projet'!$B$11,Paramètres!$A$1:$I$88,5,0)</f>
        <v>-5.3205440053716299E-14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335.00873408144395</v>
      </c>
      <c r="BJ106" s="62">
        <f t="shared" si="92"/>
        <v>106.28577694955948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0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projet'!$B$12,Paramètres!$A$1:$I$88,3,0)*VLOOKUP('Données projet'!$B$12,Paramètres!$A$1:$I$88,5,0)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136.47709057888358</v>
      </c>
      <c r="CE106" s="62">
        <f t="shared" si="94"/>
        <v>99.705248792886493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0</v>
      </c>
      <c r="CL106" s="23">
        <f>EXP(-LN(2)/25)*CL105+(1-EXP(-LN(2)/25))/(LN(2)/25)*Calculateur!CG106*Calculateur!CI106*VLOOKUP('Données projet'!$B$12,Paramètres!$A$1:$I$88,3,0)*0.475*44/12</f>
        <v>0</v>
      </c>
      <c r="CM106" s="23">
        <f>EXP(-LN(2)/2)*CM105+(1-EXP(-LN(2)/2))/(LN(2)/2)*CG106*CJ106*VLOOKUP('Données projet'!$B$12,Paramètres!$A$1:$I$88,3,0)*0.475*44/12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14</v>
      </c>
      <c r="CT106" s="13">
        <f>IF('Données projet'!$A$140&gt;35,CT105+CS106-DB105,IF(A106&lt;'Données projet'!$A$140,$CQ$205^A106,IF(A106='Données projet'!$A$140,'Données projet'!$B$140,CT105+CS106-DB105)))</f>
        <v>495.00000000000011</v>
      </c>
      <c r="CU106" s="18">
        <f>CT106*VLOOKUP('Données projet'!$B$13,Paramètres!$A$1:$I$88,3,0)*VLOOKUP('Données projet'!$B$13,Paramètres!$A$1:$I$88,5,0)</f>
        <v>238.09500000000006</v>
      </c>
      <c r="CV106" s="14">
        <f t="shared" si="95"/>
        <v>58.02947054598085</v>
      </c>
      <c r="CW106" s="22">
        <f t="shared" si="67"/>
        <v>515.75011953425008</v>
      </c>
      <c r="CX106" s="62">
        <f t="shared" si="68"/>
        <v>809.08345286758345</v>
      </c>
      <c r="CY106" s="62">
        <f ca="1">AVERAGE(OFFSET($CX$3,0,0,'Données projet'!$E$13+1,1))-AVERAGE(OFFSET($H$3,0,0,'Données projet'!$E$13+1,1))</f>
        <v>205.01234521498333</v>
      </c>
      <c r="CZ106" s="62">
        <f t="shared" si="96"/>
        <v>100.26042113972852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projet'!$B$13,Paramètres!$A$1:$I$88,3,0)*0.475*44/12</f>
        <v>0</v>
      </c>
      <c r="DG106" s="23">
        <f>EXP(-LN(2)/25)*DG105+(1-EXP(-LN(2)/25))/(LN(2)/25)*Calculateur!DB106*Calculateur!DD106*VLOOKUP('Données projet'!$B$13,Paramètres!$A$1:$I$88,3,0)*0.475*44/12</f>
        <v>0</v>
      </c>
      <c r="DH106" s="23">
        <f>EXP(-LN(2)/2)*DH105+(1-EXP(-LN(2)/2))/(LN(2)/2)*DB106*DE106*VLOOKUP('Données projet'!$B$13,Paramètres!$A$1:$I$88,3,0)*0.475*44/12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30.420000000000037</v>
      </c>
      <c r="D107" s="12">
        <f t="shared" si="86"/>
        <v>9.4204476947792148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307.54029799478718</v>
      </c>
      <c r="H107" s="70">
        <f t="shared" si="56"/>
        <v>362.72211306840717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-5.6843418860808015E-14</v>
      </c>
      <c r="O107" s="14">
        <f>N107*VLOOKUP('Données projet'!$B$9,Paramètres!$A$1:$I$88,3,0)*VLOOKUP('Données projet'!$B$9,Paramètres!$A$1:$I$88,5,0)</f>
        <v>-5.7639226724859328E-14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167.90363814107491</v>
      </c>
      <c r="T107" s="62">
        <f t="shared" si="88"/>
        <v>174.92847878212234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0</v>
      </c>
      <c r="AB107" s="23">
        <f>EXP(-LN(2)/2)*AB106+(1-EXP(-LN(2)/2))/(LN(2)/2)*V107*Y107*VLOOKUP('Données projet'!$B$9,Paramètres!$A$1:$I$88,3,0)*0.475*44/12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projet'!$B$10,Paramètres!$A$1:$I$88,3,0)*VLOOKUP('Données projet'!$B$10,Paramètres!$A$1:$I$88,5,0)</f>
        <v>-6.1186256061773749E-14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179.61236179838011</v>
      </c>
      <c r="AO107" s="62">
        <f t="shared" si="90"/>
        <v>186.66130555850333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0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projet'!$B$11,Paramètres!$A$1:$I$88,3,0)*VLOOKUP('Données projet'!$B$11,Paramètres!$A$1:$I$88,5,0)</f>
        <v>-5.3205440053716299E-14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335.00873408144395</v>
      </c>
      <c r="BJ107" s="62">
        <f t="shared" si="92"/>
        <v>106.28577694955948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0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projet'!$B$12,Paramètres!$A$1:$I$88,3,0)*VLOOKUP('Données projet'!$B$12,Paramètres!$A$1:$I$88,5,0)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136.47709057888358</v>
      </c>
      <c r="CE107" s="62">
        <f t="shared" si="94"/>
        <v>99.705248792886493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0</v>
      </c>
      <c r="CL107" s="23">
        <f>EXP(-LN(2)/25)*CL106+(1-EXP(-LN(2)/25))/(LN(2)/25)*Calculateur!CG107*Calculateur!CI107*VLOOKUP('Données projet'!$B$12,Paramètres!$A$1:$I$88,3,0)*0.475*44/12</f>
        <v>0</v>
      </c>
      <c r="CM107" s="23">
        <f>EXP(-LN(2)/2)*CM106+(1-EXP(-LN(2)/2))/(LN(2)/2)*CG107*CJ107*VLOOKUP('Données projet'!$B$12,Paramètres!$A$1:$I$88,3,0)*0.475*44/12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14</v>
      </c>
      <c r="CT107" s="13">
        <f>IF('Données projet'!$A$140&gt;35,CT106+CS107-DB106,IF(A107&lt;'Données projet'!$A$140,$CQ$205^A107,IF(A107='Données projet'!$A$140,'Données projet'!$B$140,CT106+CS107-DB106)))</f>
        <v>509.00000000000011</v>
      </c>
      <c r="CU107" s="18">
        <f>CT107*VLOOKUP('Données projet'!$B$13,Paramètres!$A$1:$I$88,3,0)*VLOOKUP('Données projet'!$B$13,Paramètres!$A$1:$I$88,5,0)</f>
        <v>244.82900000000006</v>
      </c>
      <c r="CV107" s="14">
        <f t="shared" si="95"/>
        <v>59.477305687742081</v>
      </c>
      <c r="CW107" s="22">
        <f t="shared" si="67"/>
        <v>530.00014907281752</v>
      </c>
      <c r="CX107" s="62">
        <f t="shared" si="68"/>
        <v>823.33348240615078</v>
      </c>
      <c r="CY107" s="62">
        <f ca="1">AVERAGE(OFFSET($CX$3,0,0,'Données projet'!$E$13+1,1))-AVERAGE(OFFSET($H$3,0,0,'Données projet'!$E$13+1,1))</f>
        <v>205.01234521498333</v>
      </c>
      <c r="CZ107" s="62">
        <f t="shared" si="96"/>
        <v>100.26042113972852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projet'!$B$13,Paramètres!$A$1:$I$88,3,0)*0.475*44/12</f>
        <v>0</v>
      </c>
      <c r="DG107" s="23">
        <f>EXP(-LN(2)/25)*DG106+(1-EXP(-LN(2)/25))/(LN(2)/25)*Calculateur!DB107*Calculateur!DD107*VLOOKUP('Données projet'!$B$13,Paramètres!$A$1:$I$88,3,0)*0.475*44/12</f>
        <v>0</v>
      </c>
      <c r="DH107" s="23">
        <f>EXP(-LN(2)/2)*DH106+(1-EXP(-LN(2)/2))/(LN(2)/2)*DB107*DE107*VLOOKUP('Données projet'!$B$13,Paramètres!$A$1:$I$88,3,0)*0.475*44/12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30.712500000000038</v>
      </c>
      <c r="D108" s="12">
        <f t="shared" si="86"/>
        <v>9.5004406368947674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310.41568210936344</v>
      </c>
      <c r="H108" s="70">
        <f t="shared" si="56"/>
        <v>363.37087160925842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-5.6843418860808015E-14</v>
      </c>
      <c r="O108" s="14">
        <f>N108*VLOOKUP('Données projet'!$B$9,Paramètres!$A$1:$I$88,3,0)*VLOOKUP('Données projet'!$B$9,Paramètres!$A$1:$I$88,5,0)</f>
        <v>-5.7639226724859328E-14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167.90363814107491</v>
      </c>
      <c r="T108" s="62">
        <f t="shared" si="88"/>
        <v>174.92847878212234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0</v>
      </c>
      <c r="AB108" s="23">
        <f>EXP(-LN(2)/2)*AB107+(1-EXP(-LN(2)/2))/(LN(2)/2)*V108*Y108*VLOOKUP('Données projet'!$B$9,Paramètres!$A$1:$I$88,3,0)*0.475*44/12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projet'!$B$10,Paramètres!$A$1:$I$88,3,0)*VLOOKUP('Données projet'!$B$10,Paramètres!$A$1:$I$88,5,0)</f>
        <v>-6.1186256061773749E-14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179.61236179838011</v>
      </c>
      <c r="AO108" s="62">
        <f t="shared" si="90"/>
        <v>186.66130555850333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0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projet'!$B$11,Paramètres!$A$1:$I$88,3,0)*VLOOKUP('Données projet'!$B$11,Paramètres!$A$1:$I$88,5,0)</f>
        <v>-5.3205440053716299E-14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335.00873408144395</v>
      </c>
      <c r="BJ108" s="62">
        <f t="shared" si="92"/>
        <v>106.28577694955948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0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projet'!$B$12,Paramètres!$A$1:$I$88,3,0)*VLOOKUP('Données projet'!$B$12,Paramètres!$A$1:$I$88,5,0)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136.47709057888358</v>
      </c>
      <c r="CE108" s="62">
        <f t="shared" si="94"/>
        <v>99.705248792886493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0</v>
      </c>
      <c r="CL108" s="23">
        <f>EXP(-LN(2)/25)*CL107+(1-EXP(-LN(2)/25))/(LN(2)/25)*Calculateur!CG108*Calculateur!CI108*VLOOKUP('Données projet'!$B$12,Paramètres!$A$1:$I$88,3,0)*0.475*44/12</f>
        <v>0</v>
      </c>
      <c r="CM108" s="23">
        <f>EXP(-LN(2)/2)*CM107+(1-EXP(-LN(2)/2))/(LN(2)/2)*CG108*CJ108*VLOOKUP('Données projet'!$B$12,Paramètres!$A$1:$I$88,3,0)*0.475*44/12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14</v>
      </c>
      <c r="CT108" s="13">
        <f>IF('Données projet'!$A$140&gt;35,CT107+CS108-DB107,IF(A108&lt;'Données projet'!$A$140,$CQ$205^A108,IF(A108='Données projet'!$A$140,'Données projet'!$B$140,CT107+CS108-DB107)))</f>
        <v>523.00000000000011</v>
      </c>
      <c r="CU108" s="18">
        <f>CT108*VLOOKUP('Données projet'!$B$13,Paramètres!$A$1:$I$88,3,0)*VLOOKUP('Données projet'!$B$13,Paramètres!$A$1:$I$88,5,0)</f>
        <v>251.56300000000007</v>
      </c>
      <c r="CV108" s="14">
        <f t="shared" si="95"/>
        <v>60.920512277071659</v>
      </c>
      <c r="CW108" s="22">
        <f t="shared" si="67"/>
        <v>544.24211721589984</v>
      </c>
      <c r="CX108" s="62">
        <f t="shared" si="68"/>
        <v>837.57545054923321</v>
      </c>
      <c r="CY108" s="62">
        <f ca="1">AVERAGE(OFFSET($CX$3,0,0,'Données projet'!$E$13+1,1))-AVERAGE(OFFSET($H$3,0,0,'Données projet'!$E$13+1,1))</f>
        <v>205.01234521498333</v>
      </c>
      <c r="CZ108" s="62">
        <f t="shared" si="96"/>
        <v>100.26042113972852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projet'!$B$13,Paramètres!$A$1:$I$88,3,0)*0.475*44/12</f>
        <v>0</v>
      </c>
      <c r="DG108" s="23">
        <f>EXP(-LN(2)/25)*DG107+(1-EXP(-LN(2)/25))/(LN(2)/25)*Calculateur!DB108*Calculateur!DD108*VLOOKUP('Données projet'!$B$13,Paramètres!$A$1:$I$88,3,0)*0.475*44/12</f>
        <v>0</v>
      </c>
      <c r="DH108" s="23">
        <f>EXP(-LN(2)/2)*DH107+(1-EXP(-LN(2)/2))/(LN(2)/2)*DB108*DE108*VLOOKUP('Données projet'!$B$13,Paramètres!$A$1:$I$88,3,0)*0.475*44/12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31.005000000000038</v>
      </c>
      <c r="D109" s="12">
        <f t="shared" si="86"/>
        <v>9.5803449488378725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313.29038206120498</v>
      </c>
      <c r="H109" s="70">
        <f t="shared" si="56"/>
        <v>364.01947578589267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-5.6843418860808015E-14</v>
      </c>
      <c r="O109" s="14">
        <f>N109*VLOOKUP('Données projet'!$B$9,Paramètres!$A$1:$I$88,3,0)*VLOOKUP('Données projet'!$B$9,Paramètres!$A$1:$I$88,5,0)</f>
        <v>-5.7639226724859328E-14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167.90363814107491</v>
      </c>
      <c r="T109" s="62">
        <f t="shared" si="88"/>
        <v>174.92847878212234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0</v>
      </c>
      <c r="AB109" s="23">
        <f>EXP(-LN(2)/2)*AB108+(1-EXP(-LN(2)/2))/(LN(2)/2)*V109*Y109*VLOOKUP('Données projet'!$B$9,Paramètres!$A$1:$I$88,3,0)*0.475*44/12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projet'!$B$10,Paramètres!$A$1:$I$88,3,0)*VLOOKUP('Données projet'!$B$10,Paramètres!$A$1:$I$88,5,0)</f>
        <v>-6.1186256061773749E-14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179.61236179838011</v>
      </c>
      <c r="AO109" s="62">
        <f t="shared" si="90"/>
        <v>186.66130555850333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0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projet'!$B$11,Paramètres!$A$1:$I$88,3,0)*VLOOKUP('Données projet'!$B$11,Paramètres!$A$1:$I$88,5,0)</f>
        <v>-5.3205440053716299E-14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335.00873408144395</v>
      </c>
      <c r="BJ109" s="62">
        <f t="shared" si="92"/>
        <v>106.28577694955948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0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projet'!$B$12,Paramètres!$A$1:$I$88,3,0)*VLOOKUP('Données projet'!$B$12,Paramètres!$A$1:$I$88,5,0)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136.47709057888358</v>
      </c>
      <c r="CE109" s="62">
        <f t="shared" si="94"/>
        <v>99.705248792886493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0</v>
      </c>
      <c r="CL109" s="23">
        <f>EXP(-LN(2)/25)*CL108+(1-EXP(-LN(2)/25))/(LN(2)/25)*Calculateur!CG109*Calculateur!CI109*VLOOKUP('Données projet'!$B$12,Paramètres!$A$1:$I$88,3,0)*0.475*44/12</f>
        <v>0</v>
      </c>
      <c r="CM109" s="23">
        <f>EXP(-LN(2)/2)*CM108+(1-EXP(-LN(2)/2))/(LN(2)/2)*CG109*CJ109*VLOOKUP('Données projet'!$B$12,Paramètres!$A$1:$I$88,3,0)*0.475*44/12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14</v>
      </c>
      <c r="CT109" s="13">
        <f>IF('Données projet'!$A$140&gt;35,CT108+CS109-DB108,IF(A109&lt;'Données projet'!$A$140,$CQ$205^A109,IF(A109='Données projet'!$A$140,'Données projet'!$B$140,CT108+CS109-DB108)))</f>
        <v>537.00000000000011</v>
      </c>
      <c r="CU109" s="18">
        <f>CT109*VLOOKUP('Données projet'!$B$13,Paramètres!$A$1:$I$88,3,0)*VLOOKUP('Données projet'!$B$13,Paramètres!$A$1:$I$88,5,0)</f>
        <v>258.29700000000003</v>
      </c>
      <c r="CV109" s="14">
        <f t="shared" si="95"/>
        <v>62.3592284541322</v>
      </c>
      <c r="CW109" s="22">
        <f t="shared" si="67"/>
        <v>558.4762645576136</v>
      </c>
      <c r="CX109" s="62">
        <f t="shared" si="68"/>
        <v>851.80959789094686</v>
      </c>
      <c r="CY109" s="62">
        <f ca="1">AVERAGE(OFFSET($CX$3,0,0,'Données projet'!$E$13+1,1))-AVERAGE(OFFSET($H$3,0,0,'Données projet'!$E$13+1,1))</f>
        <v>205.01234521498333</v>
      </c>
      <c r="CZ109" s="62">
        <f t="shared" si="96"/>
        <v>100.26042113972852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projet'!$B$13,Paramètres!$A$1:$I$88,3,0)*0.475*44/12</f>
        <v>0</v>
      </c>
      <c r="DG109" s="23">
        <f>EXP(-LN(2)/25)*DG108+(1-EXP(-LN(2)/25))/(LN(2)/25)*Calculateur!DB109*Calculateur!DD109*VLOOKUP('Données projet'!$B$13,Paramètres!$A$1:$I$88,3,0)*0.475*44/12</f>
        <v>0</v>
      </c>
      <c r="DH109" s="23">
        <f>EXP(-LN(2)/2)*DH108+(1-EXP(-LN(2)/2))/(LN(2)/2)*DB109*DE109*VLOOKUP('Données projet'!$B$13,Paramètres!$A$1:$I$88,3,0)*0.475*44/12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31.297500000000039</v>
      </c>
      <c r="D110" s="12">
        <f t="shared" si="86"/>
        <v>9.660161563583662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316.16440505222505</v>
      </c>
      <c r="H110" s="70">
        <f t="shared" si="56"/>
        <v>364.66792722324158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-5.6843418860808015E-14</v>
      </c>
      <c r="O110" s="14">
        <f>N110*VLOOKUP('Données projet'!$B$9,Paramètres!$A$1:$I$88,3,0)*VLOOKUP('Données projet'!$B$9,Paramètres!$A$1:$I$88,5,0)</f>
        <v>-5.7639226724859328E-14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167.90363814107491</v>
      </c>
      <c r="T110" s="62">
        <f t="shared" si="88"/>
        <v>174.92847878212234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0</v>
      </c>
      <c r="AB110" s="23">
        <f>EXP(-LN(2)/2)*AB109+(1-EXP(-LN(2)/2))/(LN(2)/2)*V110*Y110*VLOOKUP('Données projet'!$B$9,Paramètres!$A$1:$I$88,3,0)*0.475*44/12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projet'!$B$10,Paramètres!$A$1:$I$88,3,0)*VLOOKUP('Données projet'!$B$10,Paramètres!$A$1:$I$88,5,0)</f>
        <v>-6.1186256061773749E-14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179.61236179838011</v>
      </c>
      <c r="AO110" s="62">
        <f t="shared" si="90"/>
        <v>186.66130555850333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0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projet'!$B$11,Paramètres!$A$1:$I$88,3,0)*VLOOKUP('Données projet'!$B$11,Paramètres!$A$1:$I$88,5,0)</f>
        <v>-5.3205440053716299E-14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335.00873408144395</v>
      </c>
      <c r="BJ110" s="62">
        <f t="shared" si="92"/>
        <v>106.28577694955948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0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projet'!$B$12,Paramètres!$A$1:$I$88,3,0)*VLOOKUP('Données projet'!$B$12,Paramètres!$A$1:$I$88,5,0)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136.47709057888358</v>
      </c>
      <c r="CE110" s="62">
        <f t="shared" si="94"/>
        <v>99.705248792886493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0</v>
      </c>
      <c r="CL110" s="23">
        <f>EXP(-LN(2)/25)*CL109+(1-EXP(-LN(2)/25))/(LN(2)/25)*Calculateur!CG110*Calculateur!CI110*VLOOKUP('Données projet'!$B$12,Paramètres!$A$1:$I$88,3,0)*0.475*44/12</f>
        <v>0</v>
      </c>
      <c r="CM110" s="23">
        <f>EXP(-LN(2)/2)*CM109+(1-EXP(-LN(2)/2))/(LN(2)/2)*CG110*CJ110*VLOOKUP('Données projet'!$B$12,Paramètres!$A$1:$I$88,3,0)*0.475*44/12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14</v>
      </c>
      <c r="CT110" s="13">
        <f>IF('Données projet'!$A$140&gt;35,CT109+CS110-DB109,IF(A110&lt;'Données projet'!$A$140,$CQ$205^A110,IF(A110='Données projet'!$A$140,'Données projet'!$B$140,CT109+CS110-DB109)))</f>
        <v>551.00000000000011</v>
      </c>
      <c r="CU110" s="18">
        <f>CT110*VLOOKUP('Données projet'!$B$13,Paramètres!$A$1:$I$88,3,0)*VLOOKUP('Données projet'!$B$13,Paramètres!$A$1:$I$88,5,0)</f>
        <v>265.03100000000006</v>
      </c>
      <c r="CV110" s="14">
        <f t="shared" si="95"/>
        <v>63.793584745992824</v>
      </c>
      <c r="CW110" s="22">
        <f t="shared" si="67"/>
        <v>572.7028184326042</v>
      </c>
      <c r="CX110" s="62">
        <f t="shared" si="68"/>
        <v>866.03615176593757</v>
      </c>
      <c r="CY110" s="62">
        <f ca="1">AVERAGE(OFFSET($CX$3,0,0,'Données projet'!$E$13+1,1))-AVERAGE(OFFSET($H$3,0,0,'Données projet'!$E$13+1,1))</f>
        <v>205.01234521498333</v>
      </c>
      <c r="CZ110" s="62">
        <f t="shared" si="96"/>
        <v>100.26042113972852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projet'!$B$13,Paramètres!$A$1:$I$88,3,0)*0.475*44/12</f>
        <v>0</v>
      </c>
      <c r="DG110" s="23">
        <f>EXP(-LN(2)/25)*DG109+(1-EXP(-LN(2)/25))/(LN(2)/25)*Calculateur!DB110*Calculateur!DD110*VLOOKUP('Données projet'!$B$13,Paramètres!$A$1:$I$88,3,0)*0.475*44/12</f>
        <v>0</v>
      </c>
      <c r="DH110" s="23">
        <f>EXP(-LN(2)/2)*DH109+(1-EXP(-LN(2)/2))/(LN(2)/2)*DB110*DE110*VLOOKUP('Données projet'!$B$13,Paramètres!$A$1:$I$88,3,0)*0.475*44/12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31.590000000000039</v>
      </c>
      <c r="D111" s="12">
        <f t="shared" si="86"/>
        <v>9.7398913956627631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319.03775814195848</v>
      </c>
      <c r="H111" s="70">
        <f t="shared" si="56"/>
        <v>365.31622751411271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-5.6843418860808015E-14</v>
      </c>
      <c r="O111" s="14">
        <f>N111*VLOOKUP('Données projet'!$B$9,Paramètres!$A$1:$I$88,3,0)*VLOOKUP('Données projet'!$B$9,Paramètres!$A$1:$I$88,5,0)</f>
        <v>-5.7639226724859328E-14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167.90363814107491</v>
      </c>
      <c r="T111" s="62">
        <f t="shared" si="88"/>
        <v>174.92847878212234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0</v>
      </c>
      <c r="AB111" s="23">
        <f>EXP(-LN(2)/2)*AB110+(1-EXP(-LN(2)/2))/(LN(2)/2)*V111*Y111*VLOOKUP('Données projet'!$B$9,Paramètres!$A$1:$I$88,3,0)*0.475*44/12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projet'!$B$10,Paramètres!$A$1:$I$88,3,0)*VLOOKUP('Données projet'!$B$10,Paramètres!$A$1:$I$88,5,0)</f>
        <v>-6.1186256061773749E-14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179.61236179838011</v>
      </c>
      <c r="AO111" s="62">
        <f t="shared" si="90"/>
        <v>186.66130555850333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0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projet'!$B$11,Paramètres!$A$1:$I$88,3,0)*VLOOKUP('Données projet'!$B$11,Paramètres!$A$1:$I$88,5,0)</f>
        <v>-5.3205440053716299E-14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335.00873408144395</v>
      </c>
      <c r="BJ111" s="62">
        <f t="shared" si="92"/>
        <v>106.28577694955948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0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projet'!$B$12,Paramètres!$A$1:$I$88,3,0)*VLOOKUP('Données projet'!$B$12,Paramètres!$A$1:$I$88,5,0)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136.47709057888358</v>
      </c>
      <c r="CE111" s="62">
        <f t="shared" si="94"/>
        <v>99.705248792886493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0</v>
      </c>
      <c r="CL111" s="23">
        <f>EXP(-LN(2)/25)*CL110+(1-EXP(-LN(2)/25))/(LN(2)/25)*Calculateur!CG111*Calculateur!CI111*VLOOKUP('Données projet'!$B$12,Paramètres!$A$1:$I$88,3,0)*0.475*44/12</f>
        <v>0</v>
      </c>
      <c r="CM111" s="23">
        <f>EXP(-LN(2)/2)*CM110+(1-EXP(-LN(2)/2))/(LN(2)/2)*CG111*CJ111*VLOOKUP('Données projet'!$B$12,Paramètres!$A$1:$I$88,3,0)*0.475*44/12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14</v>
      </c>
      <c r="CT111" s="13">
        <f>IF('Données projet'!$A$140&gt;35,CT110+CS111-DB110,IF(A111&lt;'Données projet'!$A$140,$CQ$205^A111,IF(A111='Données projet'!$A$140,'Données projet'!$B$140,CT110+CS111-DB110)))</f>
        <v>565.00000000000011</v>
      </c>
      <c r="CU111" s="18">
        <f>CT111*VLOOKUP('Données projet'!$B$13,Paramètres!$A$1:$I$88,3,0)*VLOOKUP('Données projet'!$B$13,Paramètres!$A$1:$I$88,5,0)</f>
        <v>271.76500000000004</v>
      </c>
      <c r="CV111" s="14">
        <f t="shared" si="95"/>
        <v>65.223704668824254</v>
      </c>
      <c r="CW111" s="22">
        <f t="shared" si="67"/>
        <v>586.92199396486899</v>
      </c>
      <c r="CX111" s="62">
        <f t="shared" si="68"/>
        <v>880.25532729820225</v>
      </c>
      <c r="CY111" s="62">
        <f ca="1">AVERAGE(OFFSET($CX$3,0,0,'Données projet'!$E$13+1,1))-AVERAGE(OFFSET($H$3,0,0,'Données projet'!$E$13+1,1))</f>
        <v>205.01234521498333</v>
      </c>
      <c r="CZ111" s="62">
        <f t="shared" si="96"/>
        <v>100.26042113972852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projet'!$B$13,Paramètres!$A$1:$I$88,3,0)*0.475*44/12</f>
        <v>0</v>
      </c>
      <c r="DG111" s="23">
        <f>EXP(-LN(2)/25)*DG110+(1-EXP(-LN(2)/25))/(LN(2)/25)*Calculateur!DB111*Calculateur!DD111*VLOOKUP('Données projet'!$B$13,Paramètres!$A$1:$I$88,3,0)*0.475*44/12</f>
        <v>0</v>
      </c>
      <c r="DH111" s="23">
        <f>EXP(-LN(2)/2)*DH110+(1-EXP(-LN(2)/2))/(LN(2)/2)*DB111*DE111*VLOOKUP('Données projet'!$B$13,Paramètres!$A$1:$I$88,3,0)*0.475*44/12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31.882500000000039</v>
      </c>
      <c r="D112" s="12">
        <f t="shared" si="86"/>
        <v>9.8195353416932996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321.9104482516679</v>
      </c>
      <c r="H112" s="70">
        <f t="shared" si="56"/>
        <v>365.96437822011586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-5.6843418860808015E-14</v>
      </c>
      <c r="O112" s="14">
        <f>N112*VLOOKUP('Données projet'!$B$9,Paramètres!$A$1:$I$88,3,0)*VLOOKUP('Données projet'!$B$9,Paramètres!$A$1:$I$88,5,0)</f>
        <v>-5.7639226724859328E-14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167.90363814107491</v>
      </c>
      <c r="T112" s="62">
        <f t="shared" si="88"/>
        <v>174.92847878212234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0</v>
      </c>
      <c r="AB112" s="23">
        <f>EXP(-LN(2)/2)*AB111+(1-EXP(-LN(2)/2))/(LN(2)/2)*V112*Y112*VLOOKUP('Données projet'!$B$9,Paramètres!$A$1:$I$88,3,0)*0.475*44/12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projet'!$B$10,Paramètres!$A$1:$I$88,3,0)*VLOOKUP('Données projet'!$B$10,Paramètres!$A$1:$I$88,5,0)</f>
        <v>-6.1186256061773749E-14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179.61236179838011</v>
      </c>
      <c r="AO112" s="62">
        <f t="shared" si="90"/>
        <v>186.66130555850333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0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projet'!$B$11,Paramètres!$A$1:$I$88,3,0)*VLOOKUP('Données projet'!$B$11,Paramètres!$A$1:$I$88,5,0)</f>
        <v>-5.3205440053716299E-14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335.00873408144395</v>
      </c>
      <c r="BJ112" s="62">
        <f t="shared" si="92"/>
        <v>106.28577694955948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0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projet'!$B$12,Paramètres!$A$1:$I$88,3,0)*VLOOKUP('Données projet'!$B$12,Paramètres!$A$1:$I$88,5,0)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136.47709057888358</v>
      </c>
      <c r="CE112" s="62">
        <f t="shared" si="94"/>
        <v>99.705248792886493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0</v>
      </c>
      <c r="CL112" s="23">
        <f>EXP(-LN(2)/25)*CL111+(1-EXP(-LN(2)/25))/(LN(2)/25)*Calculateur!CG112*Calculateur!CI112*VLOOKUP('Données projet'!$B$12,Paramètres!$A$1:$I$88,3,0)*0.475*44/12</f>
        <v>0</v>
      </c>
      <c r="CM112" s="23">
        <f>EXP(-LN(2)/2)*CM111+(1-EXP(-LN(2)/2))/(LN(2)/2)*CG112*CJ112*VLOOKUP('Données projet'!$B$12,Paramètres!$A$1:$I$88,3,0)*0.475*44/12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14</v>
      </c>
      <c r="CT112" s="13">
        <f>IF('Données projet'!$A$140&gt;35,CT111+CS112-DB111,IF(A112&lt;'Données projet'!$A$140,$CQ$205^A112,IF(A112='Données projet'!$A$140,'Données projet'!$B$140,CT111+CS112-DB111)))</f>
        <v>579.00000000000011</v>
      </c>
      <c r="CU112" s="18">
        <f>CT112*VLOOKUP('Données projet'!$B$13,Paramètres!$A$1:$I$88,3,0)*VLOOKUP('Données projet'!$B$13,Paramètres!$A$1:$I$88,5,0)</f>
        <v>278.49900000000008</v>
      </c>
      <c r="CV112" s="14">
        <f t="shared" si="95"/>
        <v>66.649705268727473</v>
      </c>
      <c r="CW112" s="22">
        <f t="shared" si="67"/>
        <v>601.13399500970047</v>
      </c>
      <c r="CX112" s="62">
        <f t="shared" si="68"/>
        <v>894.46732834303384</v>
      </c>
      <c r="CY112" s="62">
        <f ca="1">AVERAGE(OFFSET($CX$3,0,0,'Données projet'!$E$13+1,1))-AVERAGE(OFFSET($H$3,0,0,'Données projet'!$E$13+1,1))</f>
        <v>205.01234521498333</v>
      </c>
      <c r="CZ112" s="62">
        <f t="shared" si="96"/>
        <v>100.26042113972852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projet'!$B$13,Paramètres!$A$1:$I$88,3,0)*0.475*44/12</f>
        <v>0</v>
      </c>
      <c r="DG112" s="23">
        <f>EXP(-LN(2)/25)*DG111+(1-EXP(-LN(2)/25))/(LN(2)/25)*Calculateur!DB112*Calculateur!DD112*VLOOKUP('Données projet'!$B$13,Paramètres!$A$1:$I$88,3,0)*0.475*44/12</f>
        <v>0</v>
      </c>
      <c r="DH112" s="23">
        <f>EXP(-LN(2)/2)*DH111+(1-EXP(-LN(2)/2))/(LN(2)/2)*DB112*DE112*VLOOKUP('Données projet'!$B$13,Paramètres!$A$1:$I$88,3,0)*0.475*44/12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32.17500000000004</v>
      </c>
      <c r="D113" s="12">
        <f t="shared" si="86"/>
        <v>9.8990942808927596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324.7824821682953</v>
      </c>
      <c r="H113" s="70">
        <f t="shared" si="56"/>
        <v>366.61238087255492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-5.6843418860808015E-14</v>
      </c>
      <c r="O113" s="14">
        <f>N113*VLOOKUP('Données projet'!$B$9,Paramètres!$A$1:$I$88,3,0)*VLOOKUP('Données projet'!$B$9,Paramètres!$A$1:$I$88,5,0)</f>
        <v>-5.7639226724859328E-14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167.90363814107491</v>
      </c>
      <c r="T113" s="62">
        <f t="shared" si="88"/>
        <v>174.92847878212234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0</v>
      </c>
      <c r="AB113" s="23">
        <f>EXP(-LN(2)/2)*AB112+(1-EXP(-LN(2)/2))/(LN(2)/2)*V113*Y113*VLOOKUP('Données projet'!$B$9,Paramètres!$A$1:$I$88,3,0)*0.475*44/12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projet'!$B$10,Paramètres!$A$1:$I$88,3,0)*VLOOKUP('Données projet'!$B$10,Paramètres!$A$1:$I$88,5,0)</f>
        <v>-6.1186256061773749E-14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179.61236179838011</v>
      </c>
      <c r="AO113" s="62">
        <f t="shared" si="90"/>
        <v>186.66130555850333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0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projet'!$B$11,Paramètres!$A$1:$I$88,3,0)*VLOOKUP('Données projet'!$B$11,Paramètres!$A$1:$I$88,5,0)</f>
        <v>-5.3205440053716299E-14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335.00873408144395</v>
      </c>
      <c r="BJ113" s="62">
        <f t="shared" si="92"/>
        <v>106.28577694955948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0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projet'!$B$12,Paramètres!$A$1:$I$88,3,0)*VLOOKUP('Données projet'!$B$12,Paramètres!$A$1:$I$88,5,0)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136.47709057888358</v>
      </c>
      <c r="CE113" s="62">
        <f t="shared" si="94"/>
        <v>99.705248792886493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0</v>
      </c>
      <c r="CL113" s="23">
        <f>EXP(-LN(2)/25)*CL112+(1-EXP(-LN(2)/25))/(LN(2)/25)*Calculateur!CG113*Calculateur!CI113*VLOOKUP('Données projet'!$B$12,Paramètres!$A$1:$I$88,3,0)*0.475*44/12</f>
        <v>0</v>
      </c>
      <c r="CM113" s="23">
        <f>EXP(-LN(2)/2)*CM112+(1-EXP(-LN(2)/2))/(LN(2)/2)*CG113*CJ113*VLOOKUP('Données projet'!$B$12,Paramètres!$A$1:$I$88,3,0)*0.475*44/12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593</v>
      </c>
      <c r="CR113" s="13">
        <f>VLOOKUP(A113,'Données projet'!$A$139:$I$159,9,0)</f>
        <v>14</v>
      </c>
      <c r="CS113" s="13">
        <f t="array" ref="CS113">INDEX(CR:CR,MIN(IF(ISNUMBER(CR113:CR309),ROW(CR113:CR309),"")))</f>
        <v>14</v>
      </c>
      <c r="CT113" s="13">
        <f>IF('Données projet'!$A$140&gt;35,CT112+CS113-DB112,IF(A113&lt;'Données projet'!$A$140,$CQ$205^A113,IF(A113='Données projet'!$A$140,'Données projet'!$B$140,CT112+CS113-DB112)))</f>
        <v>593.00000000000011</v>
      </c>
      <c r="CU113" s="18">
        <f>CT113*VLOOKUP('Données projet'!$B$13,Paramètres!$A$1:$I$88,3,0)*VLOOKUP('Données projet'!$B$13,Paramètres!$A$1:$I$88,5,0)</f>
        <v>285.23300000000006</v>
      </c>
      <c r="CV113" s="14">
        <f t="shared" si="95"/>
        <v>68.071697608780525</v>
      </c>
      <c r="CW113" s="22">
        <f t="shared" si="67"/>
        <v>615.33901500195941</v>
      </c>
      <c r="CX113" s="62">
        <f t="shared" si="68"/>
        <v>908.67234833529278</v>
      </c>
      <c r="CY113" s="62">
        <f ca="1">AVERAGE(OFFSET($CX$3,0,0,'Données projet'!$E$13+1,1))-AVERAGE(OFFSET($H$3,0,0,'Données projet'!$E$13+1,1))</f>
        <v>205.01234521498333</v>
      </c>
      <c r="CZ113" s="62">
        <f t="shared" si="96"/>
        <v>100.26042113972852</v>
      </c>
      <c r="DA113" s="16">
        <f>IF(ISNA(VLOOKUP(A113,'Données projet'!$A$139:$I$159,3,0)),0,VLOOKUP(A113,'Données projet'!$A$139:$I$159,3,0))</f>
        <v>8</v>
      </c>
      <c r="DB113" s="16">
        <f>IF(ISNA(VLOOKUP(A113,'Données projet'!$A$139:$I$159,4,0)),0,VLOOKUP(A113,'Données projet'!$A$139:$I$159,4,0))</f>
        <v>593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projet'!$B$13,Paramètres!$A$1:$I$88,3,0)*0.475*44/12</f>
        <v>0</v>
      </c>
      <c r="DG113" s="23">
        <f>EXP(-LN(2)/25)*DG112+(1-EXP(-LN(2)/25))/(LN(2)/25)*Calculateur!DB113*Calculateur!DD113*VLOOKUP('Données projet'!$B$13,Paramètres!$A$1:$I$88,3,0)*0.475*44/12</f>
        <v>0</v>
      </c>
      <c r="DH113" s="23">
        <f>EXP(-LN(2)/2)*DH112+(1-EXP(-LN(2)/2))/(LN(2)/2)*DB113*DE113*VLOOKUP('Données projet'!$B$13,Paramètres!$A$1:$I$88,3,0)*0.475*44/12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32.467500000000037</v>
      </c>
      <c r="D114" s="12">
        <f t="shared" si="86"/>
        <v>9.978569075570741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327.65386654826563</v>
      </c>
      <c r="H114" s="70">
        <f t="shared" si="56"/>
        <v>367.26023697328571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-5.6843418860808015E-14</v>
      </c>
      <c r="O114" s="14">
        <f>N114*VLOOKUP('Données projet'!$B$9,Paramètres!$A$1:$I$88,3,0)*VLOOKUP('Données projet'!$B$9,Paramètres!$A$1:$I$88,5,0)</f>
        <v>-5.7639226724859328E-14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167.90363814107491</v>
      </c>
      <c r="T114" s="62">
        <f t="shared" si="88"/>
        <v>174.92847878212234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0</v>
      </c>
      <c r="AB114" s="23">
        <f>EXP(-LN(2)/2)*AB113+(1-EXP(-LN(2)/2))/(LN(2)/2)*V114*Y114*VLOOKUP('Données projet'!$B$9,Paramètres!$A$1:$I$88,3,0)*0.475*44/12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projet'!$B$10,Paramètres!$A$1:$I$88,3,0)*VLOOKUP('Données projet'!$B$10,Paramètres!$A$1:$I$88,5,0)</f>
        <v>-6.1186256061773749E-14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179.61236179838011</v>
      </c>
      <c r="AO114" s="62">
        <f t="shared" si="90"/>
        <v>186.66130555850333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0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projet'!$B$11,Paramètres!$A$1:$I$88,3,0)*VLOOKUP('Données projet'!$B$11,Paramètres!$A$1:$I$88,5,0)</f>
        <v>-5.3205440053716299E-14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335.00873408144395</v>
      </c>
      <c r="BJ114" s="62">
        <f t="shared" si="92"/>
        <v>106.28577694955948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0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projet'!$B$12,Paramètres!$A$1:$I$88,3,0)*VLOOKUP('Données projet'!$B$12,Paramètres!$A$1:$I$88,5,0)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136.47709057888358</v>
      </c>
      <c r="CE114" s="62">
        <f t="shared" si="94"/>
        <v>99.705248792886493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0</v>
      </c>
      <c r="CL114" s="23">
        <f>EXP(-LN(2)/25)*CL113+(1-EXP(-LN(2)/25))/(LN(2)/25)*Calculateur!CG114*Calculateur!CI114*VLOOKUP('Données projet'!$B$12,Paramètres!$A$1:$I$88,3,0)*0.475*44/12</f>
        <v>0</v>
      </c>
      <c r="CM114" s="23">
        <f>EXP(-LN(2)/2)*CM113+(1-EXP(-LN(2)/2))/(LN(2)/2)*CG114*CJ114*VLOOKUP('Données projet'!$B$12,Paramètres!$A$1:$I$88,3,0)*0.475*44/12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projet'!$B$13,Paramètres!$A$1:$I$88,3,0)*VLOOKUP('Données projet'!$B$13,Paramètres!$A$1:$I$88,5,0)</f>
        <v>5.4683368944097308E-14</v>
      </c>
      <c r="CV114" s="14">
        <f t="shared" si="95"/>
        <v>8.8129432816788268E-13</v>
      </c>
      <c r="CW114" s="22">
        <f t="shared" si="67"/>
        <v>1.6301611558033651E-12</v>
      </c>
      <c r="CX114" s="62">
        <f t="shared" si="68"/>
        <v>293.33333333333496</v>
      </c>
      <c r="CY114" s="62">
        <f ca="1">AVERAGE(OFFSET($CX$3,0,0,'Données projet'!$E$13+1,1))-AVERAGE(OFFSET($H$3,0,0,'Données projet'!$E$13+1,1))</f>
        <v>205.01234521498333</v>
      </c>
      <c r="CZ114" s="62">
        <f t="shared" si="96"/>
        <v>100.26042113972852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projet'!$B$13,Paramètres!$A$1:$I$88,3,0)*0.475*44/12</f>
        <v>0</v>
      </c>
      <c r="DG114" s="23">
        <f>EXP(-LN(2)/25)*DG113+(1-EXP(-LN(2)/25))/(LN(2)/25)*Calculateur!DB114*Calculateur!DD114*VLOOKUP('Données projet'!$B$13,Paramètres!$A$1:$I$88,3,0)*0.475*44/12</f>
        <v>0</v>
      </c>
      <c r="DH114" s="23">
        <f>EXP(-LN(2)/2)*DH113+(1-EXP(-LN(2)/2))/(LN(2)/2)*DB114*DE114*VLOOKUP('Données projet'!$B$13,Paramètres!$A$1:$I$88,3,0)*0.475*44/12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32.760000000000034</v>
      </c>
      <c r="D115" s="12">
        <f t="shared" si="86"/>
        <v>10.057960571603438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330.52460792114965</v>
      </c>
      <c r="H115" s="70">
        <f t="shared" si="56"/>
        <v>367.90794799554271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-5.6843418860808015E-14</v>
      </c>
      <c r="O115" s="14">
        <f>N115*VLOOKUP('Données projet'!$B$9,Paramètres!$A$1:$I$88,3,0)*VLOOKUP('Données projet'!$B$9,Paramètres!$A$1:$I$88,5,0)</f>
        <v>-5.7639226724859328E-14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167.90363814107491</v>
      </c>
      <c r="T115" s="62">
        <f t="shared" si="88"/>
        <v>174.92847878212234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0</v>
      </c>
      <c r="AB115" s="23">
        <f>EXP(-LN(2)/2)*AB114+(1-EXP(-LN(2)/2))/(LN(2)/2)*V115*Y115*VLOOKUP('Données projet'!$B$9,Paramètres!$A$1:$I$88,3,0)*0.475*44/12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projet'!$B$10,Paramètres!$A$1:$I$88,3,0)*VLOOKUP('Données projet'!$B$10,Paramètres!$A$1:$I$88,5,0)</f>
        <v>-6.1186256061773749E-14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179.61236179838011</v>
      </c>
      <c r="AO115" s="62">
        <f t="shared" si="90"/>
        <v>186.66130555850333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0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projet'!$B$11,Paramètres!$A$1:$I$88,3,0)*VLOOKUP('Données projet'!$B$11,Paramètres!$A$1:$I$88,5,0)</f>
        <v>-5.3205440053716299E-14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335.00873408144395</v>
      </c>
      <c r="BJ115" s="62">
        <f t="shared" si="92"/>
        <v>106.28577694955948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0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projet'!$B$12,Paramètres!$A$1:$I$88,3,0)*VLOOKUP('Données projet'!$B$12,Paramètres!$A$1:$I$88,5,0)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136.47709057888358</v>
      </c>
      <c r="CE115" s="62">
        <f t="shared" si="94"/>
        <v>99.705248792886493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0</v>
      </c>
      <c r="CL115" s="23">
        <f>EXP(-LN(2)/25)*CL114+(1-EXP(-LN(2)/25))/(LN(2)/25)*Calculateur!CG115*Calculateur!CI115*VLOOKUP('Données projet'!$B$12,Paramètres!$A$1:$I$88,3,0)*0.475*44/12</f>
        <v>0</v>
      </c>
      <c r="CM115" s="23">
        <f>EXP(-LN(2)/2)*CM114+(1-EXP(-LN(2)/2))/(LN(2)/2)*CG115*CJ115*VLOOKUP('Données projet'!$B$12,Paramètres!$A$1:$I$88,3,0)*0.475*44/12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projet'!$B$13,Paramètres!$A$1:$I$88,3,0)*VLOOKUP('Données projet'!$B$13,Paramètres!$A$1:$I$88,5,0)</f>
        <v>5.4683368944097308E-14</v>
      </c>
      <c r="CV115" s="14">
        <f t="shared" si="95"/>
        <v>8.8129432816788268E-13</v>
      </c>
      <c r="CW115" s="22">
        <f t="shared" si="67"/>
        <v>1.6301611558033651E-12</v>
      </c>
      <c r="CX115" s="62">
        <f t="shared" si="68"/>
        <v>293.33333333333496</v>
      </c>
      <c r="CY115" s="62">
        <f ca="1">AVERAGE(OFFSET($CX$3,0,0,'Données projet'!$E$13+1,1))-AVERAGE(OFFSET($H$3,0,0,'Données projet'!$E$13+1,1))</f>
        <v>205.01234521498333</v>
      </c>
      <c r="CZ115" s="62">
        <f t="shared" si="96"/>
        <v>100.26042113972852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projet'!$B$13,Paramètres!$A$1:$I$88,3,0)*0.475*44/12</f>
        <v>0</v>
      </c>
      <c r="DG115" s="23">
        <f>EXP(-LN(2)/25)*DG114+(1-EXP(-LN(2)/25))/(LN(2)/25)*Calculateur!DB115*Calculateur!DD115*VLOOKUP('Données projet'!$B$13,Paramètres!$A$1:$I$88,3,0)*0.475*44/12</f>
        <v>0</v>
      </c>
      <c r="DH115" s="23">
        <f>EXP(-LN(2)/2)*DH114+(1-EXP(-LN(2)/2))/(LN(2)/2)*DB115*DE115*VLOOKUP('Données projet'!$B$13,Paramètres!$A$1:$I$88,3,0)*0.475*44/12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33.05250000000003</v>
      </c>
      <c r="D116" s="12">
        <f t="shared" si="86"/>
        <v>10.137269598890665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333.39471269319131</v>
      </c>
      <c r="H116" s="70">
        <f t="shared" si="56"/>
        <v>368.55551538473458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-5.6843418860808015E-14</v>
      </c>
      <c r="O116" s="14">
        <f>N116*VLOOKUP('Données projet'!$B$9,Paramètres!$A$1:$I$88,3,0)*VLOOKUP('Données projet'!$B$9,Paramètres!$A$1:$I$88,5,0)</f>
        <v>-5.7639226724859328E-14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167.90363814107491</v>
      </c>
      <c r="T116" s="62">
        <f t="shared" si="88"/>
        <v>174.92847878212234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0</v>
      </c>
      <c r="AB116" s="23">
        <f>EXP(-LN(2)/2)*AB115+(1-EXP(-LN(2)/2))/(LN(2)/2)*V116*Y116*VLOOKUP('Données projet'!$B$9,Paramètres!$A$1:$I$88,3,0)*0.475*44/12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projet'!$B$10,Paramètres!$A$1:$I$88,3,0)*VLOOKUP('Données projet'!$B$10,Paramètres!$A$1:$I$88,5,0)</f>
        <v>-6.1186256061773749E-14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179.61236179838011</v>
      </c>
      <c r="AO116" s="62">
        <f t="shared" si="90"/>
        <v>186.66130555850333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0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projet'!$B$11,Paramètres!$A$1:$I$88,3,0)*VLOOKUP('Données projet'!$B$11,Paramètres!$A$1:$I$88,5,0)</f>
        <v>-5.3205440053716299E-14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335.00873408144395</v>
      </c>
      <c r="BJ116" s="62">
        <f t="shared" si="92"/>
        <v>106.28577694955948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0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projet'!$B$12,Paramètres!$A$1:$I$88,3,0)*VLOOKUP('Données projet'!$B$12,Paramètres!$A$1:$I$88,5,0)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136.47709057888358</v>
      </c>
      <c r="CE116" s="62">
        <f t="shared" si="94"/>
        <v>99.705248792886493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0</v>
      </c>
      <c r="CL116" s="23">
        <f>EXP(-LN(2)/25)*CL115+(1-EXP(-LN(2)/25))/(LN(2)/25)*Calculateur!CG116*Calculateur!CI116*VLOOKUP('Données projet'!$B$12,Paramètres!$A$1:$I$88,3,0)*0.475*44/12</f>
        <v>0</v>
      </c>
      <c r="CM116" s="23">
        <f>EXP(-LN(2)/2)*CM115+(1-EXP(-LN(2)/2))/(LN(2)/2)*CG116*CJ116*VLOOKUP('Données projet'!$B$12,Paramètres!$A$1:$I$88,3,0)*0.475*44/12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projet'!$B$13,Paramètres!$A$1:$I$88,3,0)*VLOOKUP('Données projet'!$B$13,Paramètres!$A$1:$I$88,5,0)</f>
        <v>5.4683368944097308E-14</v>
      </c>
      <c r="CV116" s="14">
        <f t="shared" si="95"/>
        <v>8.8129432816788268E-13</v>
      </c>
      <c r="CW116" s="22">
        <f t="shared" si="67"/>
        <v>1.6301611558033651E-12</v>
      </c>
      <c r="CX116" s="62">
        <f t="shared" si="68"/>
        <v>293.33333333333496</v>
      </c>
      <c r="CY116" s="62">
        <f ca="1">AVERAGE(OFFSET($CX$3,0,0,'Données projet'!$E$13+1,1))-AVERAGE(OFFSET($H$3,0,0,'Données projet'!$E$13+1,1))</f>
        <v>205.01234521498333</v>
      </c>
      <c r="CZ116" s="62">
        <f t="shared" si="96"/>
        <v>100.26042113972852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projet'!$B$13,Paramètres!$A$1:$I$88,3,0)*0.475*44/12</f>
        <v>0</v>
      </c>
      <c r="DG116" s="23">
        <f>EXP(-LN(2)/25)*DG115+(1-EXP(-LN(2)/25))/(LN(2)/25)*Calculateur!DB116*Calculateur!DD116*VLOOKUP('Données projet'!$B$13,Paramètres!$A$1:$I$88,3,0)*0.475*44/12</f>
        <v>0</v>
      </c>
      <c r="DH116" s="23">
        <f>EXP(-LN(2)/2)*DH115+(1-EXP(-LN(2)/2))/(LN(2)/2)*DB116*DE116*VLOOKUP('Données projet'!$B$13,Paramètres!$A$1:$I$88,3,0)*0.475*44/12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33.345000000000027</v>
      </c>
      <c r="D117" s="12">
        <f t="shared" si="86"/>
        <v>10.216496971796293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336.26418715070844</v>
      </c>
      <c r="H117" s="70">
        <f t="shared" si="56"/>
        <v>369.20294055921192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-5.6843418860808015E-14</v>
      </c>
      <c r="O117" s="14">
        <f>N117*VLOOKUP('Données projet'!$B$9,Paramètres!$A$1:$I$88,3,0)*VLOOKUP('Données projet'!$B$9,Paramètres!$A$1:$I$88,5,0)</f>
        <v>-5.7639226724859328E-14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167.90363814107491</v>
      </c>
      <c r="T117" s="62">
        <f t="shared" si="88"/>
        <v>174.92847878212234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0</v>
      </c>
      <c r="AB117" s="23">
        <f>EXP(-LN(2)/2)*AB116+(1-EXP(-LN(2)/2))/(LN(2)/2)*V117*Y117*VLOOKUP('Données projet'!$B$9,Paramètres!$A$1:$I$88,3,0)*0.475*44/12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projet'!$B$10,Paramètres!$A$1:$I$88,3,0)*VLOOKUP('Données projet'!$B$10,Paramètres!$A$1:$I$88,5,0)</f>
        <v>-6.1186256061773749E-14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179.61236179838011</v>
      </c>
      <c r="AO117" s="62">
        <f t="shared" si="90"/>
        <v>186.66130555850333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0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projet'!$B$11,Paramètres!$A$1:$I$88,3,0)*VLOOKUP('Données projet'!$B$11,Paramètres!$A$1:$I$88,5,0)</f>
        <v>-5.3205440053716299E-14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335.00873408144395</v>
      </c>
      <c r="BJ117" s="62">
        <f t="shared" si="92"/>
        <v>106.28577694955948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0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projet'!$B$12,Paramètres!$A$1:$I$88,3,0)*VLOOKUP('Données projet'!$B$12,Paramètres!$A$1:$I$88,5,0)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136.47709057888358</v>
      </c>
      <c r="CE117" s="62">
        <f t="shared" si="94"/>
        <v>99.705248792886493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0</v>
      </c>
      <c r="CL117" s="23">
        <f>EXP(-LN(2)/25)*CL116+(1-EXP(-LN(2)/25))/(LN(2)/25)*Calculateur!CG117*Calculateur!CI117*VLOOKUP('Données projet'!$B$12,Paramètres!$A$1:$I$88,3,0)*0.475*44/12</f>
        <v>0</v>
      </c>
      <c r="CM117" s="23">
        <f>EXP(-LN(2)/2)*CM116+(1-EXP(-LN(2)/2))/(LN(2)/2)*CG117*CJ117*VLOOKUP('Données projet'!$B$12,Paramètres!$A$1:$I$88,3,0)*0.475*44/12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projet'!$B$13,Paramètres!$A$1:$I$88,3,0)*VLOOKUP('Données projet'!$B$13,Paramètres!$A$1:$I$88,5,0)</f>
        <v>5.4683368944097308E-14</v>
      </c>
      <c r="CV117" s="14">
        <f t="shared" si="95"/>
        <v>8.8129432816788268E-13</v>
      </c>
      <c r="CW117" s="22">
        <f t="shared" si="67"/>
        <v>1.6301611558033651E-12</v>
      </c>
      <c r="CX117" s="62">
        <f t="shared" si="68"/>
        <v>293.33333333333496</v>
      </c>
      <c r="CY117" s="62">
        <f ca="1">AVERAGE(OFFSET($CX$3,0,0,'Données projet'!$E$13+1,1))-AVERAGE(OFFSET($H$3,0,0,'Données projet'!$E$13+1,1))</f>
        <v>205.01234521498333</v>
      </c>
      <c r="CZ117" s="62">
        <f t="shared" si="96"/>
        <v>100.26042113972852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projet'!$B$13,Paramètres!$A$1:$I$88,3,0)*0.475*44/12</f>
        <v>0</v>
      </c>
      <c r="DG117" s="23">
        <f>EXP(-LN(2)/25)*DG116+(1-EXP(-LN(2)/25))/(LN(2)/25)*Calculateur!DB117*Calculateur!DD117*VLOOKUP('Données projet'!$B$13,Paramètres!$A$1:$I$88,3,0)*0.475*44/12</f>
        <v>0</v>
      </c>
      <c r="DH117" s="23">
        <f>EXP(-LN(2)/2)*DH116+(1-EXP(-LN(2)/2))/(LN(2)/2)*DB117*DE117*VLOOKUP('Données projet'!$B$13,Paramètres!$A$1:$I$88,3,0)*0.475*44/12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33.637500000000024</v>
      </c>
      <c r="D118" s="12">
        <f t="shared" si="86"/>
        <v>10.295643489572726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339.13303746336862</v>
      </c>
      <c r="H118" s="70">
        <f t="shared" si="56"/>
        <v>369.85022491100585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-5.6843418860808015E-14</v>
      </c>
      <c r="O118" s="14">
        <f>N118*VLOOKUP('Données projet'!$B$9,Paramètres!$A$1:$I$88,3,0)*VLOOKUP('Données projet'!$B$9,Paramètres!$A$1:$I$88,5,0)</f>
        <v>-5.7639226724859328E-14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167.90363814107491</v>
      </c>
      <c r="T118" s="62">
        <f t="shared" si="88"/>
        <v>174.92847878212234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</v>
      </c>
      <c r="AB118" s="23">
        <f>EXP(-LN(2)/2)*AB117+(1-EXP(-LN(2)/2))/(LN(2)/2)*V118*Y118*VLOOKUP('Données projet'!$B$9,Paramètres!$A$1:$I$88,3,0)*0.475*44/12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projet'!$B$10,Paramètres!$A$1:$I$88,3,0)*VLOOKUP('Données projet'!$B$10,Paramètres!$A$1:$I$88,5,0)</f>
        <v>-6.1186256061773749E-14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179.61236179838011</v>
      </c>
      <c r="AO118" s="62">
        <f t="shared" si="90"/>
        <v>186.66130555850333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0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projet'!$B$11,Paramètres!$A$1:$I$88,3,0)*VLOOKUP('Données projet'!$B$11,Paramètres!$A$1:$I$88,5,0)</f>
        <v>-5.3205440053716299E-14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335.00873408144395</v>
      </c>
      <c r="BJ118" s="62">
        <f t="shared" si="92"/>
        <v>106.28577694955948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0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projet'!$B$12,Paramètres!$A$1:$I$88,3,0)*VLOOKUP('Données projet'!$B$12,Paramètres!$A$1:$I$88,5,0)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136.47709057888358</v>
      </c>
      <c r="CE118" s="62">
        <f t="shared" si="94"/>
        <v>99.705248792886493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0</v>
      </c>
      <c r="CL118" s="23">
        <f>EXP(-LN(2)/25)*CL117+(1-EXP(-LN(2)/25))/(LN(2)/25)*Calculateur!CG118*Calculateur!CI118*VLOOKUP('Données projet'!$B$12,Paramètres!$A$1:$I$88,3,0)*0.475*44/12</f>
        <v>0</v>
      </c>
      <c r="CM118" s="23">
        <f>EXP(-LN(2)/2)*CM117+(1-EXP(-LN(2)/2))/(LN(2)/2)*CG118*CJ118*VLOOKUP('Données projet'!$B$12,Paramètres!$A$1:$I$88,3,0)*0.475*44/12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projet'!$B$13,Paramètres!$A$1:$I$88,3,0)*VLOOKUP('Données projet'!$B$13,Paramètres!$A$1:$I$88,5,0)</f>
        <v>5.4683368944097308E-14</v>
      </c>
      <c r="CV118" s="14">
        <f t="shared" si="95"/>
        <v>8.8129432816788268E-13</v>
      </c>
      <c r="CW118" s="22">
        <f t="shared" si="67"/>
        <v>1.6301611558033651E-12</v>
      </c>
      <c r="CX118" s="62">
        <f t="shared" si="68"/>
        <v>293.33333333333496</v>
      </c>
      <c r="CY118" s="62">
        <f ca="1">AVERAGE(OFFSET($CX$3,0,0,'Données projet'!$E$13+1,1))-AVERAGE(OFFSET($H$3,0,0,'Données projet'!$E$13+1,1))</f>
        <v>205.01234521498333</v>
      </c>
      <c r="CZ118" s="62">
        <f t="shared" si="96"/>
        <v>100.26042113972852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projet'!$B$13,Paramètres!$A$1:$I$88,3,0)*0.475*44/12</f>
        <v>0</v>
      </c>
      <c r="DG118" s="23">
        <f>EXP(-LN(2)/25)*DG117+(1-EXP(-LN(2)/25))/(LN(2)/25)*Calculateur!DB118*Calculateur!DD118*VLOOKUP('Données projet'!$B$13,Paramètres!$A$1:$I$88,3,0)*0.475*44/12</f>
        <v>0</v>
      </c>
      <c r="DH118" s="23">
        <f>EXP(-LN(2)/2)*DH117+(1-EXP(-LN(2)/2))/(LN(2)/2)*DB118*DE118*VLOOKUP('Données projet'!$B$13,Paramètres!$A$1:$I$88,3,0)*0.475*44/12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33.930000000000021</v>
      </c>
      <c r="D119" s="12">
        <f t="shared" si="86"/>
        <v>10.374709936770239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342.00126968734935</v>
      </c>
      <c r="H119" s="70">
        <f t="shared" si="56"/>
        <v>370.49736980654149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projet'!$B$9,Paramètres!$A$1:$I$88,3,0)*VLOOKUP('Données projet'!$B$9,Paramètres!$A$1:$I$88,5,0)</f>
        <v>-5.7639226724859328E-14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167.90363814107491</v>
      </c>
      <c r="T119" s="62">
        <f t="shared" si="88"/>
        <v>174.92847878212234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</v>
      </c>
      <c r="AB119" s="23">
        <f>EXP(-LN(2)/2)*AB118+(1-EXP(-LN(2)/2))/(LN(2)/2)*V119*Y119*VLOOKUP('Données projet'!$B$9,Paramètres!$A$1:$I$88,3,0)*0.475*44/12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projet'!$B$10,Paramètres!$A$1:$I$88,3,0)*VLOOKUP('Données projet'!$B$10,Paramètres!$A$1:$I$88,5,0)</f>
        <v>-6.1186256061773749E-14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179.61236179838011</v>
      </c>
      <c r="AO119" s="62">
        <f t="shared" si="90"/>
        <v>186.66130555850333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0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projet'!$B$11,Paramètres!$A$1:$I$88,3,0)*VLOOKUP('Données projet'!$B$11,Paramètres!$A$1:$I$88,5,0)</f>
        <v>-5.3205440053716299E-14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335.00873408144395</v>
      </c>
      <c r="BJ119" s="62">
        <f t="shared" si="92"/>
        <v>106.28577694955948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0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projet'!$B$12,Paramètres!$A$1:$I$88,3,0)*VLOOKUP('Données projet'!$B$12,Paramètres!$A$1:$I$88,5,0)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136.47709057888358</v>
      </c>
      <c r="CE119" s="62">
        <f t="shared" si="94"/>
        <v>99.705248792886493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0</v>
      </c>
      <c r="CL119" s="23">
        <f>EXP(-LN(2)/25)*CL118+(1-EXP(-LN(2)/25))/(LN(2)/25)*Calculateur!CG119*Calculateur!CI119*VLOOKUP('Données projet'!$B$12,Paramètres!$A$1:$I$88,3,0)*0.475*44/12</f>
        <v>0</v>
      </c>
      <c r="CM119" s="23">
        <f>EXP(-LN(2)/2)*CM118+(1-EXP(-LN(2)/2))/(LN(2)/2)*CG119*CJ119*VLOOKUP('Données projet'!$B$12,Paramètres!$A$1:$I$88,3,0)*0.475*44/12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projet'!$B$13,Paramètres!$A$1:$I$88,3,0)*VLOOKUP('Données projet'!$B$13,Paramètres!$A$1:$I$88,5,0)</f>
        <v>5.4683368944097308E-14</v>
      </c>
      <c r="CV119" s="14">
        <f t="shared" si="95"/>
        <v>8.8129432816788268E-13</v>
      </c>
      <c r="CW119" s="22">
        <f t="shared" si="67"/>
        <v>1.6301611558033651E-12</v>
      </c>
      <c r="CX119" s="62">
        <f t="shared" si="68"/>
        <v>293.33333333333496</v>
      </c>
      <c r="CY119" s="62">
        <f ca="1">AVERAGE(OFFSET($CX$3,0,0,'Données projet'!$E$13+1,1))-AVERAGE(OFFSET($H$3,0,0,'Données projet'!$E$13+1,1))</f>
        <v>205.01234521498333</v>
      </c>
      <c r="CZ119" s="62">
        <f t="shared" si="96"/>
        <v>100.26042113972852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projet'!$B$13,Paramètres!$A$1:$I$88,3,0)*0.475*44/12</f>
        <v>0</v>
      </c>
      <c r="DG119" s="23">
        <f>EXP(-LN(2)/25)*DG118+(1-EXP(-LN(2)/25))/(LN(2)/25)*Calculateur!DB119*Calculateur!DD119*VLOOKUP('Données projet'!$B$13,Paramètres!$A$1:$I$88,3,0)*0.475*44/12</f>
        <v>0</v>
      </c>
      <c r="DH119" s="23">
        <f>EXP(-LN(2)/2)*DH118+(1-EXP(-LN(2)/2))/(LN(2)/2)*DB119*DE119*VLOOKUP('Données projet'!$B$13,Paramètres!$A$1:$I$88,3,0)*0.475*44/12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34.222500000000018</v>
      </c>
      <c r="D120" s="12">
        <f t="shared" si="86"/>
        <v>10.453697083631777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344.86888976838577</v>
      </c>
      <c r="H120" s="70">
        <f t="shared" si="56"/>
        <v>371.14437658732533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projet'!$B$9,Paramètres!$A$1:$I$88,3,0)*VLOOKUP('Données projet'!$B$9,Paramètres!$A$1:$I$88,5,0)</f>
        <v>-5.7639226724859328E-14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167.90363814107491</v>
      </c>
      <c r="T120" s="62">
        <f t="shared" si="88"/>
        <v>174.92847878212234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</v>
      </c>
      <c r="AB120" s="23">
        <f>EXP(-LN(2)/2)*AB119+(1-EXP(-LN(2)/2))/(LN(2)/2)*V120*Y120*VLOOKUP('Données projet'!$B$9,Paramètres!$A$1:$I$88,3,0)*0.475*44/12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projet'!$B$10,Paramètres!$A$1:$I$88,3,0)*VLOOKUP('Données projet'!$B$10,Paramètres!$A$1:$I$88,5,0)</f>
        <v>-6.1186256061773749E-14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179.61236179838011</v>
      </c>
      <c r="AO120" s="62">
        <f t="shared" si="90"/>
        <v>186.66130555850333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0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projet'!$B$11,Paramètres!$A$1:$I$88,3,0)*VLOOKUP('Données projet'!$B$11,Paramètres!$A$1:$I$88,5,0)</f>
        <v>-5.3205440053716299E-14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335.00873408144395</v>
      </c>
      <c r="BJ120" s="62">
        <f t="shared" si="92"/>
        <v>106.28577694955948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0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projet'!$B$12,Paramètres!$A$1:$I$88,3,0)*VLOOKUP('Données projet'!$B$12,Paramètres!$A$1:$I$88,5,0)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136.47709057888358</v>
      </c>
      <c r="CE120" s="62">
        <f t="shared" si="94"/>
        <v>99.705248792886493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0</v>
      </c>
      <c r="CL120" s="23">
        <f>EXP(-LN(2)/25)*CL119+(1-EXP(-LN(2)/25))/(LN(2)/25)*Calculateur!CG120*Calculateur!CI120*VLOOKUP('Données projet'!$B$12,Paramètres!$A$1:$I$88,3,0)*0.475*44/12</f>
        <v>0</v>
      </c>
      <c r="CM120" s="23">
        <f>EXP(-LN(2)/2)*CM119+(1-EXP(-LN(2)/2))/(LN(2)/2)*CG120*CJ120*VLOOKUP('Données projet'!$B$12,Paramètres!$A$1:$I$88,3,0)*0.475*44/12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projet'!$B$13,Paramètres!$A$1:$I$88,3,0)*VLOOKUP('Données projet'!$B$13,Paramètres!$A$1:$I$88,5,0)</f>
        <v>5.4683368944097308E-14</v>
      </c>
      <c r="CV120" s="14">
        <f t="shared" si="95"/>
        <v>8.8129432816788268E-13</v>
      </c>
      <c r="CW120" s="22">
        <f t="shared" si="67"/>
        <v>1.6301611558033651E-12</v>
      </c>
      <c r="CX120" s="62">
        <f t="shared" si="68"/>
        <v>293.33333333333496</v>
      </c>
      <c r="CY120" s="62">
        <f ca="1">AVERAGE(OFFSET($CX$3,0,0,'Données projet'!$E$13+1,1))-AVERAGE(OFFSET($H$3,0,0,'Données projet'!$E$13+1,1))</f>
        <v>205.01234521498333</v>
      </c>
      <c r="CZ120" s="62">
        <f t="shared" si="96"/>
        <v>100.26042113972852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projet'!$B$13,Paramètres!$A$1:$I$88,3,0)*0.475*44/12</f>
        <v>0</v>
      </c>
      <c r="DG120" s="23">
        <f>EXP(-LN(2)/25)*DG119+(1-EXP(-LN(2)/25))/(LN(2)/25)*Calculateur!DB120*Calculateur!DD120*VLOOKUP('Données projet'!$B$13,Paramètres!$A$1:$I$88,3,0)*0.475*44/12</f>
        <v>0</v>
      </c>
      <c r="DH120" s="23">
        <f>EXP(-LN(2)/2)*DH119+(1-EXP(-LN(2)/2))/(LN(2)/2)*DB120*DE120*VLOOKUP('Données projet'!$B$13,Paramètres!$A$1:$I$88,3,0)*0.475*44/12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34.515000000000015</v>
      </c>
      <c r="D121" s="12">
        <f t="shared" si="86"/>
        <v>10.532605686473875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347.73590354471071</v>
      </c>
      <c r="H121" s="70">
        <f t="shared" si="56"/>
        <v>371.79124657060868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projet'!$B$9,Paramètres!$A$1:$I$88,3,0)*VLOOKUP('Données projet'!$B$9,Paramètres!$A$1:$I$88,5,0)</f>
        <v>-5.7639226724859328E-14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167.90363814107491</v>
      </c>
      <c r="T121" s="62">
        <f t="shared" si="88"/>
        <v>174.92847878212234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</v>
      </c>
      <c r="AB121" s="23">
        <f>EXP(-LN(2)/2)*AB120+(1-EXP(-LN(2)/2))/(LN(2)/2)*V121*Y121*VLOOKUP('Données projet'!$B$9,Paramètres!$A$1:$I$88,3,0)*0.475*44/12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projet'!$B$10,Paramètres!$A$1:$I$88,3,0)*VLOOKUP('Données projet'!$B$10,Paramètres!$A$1:$I$88,5,0)</f>
        <v>-6.1186256061773749E-14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179.61236179838011</v>
      </c>
      <c r="AO121" s="62">
        <f t="shared" si="90"/>
        <v>186.66130555850333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0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projet'!$B$11,Paramètres!$A$1:$I$88,3,0)*VLOOKUP('Données projet'!$B$11,Paramètres!$A$1:$I$88,5,0)</f>
        <v>-5.3205440053716299E-14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335.00873408144395</v>
      </c>
      <c r="BJ121" s="62">
        <f t="shared" si="92"/>
        <v>106.28577694955948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0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projet'!$B$12,Paramètres!$A$1:$I$88,3,0)*VLOOKUP('Données projet'!$B$12,Paramètres!$A$1:$I$88,5,0)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136.47709057888358</v>
      </c>
      <c r="CE121" s="62">
        <f t="shared" si="94"/>
        <v>99.705248792886493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0</v>
      </c>
      <c r="CL121" s="23">
        <f>EXP(-LN(2)/25)*CL120+(1-EXP(-LN(2)/25))/(LN(2)/25)*Calculateur!CG121*Calculateur!CI121*VLOOKUP('Données projet'!$B$12,Paramètres!$A$1:$I$88,3,0)*0.475*44/12</f>
        <v>0</v>
      </c>
      <c r="CM121" s="23">
        <f>EXP(-LN(2)/2)*CM120+(1-EXP(-LN(2)/2))/(LN(2)/2)*CG121*CJ121*VLOOKUP('Données projet'!$B$12,Paramètres!$A$1:$I$88,3,0)*0.475*44/12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projet'!$B$13,Paramètres!$A$1:$I$88,3,0)*VLOOKUP('Données projet'!$B$13,Paramètres!$A$1:$I$88,5,0)</f>
        <v>5.4683368944097308E-14</v>
      </c>
      <c r="CV121" s="14">
        <f t="shared" si="95"/>
        <v>8.8129432816788268E-13</v>
      </c>
      <c r="CW121" s="22">
        <f t="shared" si="67"/>
        <v>1.6301611558033651E-12</v>
      </c>
      <c r="CX121" s="62">
        <f t="shared" si="68"/>
        <v>293.33333333333496</v>
      </c>
      <c r="CY121" s="62">
        <f ca="1">AVERAGE(OFFSET($CX$3,0,0,'Données projet'!$E$13+1,1))-AVERAGE(OFFSET($H$3,0,0,'Données projet'!$E$13+1,1))</f>
        <v>205.01234521498333</v>
      </c>
      <c r="CZ121" s="62">
        <f t="shared" si="96"/>
        <v>100.26042113972852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projet'!$B$13,Paramètres!$A$1:$I$88,3,0)*0.475*44/12</f>
        <v>0</v>
      </c>
      <c r="DG121" s="23">
        <f>EXP(-LN(2)/25)*DG120+(1-EXP(-LN(2)/25))/(LN(2)/25)*Calculateur!DB121*Calculateur!DD121*VLOOKUP('Données projet'!$B$13,Paramètres!$A$1:$I$88,3,0)*0.475*44/12</f>
        <v>0</v>
      </c>
      <c r="DH121" s="23">
        <f>EXP(-LN(2)/2)*DH120+(1-EXP(-LN(2)/2))/(LN(2)/2)*DB121*DE121*VLOOKUP('Données projet'!$B$13,Paramètres!$A$1:$I$88,3,0)*0.475*44/12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34.807500000000012</v>
      </c>
      <c r="D122" s="12">
        <f t="shared" si="86"/>
        <v>10.611436488054281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350.60231674989285</v>
      </c>
      <c r="H122" s="70">
        <f t="shared" si="56"/>
        <v>372.43798105002787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projet'!$B$9,Paramètres!$A$1:$I$88,3,0)*VLOOKUP('Données projet'!$B$9,Paramètres!$A$1:$I$88,5,0)</f>
        <v>-5.7639226724859328E-14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167.90363814107491</v>
      </c>
      <c r="T122" s="62">
        <f t="shared" si="88"/>
        <v>174.92847878212234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</v>
      </c>
      <c r="AB122" s="23">
        <f>EXP(-LN(2)/2)*AB121+(1-EXP(-LN(2)/2))/(LN(2)/2)*V122*Y122*VLOOKUP('Données projet'!$B$9,Paramètres!$A$1:$I$88,3,0)*0.475*44/12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projet'!$B$10,Paramètres!$A$1:$I$88,3,0)*VLOOKUP('Données projet'!$B$10,Paramètres!$A$1:$I$88,5,0)</f>
        <v>-6.1186256061773749E-14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179.61236179838011</v>
      </c>
      <c r="AO122" s="62">
        <f t="shared" si="90"/>
        <v>186.66130555850333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0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projet'!$B$11,Paramètres!$A$1:$I$88,3,0)*VLOOKUP('Données projet'!$B$11,Paramètres!$A$1:$I$88,5,0)</f>
        <v>-5.3205440053716299E-14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335.00873408144395</v>
      </c>
      <c r="BJ122" s="62">
        <f t="shared" si="92"/>
        <v>106.28577694955948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0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projet'!$B$12,Paramètres!$A$1:$I$88,3,0)*VLOOKUP('Données projet'!$B$12,Paramètres!$A$1:$I$88,5,0)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136.47709057888358</v>
      </c>
      <c r="CE122" s="62">
        <f t="shared" si="94"/>
        <v>99.705248792886493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0</v>
      </c>
      <c r="CL122" s="23">
        <f>EXP(-LN(2)/25)*CL121+(1-EXP(-LN(2)/25))/(LN(2)/25)*Calculateur!CG122*Calculateur!CI122*VLOOKUP('Données projet'!$B$12,Paramètres!$A$1:$I$88,3,0)*0.475*44/12</f>
        <v>0</v>
      </c>
      <c r="CM122" s="23">
        <f>EXP(-LN(2)/2)*CM121+(1-EXP(-LN(2)/2))/(LN(2)/2)*CG122*CJ122*VLOOKUP('Données projet'!$B$12,Paramètres!$A$1:$I$88,3,0)*0.475*44/12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projet'!$B$13,Paramètres!$A$1:$I$88,3,0)*VLOOKUP('Données projet'!$B$13,Paramètres!$A$1:$I$88,5,0)</f>
        <v>5.4683368944097308E-14</v>
      </c>
      <c r="CV122" s="14">
        <f t="shared" si="95"/>
        <v>8.8129432816788268E-13</v>
      </c>
      <c r="CW122" s="22">
        <f t="shared" si="67"/>
        <v>1.6301611558033651E-12</v>
      </c>
      <c r="CX122" s="62">
        <f t="shared" si="68"/>
        <v>293.33333333333496</v>
      </c>
      <c r="CY122" s="62">
        <f ca="1">AVERAGE(OFFSET($CX$3,0,0,'Données projet'!$E$13+1,1))-AVERAGE(OFFSET($H$3,0,0,'Données projet'!$E$13+1,1))</f>
        <v>205.01234521498333</v>
      </c>
      <c r="CZ122" s="62">
        <f t="shared" si="96"/>
        <v>100.26042113972852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projet'!$B$13,Paramètres!$A$1:$I$88,3,0)*0.475*44/12</f>
        <v>0</v>
      </c>
      <c r="DG122" s="23">
        <f>EXP(-LN(2)/25)*DG121+(1-EXP(-LN(2)/25))/(LN(2)/25)*Calculateur!DB122*Calculateur!DD122*VLOOKUP('Données projet'!$B$13,Paramètres!$A$1:$I$88,3,0)*0.475*44/12</f>
        <v>0</v>
      </c>
      <c r="DH122" s="23">
        <f>EXP(-LN(2)/2)*DH121+(1-EXP(-LN(2)/2))/(LN(2)/2)*DB122*DE122*VLOOKUP('Données projet'!$B$13,Paramètres!$A$1:$I$88,3,0)*0.475*44/12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35.100000000000009</v>
      </c>
      <c r="D123" s="12">
        <f t="shared" si="86"/>
        <v>10.690190217926899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353.46813501557608</v>
      </c>
      <c r="H123" s="70">
        <f t="shared" si="56"/>
        <v>373.08458129622267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projet'!$B$9,Paramètres!$A$1:$I$88,3,0)*VLOOKUP('Données projet'!$B$9,Paramètres!$A$1:$I$88,5,0)</f>
        <v>-5.7639226724859328E-14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167.90363814107491</v>
      </c>
      <c r="T123" s="62">
        <f t="shared" si="88"/>
        <v>174.92847878212234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</v>
      </c>
      <c r="AB123" s="23">
        <f>EXP(-LN(2)/2)*AB122+(1-EXP(-LN(2)/2))/(LN(2)/2)*V123*Y123*VLOOKUP('Données projet'!$B$9,Paramètres!$A$1:$I$88,3,0)*0.475*44/12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projet'!$B$10,Paramètres!$A$1:$I$88,3,0)*VLOOKUP('Données projet'!$B$10,Paramètres!$A$1:$I$88,5,0)</f>
        <v>-6.1186256061773749E-14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179.61236179838011</v>
      </c>
      <c r="AO123" s="62">
        <f t="shared" si="90"/>
        <v>186.66130555850333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0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projet'!$B$11,Paramètres!$A$1:$I$88,3,0)*VLOOKUP('Données projet'!$B$11,Paramètres!$A$1:$I$88,5,0)</f>
        <v>-5.3205440053716299E-14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335.00873408144395</v>
      </c>
      <c r="BJ123" s="62">
        <f t="shared" si="92"/>
        <v>106.28577694955948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0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projet'!$B$12,Paramètres!$A$1:$I$88,3,0)*VLOOKUP('Données projet'!$B$12,Paramètres!$A$1:$I$88,5,0)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136.47709057888358</v>
      </c>
      <c r="CE123" s="62">
        <f t="shared" si="94"/>
        <v>99.705248792886493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0</v>
      </c>
      <c r="CL123" s="23">
        <f>EXP(-LN(2)/25)*CL122+(1-EXP(-LN(2)/25))/(LN(2)/25)*Calculateur!CG123*Calculateur!CI123*VLOOKUP('Données projet'!$B$12,Paramètres!$A$1:$I$88,3,0)*0.475*44/12</f>
        <v>0</v>
      </c>
      <c r="CM123" s="23">
        <f>EXP(-LN(2)/2)*CM122+(1-EXP(-LN(2)/2))/(LN(2)/2)*CG123*CJ123*VLOOKUP('Données projet'!$B$12,Paramètres!$A$1:$I$88,3,0)*0.475*44/12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projet'!$B$13,Paramètres!$A$1:$I$88,3,0)*VLOOKUP('Données projet'!$B$13,Paramètres!$A$1:$I$88,5,0)</f>
        <v>5.4683368944097308E-14</v>
      </c>
      <c r="CV123" s="14">
        <f t="shared" si="95"/>
        <v>8.8129432816788268E-13</v>
      </c>
      <c r="CW123" s="22">
        <f t="shared" si="67"/>
        <v>1.6301611558033651E-12</v>
      </c>
      <c r="CX123" s="62">
        <f t="shared" si="68"/>
        <v>293.33333333333496</v>
      </c>
      <c r="CY123" s="62">
        <f ca="1">AVERAGE(OFFSET($CX$3,0,0,'Données projet'!$E$13+1,1))-AVERAGE(OFFSET($H$3,0,0,'Données projet'!$E$13+1,1))</f>
        <v>205.01234521498333</v>
      </c>
      <c r="CZ123" s="62">
        <f t="shared" si="96"/>
        <v>100.26042113972852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projet'!$B$13,Paramètres!$A$1:$I$88,3,0)*0.475*44/12</f>
        <v>0</v>
      </c>
      <c r="DG123" s="23">
        <f>EXP(-LN(2)/25)*DG122+(1-EXP(-LN(2)/25))/(LN(2)/25)*Calculateur!DB123*Calculateur!DD123*VLOOKUP('Données projet'!$B$13,Paramètres!$A$1:$I$88,3,0)*0.475*44/12</f>
        <v>0</v>
      </c>
      <c r="DH123" s="23">
        <f>EXP(-LN(2)/2)*DH122+(1-EXP(-LN(2)/2))/(LN(2)/2)*DB123*DE123*VLOOKUP('Données projet'!$B$13,Paramètres!$A$1:$I$88,3,0)*0.475*44/12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35.392500000000005</v>
      </c>
      <c r="D124" s="12">
        <f t="shared" si="86"/>
        <v>10.76886759278452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356.33336387412618</v>
      </c>
      <c r="H124" s="70">
        <f t="shared" si="56"/>
        <v>373.73104855743304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projet'!$B$9,Paramètres!$A$1:$I$88,3,0)*VLOOKUP('Données projet'!$B$9,Paramètres!$A$1:$I$88,5,0)</f>
        <v>-5.7639226724859328E-14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167.90363814107491</v>
      </c>
      <c r="T124" s="62">
        <f t="shared" si="88"/>
        <v>174.92847878212234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</v>
      </c>
      <c r="AB124" s="23">
        <f>EXP(-LN(2)/2)*AB123+(1-EXP(-LN(2)/2))/(LN(2)/2)*V124*Y124*VLOOKUP('Données projet'!$B$9,Paramètres!$A$1:$I$88,3,0)*0.475*44/12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projet'!$B$10,Paramètres!$A$1:$I$88,3,0)*VLOOKUP('Données projet'!$B$10,Paramètres!$A$1:$I$88,5,0)</f>
        <v>-6.1186256061773749E-14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179.61236179838011</v>
      </c>
      <c r="AO124" s="62">
        <f t="shared" si="90"/>
        <v>186.66130555850333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0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projet'!$B$11,Paramètres!$A$1:$I$88,3,0)*VLOOKUP('Données projet'!$B$11,Paramètres!$A$1:$I$88,5,0)</f>
        <v>-5.3205440053716299E-14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335.00873408144395</v>
      </c>
      <c r="BJ124" s="62">
        <f t="shared" si="92"/>
        <v>106.28577694955948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0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projet'!$B$12,Paramètres!$A$1:$I$88,3,0)*VLOOKUP('Données projet'!$B$12,Paramètres!$A$1:$I$88,5,0)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136.47709057888358</v>
      </c>
      <c r="CE124" s="62">
        <f t="shared" si="94"/>
        <v>99.705248792886493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0</v>
      </c>
      <c r="CL124" s="23">
        <f>EXP(-LN(2)/25)*CL123+(1-EXP(-LN(2)/25))/(LN(2)/25)*Calculateur!CG124*Calculateur!CI124*VLOOKUP('Données projet'!$B$12,Paramètres!$A$1:$I$88,3,0)*0.475*44/12</f>
        <v>0</v>
      </c>
      <c r="CM124" s="23">
        <f>EXP(-LN(2)/2)*CM123+(1-EXP(-LN(2)/2))/(LN(2)/2)*CG124*CJ124*VLOOKUP('Données projet'!$B$12,Paramètres!$A$1:$I$88,3,0)*0.475*44/12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projet'!$B$13,Paramètres!$A$1:$I$88,3,0)*VLOOKUP('Données projet'!$B$13,Paramètres!$A$1:$I$88,5,0)</f>
        <v>5.4683368944097308E-14</v>
      </c>
      <c r="CV124" s="14">
        <f t="shared" si="95"/>
        <v>8.8129432816788268E-13</v>
      </c>
      <c r="CW124" s="22">
        <f t="shared" si="67"/>
        <v>1.6301611558033651E-12</v>
      </c>
      <c r="CX124" s="62">
        <f t="shared" si="68"/>
        <v>293.33333333333496</v>
      </c>
      <c r="CY124" s="62">
        <f ca="1">AVERAGE(OFFSET($CX$3,0,0,'Données projet'!$E$13+1,1))-AVERAGE(OFFSET($H$3,0,0,'Données projet'!$E$13+1,1))</f>
        <v>205.01234521498333</v>
      </c>
      <c r="CZ124" s="62">
        <f t="shared" si="96"/>
        <v>100.26042113972852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projet'!$B$13,Paramètres!$A$1:$I$88,3,0)*0.475*44/12</f>
        <v>0</v>
      </c>
      <c r="DG124" s="23">
        <f>EXP(-LN(2)/25)*DG123+(1-EXP(-LN(2)/25))/(LN(2)/25)*Calculateur!DB124*Calculateur!DD124*VLOOKUP('Données projet'!$B$13,Paramètres!$A$1:$I$88,3,0)*0.475*44/12</f>
        <v>0</v>
      </c>
      <c r="DH124" s="23">
        <f>EXP(-LN(2)/2)*DH123+(1-EXP(-LN(2)/2))/(LN(2)/2)*DB124*DE124*VLOOKUP('Données projet'!$B$13,Paramètres!$A$1:$I$88,3,0)*0.475*44/12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35.685000000000002</v>
      </c>
      <c r="D125" s="12">
        <f t="shared" si="86"/>
        <v>10.84746931678994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359.19800876118552</v>
      </c>
      <c r="H125" s="70">
        <f t="shared" si="56"/>
        <v>374.37738406007577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projet'!$B$9,Paramètres!$A$1:$I$88,3,0)*VLOOKUP('Données projet'!$B$9,Paramètres!$A$1:$I$88,5,0)</f>
        <v>-5.7639226724859328E-14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167.90363814107491</v>
      </c>
      <c r="T125" s="62">
        <f t="shared" si="88"/>
        <v>174.92847878212234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</v>
      </c>
      <c r="AB125" s="23">
        <f>EXP(-LN(2)/2)*AB124+(1-EXP(-LN(2)/2))/(LN(2)/2)*V125*Y125*VLOOKUP('Données projet'!$B$9,Paramètres!$A$1:$I$88,3,0)*0.475*44/12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projet'!$B$10,Paramètres!$A$1:$I$88,3,0)*VLOOKUP('Données projet'!$B$10,Paramètres!$A$1:$I$88,5,0)</f>
        <v>-6.1186256061773749E-14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179.61236179838011</v>
      </c>
      <c r="AO125" s="62">
        <f t="shared" si="90"/>
        <v>186.66130555850333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0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projet'!$B$11,Paramètres!$A$1:$I$88,3,0)*VLOOKUP('Données projet'!$B$11,Paramètres!$A$1:$I$88,5,0)</f>
        <v>-5.3205440053716299E-14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335.00873408144395</v>
      </c>
      <c r="BJ125" s="62">
        <f t="shared" si="92"/>
        <v>106.28577694955948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0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projet'!$B$12,Paramètres!$A$1:$I$88,3,0)*VLOOKUP('Données projet'!$B$12,Paramètres!$A$1:$I$88,5,0)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136.47709057888358</v>
      </c>
      <c r="CE125" s="62">
        <f t="shared" si="94"/>
        <v>99.705248792886493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0</v>
      </c>
      <c r="CL125" s="23">
        <f>EXP(-LN(2)/25)*CL124+(1-EXP(-LN(2)/25))/(LN(2)/25)*Calculateur!CG125*Calculateur!CI125*VLOOKUP('Données projet'!$B$12,Paramètres!$A$1:$I$88,3,0)*0.475*44/12</f>
        <v>0</v>
      </c>
      <c r="CM125" s="23">
        <f>EXP(-LN(2)/2)*CM124+(1-EXP(-LN(2)/2))/(LN(2)/2)*CG125*CJ125*VLOOKUP('Données projet'!$B$12,Paramètres!$A$1:$I$88,3,0)*0.475*44/12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projet'!$B$13,Paramètres!$A$1:$I$88,3,0)*VLOOKUP('Données projet'!$B$13,Paramètres!$A$1:$I$88,5,0)</f>
        <v>5.4683368944097308E-14</v>
      </c>
      <c r="CV125" s="14">
        <f t="shared" si="95"/>
        <v>8.8129432816788268E-13</v>
      </c>
      <c r="CW125" s="22">
        <f t="shared" si="67"/>
        <v>1.6301611558033651E-12</v>
      </c>
      <c r="CX125" s="62">
        <f t="shared" si="68"/>
        <v>293.33333333333496</v>
      </c>
      <c r="CY125" s="62">
        <f ca="1">AVERAGE(OFFSET($CX$3,0,0,'Données projet'!$E$13+1,1))-AVERAGE(OFFSET($H$3,0,0,'Données projet'!$E$13+1,1))</f>
        <v>205.01234521498333</v>
      </c>
      <c r="CZ125" s="62">
        <f t="shared" si="96"/>
        <v>100.26042113972852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projet'!$B$13,Paramètres!$A$1:$I$88,3,0)*0.475*44/12</f>
        <v>0</v>
      </c>
      <c r="DG125" s="23">
        <f>EXP(-LN(2)/25)*DG124+(1-EXP(-LN(2)/25))/(LN(2)/25)*Calculateur!DB125*Calculateur!DD125*VLOOKUP('Données projet'!$B$13,Paramètres!$A$1:$I$88,3,0)*0.475*44/12</f>
        <v>0</v>
      </c>
      <c r="DH125" s="23">
        <f>EXP(-LN(2)/2)*DH124+(1-EXP(-LN(2)/2))/(LN(2)/2)*DB125*DE125*VLOOKUP('Données projet'!$B$13,Paramètres!$A$1:$I$88,3,0)*0.475*44/12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35.977499999999999</v>
      </c>
      <c r="D126" s="12">
        <f t="shared" si="86"/>
        <v>10.925996081895876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362.06207501814362</v>
      </c>
      <c r="H126" s="70">
        <f t="shared" si="56"/>
        <v>375.02358900930199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projet'!$B$9,Paramètres!$A$1:$I$88,3,0)*VLOOKUP('Données projet'!$B$9,Paramètres!$A$1:$I$88,5,0)</f>
        <v>-5.7639226724859328E-14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167.90363814107491</v>
      </c>
      <c r="T126" s="62">
        <f t="shared" si="88"/>
        <v>174.92847878212234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</v>
      </c>
      <c r="AB126" s="23">
        <f>EXP(-LN(2)/2)*AB125+(1-EXP(-LN(2)/2))/(LN(2)/2)*V126*Y126*VLOOKUP('Données projet'!$B$9,Paramètres!$A$1:$I$88,3,0)*0.475*44/12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projet'!$B$10,Paramètres!$A$1:$I$88,3,0)*VLOOKUP('Données projet'!$B$10,Paramètres!$A$1:$I$88,5,0)</f>
        <v>-6.1186256061773749E-14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179.61236179838011</v>
      </c>
      <c r="AO126" s="62">
        <f t="shared" si="90"/>
        <v>186.66130555850333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0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projet'!$B$11,Paramètres!$A$1:$I$88,3,0)*VLOOKUP('Données projet'!$B$11,Paramètres!$A$1:$I$88,5,0)</f>
        <v>-5.3205440053716299E-14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335.00873408144395</v>
      </c>
      <c r="BJ126" s="62">
        <f t="shared" si="92"/>
        <v>106.28577694955948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0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projet'!$B$12,Paramètres!$A$1:$I$88,3,0)*VLOOKUP('Données projet'!$B$12,Paramètres!$A$1:$I$88,5,0)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136.47709057888358</v>
      </c>
      <c r="CE126" s="62">
        <f t="shared" si="94"/>
        <v>99.705248792886493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0</v>
      </c>
      <c r="CL126" s="23">
        <f>EXP(-LN(2)/25)*CL125+(1-EXP(-LN(2)/25))/(LN(2)/25)*Calculateur!CG126*Calculateur!CI126*VLOOKUP('Données projet'!$B$12,Paramètres!$A$1:$I$88,3,0)*0.475*44/12</f>
        <v>0</v>
      </c>
      <c r="CM126" s="23">
        <f>EXP(-LN(2)/2)*CM125+(1-EXP(-LN(2)/2))/(LN(2)/2)*CG126*CJ126*VLOOKUP('Données projet'!$B$12,Paramètres!$A$1:$I$88,3,0)*0.475*44/12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projet'!$B$13,Paramètres!$A$1:$I$88,3,0)*VLOOKUP('Données projet'!$B$13,Paramètres!$A$1:$I$88,5,0)</f>
        <v>5.4683368944097308E-14</v>
      </c>
      <c r="CV126" s="14">
        <f t="shared" si="95"/>
        <v>8.8129432816788268E-13</v>
      </c>
      <c r="CW126" s="22">
        <f t="shared" si="67"/>
        <v>1.6301611558033651E-12</v>
      </c>
      <c r="CX126" s="62">
        <f t="shared" si="68"/>
        <v>293.33333333333496</v>
      </c>
      <c r="CY126" s="62">
        <f ca="1">AVERAGE(OFFSET($CX$3,0,0,'Données projet'!$E$13+1,1))-AVERAGE(OFFSET($H$3,0,0,'Données projet'!$E$13+1,1))</f>
        <v>205.01234521498333</v>
      </c>
      <c r="CZ126" s="62">
        <f t="shared" si="96"/>
        <v>100.26042113972852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projet'!$B$13,Paramètres!$A$1:$I$88,3,0)*0.475*44/12</f>
        <v>0</v>
      </c>
      <c r="DG126" s="23">
        <f>EXP(-LN(2)/25)*DG125+(1-EXP(-LN(2)/25))/(LN(2)/25)*Calculateur!DB126*Calculateur!DD126*VLOOKUP('Données projet'!$B$13,Paramètres!$A$1:$I$88,3,0)*0.475*44/12</f>
        <v>0</v>
      </c>
      <c r="DH126" s="23">
        <f>EXP(-LN(2)/2)*DH125+(1-EXP(-LN(2)/2))/(LN(2)/2)*DB126*DE126*VLOOKUP('Données projet'!$B$13,Paramètres!$A$1:$I$88,3,0)*0.475*44/12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36.269999999999996</v>
      </c>
      <c r="D127" s="12">
        <f t="shared" si="86"/>
        <v>11.004448568154197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364.92556789452357</v>
      </c>
      <c r="H127" s="70">
        <f t="shared" si="56"/>
        <v>375.66966458953522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projet'!$B$9,Paramètres!$A$1:$I$88,3,0)*VLOOKUP('Données projet'!$B$9,Paramètres!$A$1:$I$88,5,0)</f>
        <v>-5.7639226724859328E-14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167.90363814107491</v>
      </c>
      <c r="T127" s="62">
        <f t="shared" si="88"/>
        <v>174.92847878212234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</v>
      </c>
      <c r="AB127" s="23">
        <f>EXP(-LN(2)/2)*AB126+(1-EXP(-LN(2)/2))/(LN(2)/2)*V127*Y127*VLOOKUP('Données projet'!$B$9,Paramètres!$A$1:$I$88,3,0)*0.475*44/12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projet'!$B$10,Paramètres!$A$1:$I$88,3,0)*VLOOKUP('Données projet'!$B$10,Paramètres!$A$1:$I$88,5,0)</f>
        <v>-6.1186256061773749E-14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179.61236179838011</v>
      </c>
      <c r="AO127" s="62">
        <f t="shared" si="90"/>
        <v>186.66130555850333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0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projet'!$B$11,Paramètres!$A$1:$I$88,3,0)*VLOOKUP('Données projet'!$B$11,Paramètres!$A$1:$I$88,5,0)</f>
        <v>-5.3205440053716299E-14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335.00873408144395</v>
      </c>
      <c r="BJ127" s="62">
        <f t="shared" si="92"/>
        <v>106.28577694955948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0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projet'!$B$12,Paramètres!$A$1:$I$88,3,0)*VLOOKUP('Données projet'!$B$12,Paramètres!$A$1:$I$88,5,0)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136.47709057888358</v>
      </c>
      <c r="CE127" s="62">
        <f t="shared" si="94"/>
        <v>99.705248792886493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0</v>
      </c>
      <c r="CL127" s="23">
        <f>EXP(-LN(2)/25)*CL126+(1-EXP(-LN(2)/25))/(LN(2)/25)*Calculateur!CG127*Calculateur!CI127*VLOOKUP('Données projet'!$B$12,Paramètres!$A$1:$I$88,3,0)*0.475*44/12</f>
        <v>0</v>
      </c>
      <c r="CM127" s="23">
        <f>EXP(-LN(2)/2)*CM126+(1-EXP(-LN(2)/2))/(LN(2)/2)*CG127*CJ127*VLOOKUP('Données projet'!$B$12,Paramètres!$A$1:$I$88,3,0)*0.475*44/12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projet'!$B$13,Paramètres!$A$1:$I$88,3,0)*VLOOKUP('Données projet'!$B$13,Paramètres!$A$1:$I$88,5,0)</f>
        <v>5.4683368944097308E-14</v>
      </c>
      <c r="CV127" s="14">
        <f t="shared" si="95"/>
        <v>8.8129432816788268E-13</v>
      </c>
      <c r="CW127" s="22">
        <f t="shared" si="67"/>
        <v>1.6301611558033651E-12</v>
      </c>
      <c r="CX127" s="62">
        <f t="shared" si="68"/>
        <v>293.33333333333496</v>
      </c>
      <c r="CY127" s="62">
        <f ca="1">AVERAGE(OFFSET($CX$3,0,0,'Données projet'!$E$13+1,1))-AVERAGE(OFFSET($H$3,0,0,'Données projet'!$E$13+1,1))</f>
        <v>205.01234521498333</v>
      </c>
      <c r="CZ127" s="62">
        <f t="shared" si="96"/>
        <v>100.26042113972852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projet'!$B$13,Paramètres!$A$1:$I$88,3,0)*0.475*44/12</f>
        <v>0</v>
      </c>
      <c r="DG127" s="23">
        <f>EXP(-LN(2)/25)*DG126+(1-EXP(-LN(2)/25))/(LN(2)/25)*Calculateur!DB127*Calculateur!DD127*VLOOKUP('Données projet'!$B$13,Paramètres!$A$1:$I$88,3,0)*0.475*44/12</f>
        <v>0</v>
      </c>
      <c r="DH127" s="23">
        <f>EXP(-LN(2)/2)*DH126+(1-EXP(-LN(2)/2))/(LN(2)/2)*DB127*DE127*VLOOKUP('Données projet'!$B$13,Paramètres!$A$1:$I$88,3,0)*0.475*44/12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36.562499999999993</v>
      </c>
      <c r="D128" s="12">
        <f t="shared" si="86"/>
        <v>11.082827444014919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367.78849255029058</v>
      </c>
      <c r="H128" s="70">
        <f t="shared" si="56"/>
        <v>376.31561196499263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projet'!$B$9,Paramètres!$A$1:$I$88,3,0)*VLOOKUP('Données projet'!$B$9,Paramètres!$A$1:$I$88,5,0)</f>
        <v>-5.7639226724859328E-14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167.90363814107491</v>
      </c>
      <c r="T128" s="62">
        <f t="shared" si="88"/>
        <v>174.92847878212234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</v>
      </c>
      <c r="AB128" s="23">
        <f>EXP(-LN(2)/2)*AB127+(1-EXP(-LN(2)/2))/(LN(2)/2)*V128*Y128*VLOOKUP('Données projet'!$B$9,Paramètres!$A$1:$I$88,3,0)*0.475*44/12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projet'!$B$10,Paramètres!$A$1:$I$88,3,0)*VLOOKUP('Données projet'!$B$10,Paramètres!$A$1:$I$88,5,0)</f>
        <v>-6.1186256061773749E-14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179.61236179838011</v>
      </c>
      <c r="AO128" s="62">
        <f t="shared" si="90"/>
        <v>186.66130555850333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0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projet'!$B$11,Paramètres!$A$1:$I$88,3,0)*VLOOKUP('Données projet'!$B$11,Paramètres!$A$1:$I$88,5,0)</f>
        <v>-5.3205440053716299E-14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335.00873408144395</v>
      </c>
      <c r="BJ128" s="62">
        <f t="shared" si="92"/>
        <v>106.28577694955948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0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projet'!$B$12,Paramètres!$A$1:$I$88,3,0)*VLOOKUP('Données projet'!$B$12,Paramètres!$A$1:$I$88,5,0)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136.47709057888358</v>
      </c>
      <c r="CE128" s="62">
        <f t="shared" si="94"/>
        <v>99.705248792886493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0</v>
      </c>
      <c r="CL128" s="23">
        <f>EXP(-LN(2)/25)*CL127+(1-EXP(-LN(2)/25))/(LN(2)/25)*Calculateur!CG128*Calculateur!CI128*VLOOKUP('Données projet'!$B$12,Paramètres!$A$1:$I$88,3,0)*0.475*44/12</f>
        <v>0</v>
      </c>
      <c r="CM128" s="23">
        <f>EXP(-LN(2)/2)*CM127+(1-EXP(-LN(2)/2))/(LN(2)/2)*CG128*CJ128*VLOOKUP('Données projet'!$B$12,Paramètres!$A$1:$I$88,3,0)*0.475*44/12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projet'!$B$13,Paramètres!$A$1:$I$88,3,0)*VLOOKUP('Données projet'!$B$13,Paramètres!$A$1:$I$88,5,0)</f>
        <v>5.4683368944097308E-14</v>
      </c>
      <c r="CV128" s="14">
        <f t="shared" si="95"/>
        <v>8.8129432816788268E-13</v>
      </c>
      <c r="CW128" s="22">
        <f t="shared" si="67"/>
        <v>1.6301611558033651E-12</v>
      </c>
      <c r="CX128" s="62">
        <f t="shared" si="68"/>
        <v>293.33333333333496</v>
      </c>
      <c r="CY128" s="62">
        <f ca="1">AVERAGE(OFFSET($CX$3,0,0,'Données projet'!$E$13+1,1))-AVERAGE(OFFSET($H$3,0,0,'Données projet'!$E$13+1,1))</f>
        <v>205.01234521498333</v>
      </c>
      <c r="CZ128" s="62">
        <f t="shared" si="96"/>
        <v>100.26042113972852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projet'!$B$13,Paramètres!$A$1:$I$88,3,0)*0.475*44/12</f>
        <v>0</v>
      </c>
      <c r="DG128" s="23">
        <f>EXP(-LN(2)/25)*DG127+(1-EXP(-LN(2)/25))/(LN(2)/25)*Calculateur!DB128*Calculateur!DD128*VLOOKUP('Données projet'!$B$13,Paramètres!$A$1:$I$88,3,0)*0.475*44/12</f>
        <v>0</v>
      </c>
      <c r="DH128" s="23">
        <f>EXP(-LN(2)/2)*DH127+(1-EXP(-LN(2)/2))/(LN(2)/2)*DB128*DE128*VLOOKUP('Données projet'!$B$13,Paramètres!$A$1:$I$88,3,0)*0.475*44/12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36.85499999999999</v>
      </c>
      <c r="D129" s="12">
        <f t="shared" si="86"/>
        <v>11.161133366615273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370.65085405808276</v>
      </c>
      <c r="H129" s="70">
        <f t="shared" si="56"/>
        <v>376.96143228018821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projet'!$B$9,Paramètres!$A$1:$I$88,3,0)*VLOOKUP('Données projet'!$B$9,Paramètres!$A$1:$I$88,5,0)</f>
        <v>-5.7639226724859328E-14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167.90363814107491</v>
      </c>
      <c r="T129" s="62">
        <f t="shared" si="88"/>
        <v>174.92847878212234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</v>
      </c>
      <c r="AB129" s="23">
        <f>EXP(-LN(2)/2)*AB128+(1-EXP(-LN(2)/2))/(LN(2)/2)*V129*Y129*VLOOKUP('Données projet'!$B$9,Paramètres!$A$1:$I$88,3,0)*0.475*44/12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projet'!$B$10,Paramètres!$A$1:$I$88,3,0)*VLOOKUP('Données projet'!$B$10,Paramètres!$A$1:$I$88,5,0)</f>
        <v>-6.1186256061773749E-14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179.61236179838011</v>
      </c>
      <c r="AO129" s="62">
        <f t="shared" si="90"/>
        <v>186.66130555850333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0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projet'!$B$11,Paramètres!$A$1:$I$88,3,0)*VLOOKUP('Données projet'!$B$11,Paramètres!$A$1:$I$88,5,0)</f>
        <v>-5.3205440053716299E-14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335.00873408144395</v>
      </c>
      <c r="BJ129" s="62">
        <f t="shared" si="92"/>
        <v>106.28577694955948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0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projet'!$B$12,Paramètres!$A$1:$I$88,3,0)*VLOOKUP('Données projet'!$B$12,Paramètres!$A$1:$I$88,5,0)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136.47709057888358</v>
      </c>
      <c r="CE129" s="62">
        <f t="shared" si="94"/>
        <v>99.705248792886493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0</v>
      </c>
      <c r="CL129" s="23">
        <f>EXP(-LN(2)/25)*CL128+(1-EXP(-LN(2)/25))/(LN(2)/25)*Calculateur!CG129*Calculateur!CI129*VLOOKUP('Données projet'!$B$12,Paramètres!$A$1:$I$88,3,0)*0.475*44/12</f>
        <v>0</v>
      </c>
      <c r="CM129" s="23">
        <f>EXP(-LN(2)/2)*CM128+(1-EXP(-LN(2)/2))/(LN(2)/2)*CG129*CJ129*VLOOKUP('Données projet'!$B$12,Paramètres!$A$1:$I$88,3,0)*0.475*44/12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projet'!$B$13,Paramètres!$A$1:$I$88,3,0)*VLOOKUP('Données projet'!$B$13,Paramètres!$A$1:$I$88,5,0)</f>
        <v>5.4683368944097308E-14</v>
      </c>
      <c r="CV129" s="14">
        <f t="shared" si="95"/>
        <v>8.8129432816788268E-13</v>
      </c>
      <c r="CW129" s="22">
        <f t="shared" si="67"/>
        <v>1.6301611558033651E-12</v>
      </c>
      <c r="CX129" s="62">
        <f t="shared" si="68"/>
        <v>293.33333333333496</v>
      </c>
      <c r="CY129" s="62">
        <f ca="1">AVERAGE(OFFSET($CX$3,0,0,'Données projet'!$E$13+1,1))-AVERAGE(OFFSET($H$3,0,0,'Données projet'!$E$13+1,1))</f>
        <v>205.01234521498333</v>
      </c>
      <c r="CZ129" s="62">
        <f t="shared" si="96"/>
        <v>100.26042113972852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projet'!$B$13,Paramètres!$A$1:$I$88,3,0)*0.475*44/12</f>
        <v>0</v>
      </c>
      <c r="DG129" s="23">
        <f>EXP(-LN(2)/25)*DG128+(1-EXP(-LN(2)/25))/(LN(2)/25)*Calculateur!DB129*Calculateur!DD129*VLOOKUP('Données projet'!$B$13,Paramètres!$A$1:$I$88,3,0)*0.475*44/12</f>
        <v>0</v>
      </c>
      <c r="DH129" s="23">
        <f>EXP(-LN(2)/2)*DH128+(1-EXP(-LN(2)/2))/(LN(2)/2)*DB129*DE129*VLOOKUP('Données projet'!$B$13,Paramètres!$A$1:$I$88,3,0)*0.475*44/12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37.147499999999987</v>
      </c>
      <c r="D130" s="12">
        <f t="shared" si="86"/>
        <v>11.239366982059444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373.5126574053711</v>
      </c>
      <c r="H130" s="70">
        <f t="shared" si="56"/>
        <v>377.60712666042014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projet'!$B$9,Paramètres!$A$1:$I$88,3,0)*VLOOKUP('Données projet'!$B$9,Paramètres!$A$1:$I$88,5,0)</f>
        <v>-5.7639226724859328E-14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167.90363814107491</v>
      </c>
      <c r="T130" s="62">
        <f t="shared" si="88"/>
        <v>174.92847878212234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</v>
      </c>
      <c r="AB130" s="23">
        <f>EXP(-LN(2)/2)*AB129+(1-EXP(-LN(2)/2))/(LN(2)/2)*V130*Y130*VLOOKUP('Données projet'!$B$9,Paramètres!$A$1:$I$88,3,0)*0.475*44/12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projet'!$B$10,Paramètres!$A$1:$I$88,3,0)*VLOOKUP('Données projet'!$B$10,Paramètres!$A$1:$I$88,5,0)</f>
        <v>-6.1186256061773749E-14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179.61236179838011</v>
      </c>
      <c r="AO130" s="62">
        <f t="shared" si="90"/>
        <v>186.66130555850333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0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projet'!$B$11,Paramètres!$A$1:$I$88,3,0)*VLOOKUP('Données projet'!$B$11,Paramètres!$A$1:$I$88,5,0)</f>
        <v>-5.3205440053716299E-14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335.00873408144395</v>
      </c>
      <c r="BJ130" s="62">
        <f t="shared" si="92"/>
        <v>106.28577694955948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0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projet'!$B$12,Paramètres!$A$1:$I$88,3,0)*VLOOKUP('Données projet'!$B$12,Paramètres!$A$1:$I$88,5,0)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136.47709057888358</v>
      </c>
      <c r="CE130" s="62">
        <f t="shared" si="94"/>
        <v>99.705248792886493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0</v>
      </c>
      <c r="CL130" s="23">
        <f>EXP(-LN(2)/25)*CL129+(1-EXP(-LN(2)/25))/(LN(2)/25)*Calculateur!CG130*Calculateur!CI130*VLOOKUP('Données projet'!$B$12,Paramètres!$A$1:$I$88,3,0)*0.475*44/12</f>
        <v>0</v>
      </c>
      <c r="CM130" s="23">
        <f>EXP(-LN(2)/2)*CM129+(1-EXP(-LN(2)/2))/(LN(2)/2)*CG130*CJ130*VLOOKUP('Données projet'!$B$12,Paramètres!$A$1:$I$88,3,0)*0.475*44/12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projet'!$B$13,Paramètres!$A$1:$I$88,3,0)*VLOOKUP('Données projet'!$B$13,Paramètres!$A$1:$I$88,5,0)</f>
        <v>5.4683368944097308E-14</v>
      </c>
      <c r="CV130" s="14">
        <f t="shared" si="95"/>
        <v>8.8129432816788268E-13</v>
      </c>
      <c r="CW130" s="22">
        <f t="shared" si="67"/>
        <v>1.6301611558033651E-12</v>
      </c>
      <c r="CX130" s="62">
        <f t="shared" si="68"/>
        <v>293.33333333333496</v>
      </c>
      <c r="CY130" s="62">
        <f ca="1">AVERAGE(OFFSET($CX$3,0,0,'Données projet'!$E$13+1,1))-AVERAGE(OFFSET($H$3,0,0,'Données projet'!$E$13+1,1))</f>
        <v>205.01234521498333</v>
      </c>
      <c r="CZ130" s="62">
        <f t="shared" si="96"/>
        <v>100.26042113972852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projet'!$B$13,Paramètres!$A$1:$I$88,3,0)*0.475*44/12</f>
        <v>0</v>
      </c>
      <c r="DG130" s="23">
        <f>EXP(-LN(2)/25)*DG129+(1-EXP(-LN(2)/25))/(LN(2)/25)*Calculateur!DB130*Calculateur!DD130*VLOOKUP('Données projet'!$B$13,Paramètres!$A$1:$I$88,3,0)*0.475*44/12</f>
        <v>0</v>
      </c>
      <c r="DH130" s="23">
        <f>EXP(-LN(2)/2)*DH129+(1-EXP(-LN(2)/2))/(LN(2)/2)*DB130*DE130*VLOOKUP('Données projet'!$B$13,Paramètres!$A$1:$I$88,3,0)*0.475*44/12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37.439999999999984</v>
      </c>
      <c r="D131" s="12">
        <f t="shared" si="86"/>
        <v>11.31752892568918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376.37390749654793</v>
      </c>
      <c r="H131" s="70">
        <f t="shared" si="56"/>
        <v>378.25269621224191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projet'!$B$9,Paramètres!$A$1:$I$88,3,0)*VLOOKUP('Données projet'!$B$9,Paramètres!$A$1:$I$88,5,0)</f>
        <v>-5.7639226724859328E-14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167.90363814107491</v>
      </c>
      <c r="T131" s="62">
        <f t="shared" si="88"/>
        <v>174.92847878212234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</v>
      </c>
      <c r="AB131" s="23">
        <f>EXP(-LN(2)/2)*AB130+(1-EXP(-LN(2)/2))/(LN(2)/2)*V131*Y131*VLOOKUP('Données projet'!$B$9,Paramètres!$A$1:$I$88,3,0)*0.475*44/12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projet'!$B$10,Paramètres!$A$1:$I$88,3,0)*VLOOKUP('Données projet'!$B$10,Paramètres!$A$1:$I$88,5,0)</f>
        <v>-6.1186256061773749E-14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179.61236179838011</v>
      </c>
      <c r="AO131" s="62">
        <f t="shared" si="90"/>
        <v>186.66130555850333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0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projet'!$B$11,Paramètres!$A$1:$I$88,3,0)*VLOOKUP('Données projet'!$B$11,Paramètres!$A$1:$I$88,5,0)</f>
        <v>-5.3205440053716299E-14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335.00873408144395</v>
      </c>
      <c r="BJ131" s="62">
        <f t="shared" si="92"/>
        <v>106.28577694955948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0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projet'!$B$12,Paramètres!$A$1:$I$88,3,0)*VLOOKUP('Données projet'!$B$12,Paramètres!$A$1:$I$88,5,0)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136.47709057888358</v>
      </c>
      <c r="CE131" s="62">
        <f t="shared" si="94"/>
        <v>99.705248792886493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0</v>
      </c>
      <c r="CL131" s="23">
        <f>EXP(-LN(2)/25)*CL130+(1-EXP(-LN(2)/25))/(LN(2)/25)*Calculateur!CG131*Calculateur!CI131*VLOOKUP('Données projet'!$B$12,Paramètres!$A$1:$I$88,3,0)*0.475*44/12</f>
        <v>0</v>
      </c>
      <c r="CM131" s="23">
        <f>EXP(-LN(2)/2)*CM130+(1-EXP(-LN(2)/2))/(LN(2)/2)*CG131*CJ131*VLOOKUP('Données projet'!$B$12,Paramètres!$A$1:$I$88,3,0)*0.475*44/12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projet'!$B$13,Paramètres!$A$1:$I$88,3,0)*VLOOKUP('Données projet'!$B$13,Paramètres!$A$1:$I$88,5,0)</f>
        <v>5.4683368944097308E-14</v>
      </c>
      <c r="CV131" s="14">
        <f t="shared" si="95"/>
        <v>8.8129432816788268E-13</v>
      </c>
      <c r="CW131" s="22">
        <f t="shared" si="67"/>
        <v>1.6301611558033651E-12</v>
      </c>
      <c r="CX131" s="62">
        <f t="shared" si="68"/>
        <v>293.33333333333496</v>
      </c>
      <c r="CY131" s="62">
        <f ca="1">AVERAGE(OFFSET($CX$3,0,0,'Données projet'!$E$13+1,1))-AVERAGE(OFFSET($H$3,0,0,'Données projet'!$E$13+1,1))</f>
        <v>205.01234521498333</v>
      </c>
      <c r="CZ131" s="62">
        <f t="shared" si="96"/>
        <v>100.26042113972852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projet'!$B$13,Paramètres!$A$1:$I$88,3,0)*0.475*44/12</f>
        <v>0</v>
      </c>
      <c r="DG131" s="23">
        <f>EXP(-LN(2)/25)*DG130+(1-EXP(-LN(2)/25))/(LN(2)/25)*Calculateur!DB131*Calculateur!DD131*VLOOKUP('Données projet'!$B$13,Paramètres!$A$1:$I$88,3,0)*0.475*44/12</f>
        <v>0</v>
      </c>
      <c r="DH131" s="23">
        <f>EXP(-LN(2)/2)*DH130+(1-EXP(-LN(2)/2))/(LN(2)/2)*DB131*DE131*VLOOKUP('Données projet'!$B$13,Paramètres!$A$1:$I$88,3,0)*0.475*44/12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37.73249999999998</v>
      </c>
      <c r="D132" s="12">
        <f t="shared" si="86"/>
        <v>11.395619822345687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379.23460915494906</v>
      </c>
      <c r="H132" s="70">
        <f t="shared" ref="H132:H195" si="110">(B132+E132+F132)*44/12+(C132+D132)*0.475*44/12</f>
        <v>378.89814202391869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projet'!$B$9,Paramètres!$A$1:$I$88,3,0)*VLOOKUP('Données projet'!$B$9,Paramètres!$A$1:$I$88,5,0)</f>
        <v>-5.7639226724859328E-14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167.90363814107491</v>
      </c>
      <c r="T132" s="62">
        <f t="shared" si="88"/>
        <v>174.92847878212234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projet'!$B$10,Paramètres!$A$1:$I$88,3,0)*VLOOKUP('Données projet'!$B$10,Paramètres!$A$1:$I$88,5,0)</f>
        <v>-6.1186256061773749E-14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179.61236179838011</v>
      </c>
      <c r="AO132" s="62">
        <f t="shared" si="90"/>
        <v>186.66130555850333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0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projet'!$B$11,Paramètres!$A$1:$I$88,3,0)*VLOOKUP('Données projet'!$B$11,Paramètres!$A$1:$I$88,5,0)</f>
        <v>-5.3205440053716299E-14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335.00873408144395</v>
      </c>
      <c r="BJ132" s="62">
        <f t="shared" si="92"/>
        <v>106.28577694955948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0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projet'!$B$12,Paramètres!$A$1:$I$88,3,0)*VLOOKUP('Données projet'!$B$12,Paramètres!$A$1:$I$88,5,0)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136.47709057888358</v>
      </c>
      <c r="CE132" s="62">
        <f t="shared" si="94"/>
        <v>99.705248792886493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0</v>
      </c>
      <c r="CL132" s="23">
        <f>EXP(-LN(2)/25)*CL131+(1-EXP(-LN(2)/25))/(LN(2)/25)*Calculateur!CG132*Calculateur!CI132*VLOOKUP('Données projet'!$B$12,Paramètres!$A$1:$I$88,3,0)*0.475*44/12</f>
        <v>0</v>
      </c>
      <c r="CM132" s="23">
        <f>EXP(-LN(2)/2)*CM131+(1-EXP(-LN(2)/2))/(LN(2)/2)*CG132*CJ132*VLOOKUP('Données projet'!$B$12,Paramètres!$A$1:$I$88,3,0)*0.475*44/12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projet'!$B$13,Paramètres!$A$1:$I$88,3,0)*VLOOKUP('Données projet'!$B$13,Paramètres!$A$1:$I$88,5,0)</f>
        <v>5.4683368944097308E-14</v>
      </c>
      <c r="CV132" s="14">
        <f t="shared" si="95"/>
        <v>8.8129432816788268E-13</v>
      </c>
      <c r="CW132" s="22">
        <f t="shared" ref="CW132:CW153" si="121">(CU132+CV132)*0.475*44/12</f>
        <v>1.6301611558033651E-12</v>
      </c>
      <c r="CX132" s="62">
        <f t="shared" ref="CX132:CX195" si="122">CW132+(CO132+CP132)*44/12</f>
        <v>293.33333333333496</v>
      </c>
      <c r="CY132" s="62">
        <f ca="1">AVERAGE(OFFSET($CX$3,0,0,'Données projet'!$E$13+1,1))-AVERAGE(OFFSET($H$3,0,0,'Données projet'!$E$13+1,1))</f>
        <v>205.01234521498333</v>
      </c>
      <c r="CZ132" s="62">
        <f t="shared" si="96"/>
        <v>100.26042113972852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projet'!$B$13,Paramètres!$A$1:$I$88,3,0)*0.475*44/12</f>
        <v>0</v>
      </c>
      <c r="DG132" s="23">
        <f>EXP(-LN(2)/25)*DG131+(1-EXP(-LN(2)/25))/(LN(2)/25)*Calculateur!DB132*Calculateur!DD132*VLOOKUP('Données projet'!$B$13,Paramètres!$A$1:$I$88,3,0)*0.475*44/12</f>
        <v>0</v>
      </c>
      <c r="DH132" s="23">
        <f>EXP(-LN(2)/2)*DH131+(1-EXP(-LN(2)/2))/(LN(2)/2)*DB132*DE132*VLOOKUP('Données projet'!$B$13,Paramètres!$A$1:$I$88,3,0)*0.475*44/12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38.024999999999977</v>
      </c>
      <c r="D133" s="12">
        <f t="shared" ref="D133:D196" si="140">IFERROR(EXP(-1.0587+0.8836*LN(C133)+0.284),0)</f>
        <v>11.473640286623244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382.09476712481086</v>
      </c>
      <c r="H133" s="70">
        <f t="shared" si="110"/>
        <v>379.54346516586872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projet'!$B$9,Paramètres!$A$1:$I$88,3,0)*VLOOKUP('Données projet'!$B$9,Paramètres!$A$1:$I$88,5,0)</f>
        <v>-5.7639226724859328E-14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167.90363814107491</v>
      </c>
      <c r="T133" s="62">
        <f t="shared" ref="T133:T196" si="142">$T$3</f>
        <v>174.92847878212234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</v>
      </c>
      <c r="AB133" s="23">
        <f>EXP(-LN(2)/2)*AB132+(1-EXP(-LN(2)/2))/(LN(2)/2)*V133*Y133*VLOOKUP('Données projet'!$B$9,Paramètres!$A$1:$I$88,3,0)*0.475*44/12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projet'!$B$10,Paramètres!$A$1:$I$88,3,0)*VLOOKUP('Données projet'!$B$10,Paramètres!$A$1:$I$88,5,0)</f>
        <v>-6.1186256061773749E-14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179.61236179838011</v>
      </c>
      <c r="AO133" s="62">
        <f t="shared" ref="AO133:AO196" si="144">$AO$3</f>
        <v>186.66130555850333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0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projet'!$B$11,Paramètres!$A$1:$I$88,3,0)*VLOOKUP('Données projet'!$B$11,Paramètres!$A$1:$I$88,5,0)</f>
        <v>-5.3205440053716299E-14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335.00873408144395</v>
      </c>
      <c r="BJ133" s="62">
        <f t="shared" ref="BJ133:BJ196" si="146">$BJ$3</f>
        <v>106.28577694955948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0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projet'!$B$12,Paramètres!$A$1:$I$88,3,0)*VLOOKUP('Données projet'!$B$12,Paramètres!$A$1:$I$88,5,0)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136.47709057888358</v>
      </c>
      <c r="CE133" s="62">
        <f t="shared" ref="CE133:CE196" si="148">$CE$3</f>
        <v>99.705248792886493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0</v>
      </c>
      <c r="CL133" s="23">
        <f>EXP(-LN(2)/25)*CL132+(1-EXP(-LN(2)/25))/(LN(2)/25)*Calculateur!CG133*Calculateur!CI133*VLOOKUP('Données projet'!$B$12,Paramètres!$A$1:$I$88,3,0)*0.475*44/12</f>
        <v>0</v>
      </c>
      <c r="CM133" s="23">
        <f>EXP(-LN(2)/2)*CM132+(1-EXP(-LN(2)/2))/(LN(2)/2)*CG133*CJ133*VLOOKUP('Données projet'!$B$12,Paramètres!$A$1:$I$88,3,0)*0.475*44/12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projet'!$B$13,Paramètres!$A$1:$I$88,3,0)*VLOOKUP('Données projet'!$B$13,Paramètres!$A$1:$I$88,5,0)</f>
        <v>5.4683368944097308E-14</v>
      </c>
      <c r="CV133" s="14">
        <f t="shared" ref="CV133:CV153" si="149">EXP(-1.0587+0.8836*LN(CU133)+0.284)</f>
        <v>8.8129432816788268E-13</v>
      </c>
      <c r="CW133" s="22">
        <f t="shared" si="121"/>
        <v>1.6301611558033651E-12</v>
      </c>
      <c r="CX133" s="62">
        <f t="shared" si="122"/>
        <v>293.33333333333496</v>
      </c>
      <c r="CY133" s="62">
        <f ca="1">AVERAGE(OFFSET($CX$3,0,0,'Données projet'!$E$13+1,1))-AVERAGE(OFFSET($H$3,0,0,'Données projet'!$E$13+1,1))</f>
        <v>205.01234521498333</v>
      </c>
      <c r="CZ133" s="62">
        <f t="shared" ref="CZ133:CZ196" si="150">$CZ$3</f>
        <v>100.26042113972852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projet'!$B$13,Paramètres!$A$1:$I$88,3,0)*0.475*44/12</f>
        <v>0</v>
      </c>
      <c r="DG133" s="23">
        <f>EXP(-LN(2)/25)*DG132+(1-EXP(-LN(2)/25))/(LN(2)/25)*Calculateur!DB133*Calculateur!DD133*VLOOKUP('Données projet'!$B$13,Paramètres!$A$1:$I$88,3,0)*0.475*44/12</f>
        <v>0</v>
      </c>
      <c r="DH133" s="23">
        <f>EXP(-LN(2)/2)*DH132+(1-EXP(-LN(2)/2))/(LN(2)/2)*DB133*DE133*VLOOKUP('Données projet'!$B$13,Paramètres!$A$1:$I$88,3,0)*0.475*44/12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38.317499999999974</v>
      </c>
      <c r="D134" s="12">
        <f t="shared" si="140"/>
        <v>11.551590923114702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384.95438607316595</v>
      </c>
      <c r="H134" s="70">
        <f t="shared" si="110"/>
        <v>380.18866669109138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projet'!$B$9,Paramètres!$A$1:$I$88,3,0)*VLOOKUP('Données projet'!$B$9,Paramètres!$A$1:$I$88,5,0)</f>
        <v>-5.7639226724859328E-14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167.90363814107491</v>
      </c>
      <c r="T134" s="62">
        <f t="shared" si="142"/>
        <v>174.92847878212234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</v>
      </c>
      <c r="AB134" s="23">
        <f>EXP(-LN(2)/2)*AB133+(1-EXP(-LN(2)/2))/(LN(2)/2)*V134*Y134*VLOOKUP('Données projet'!$B$9,Paramètres!$A$1:$I$88,3,0)*0.475*44/12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projet'!$B$10,Paramètres!$A$1:$I$88,3,0)*VLOOKUP('Données projet'!$B$10,Paramètres!$A$1:$I$88,5,0)</f>
        <v>-6.1186256061773749E-14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179.61236179838011</v>
      </c>
      <c r="AO134" s="62">
        <f t="shared" si="144"/>
        <v>186.66130555850333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0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projet'!$B$11,Paramètres!$A$1:$I$88,3,0)*VLOOKUP('Données projet'!$B$11,Paramètres!$A$1:$I$88,5,0)</f>
        <v>-5.3205440053716299E-14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335.00873408144395</v>
      </c>
      <c r="BJ134" s="62">
        <f t="shared" si="146"/>
        <v>106.28577694955948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0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projet'!$B$12,Paramètres!$A$1:$I$88,3,0)*VLOOKUP('Données projet'!$B$12,Paramètres!$A$1:$I$88,5,0)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136.47709057888358</v>
      </c>
      <c r="CE134" s="62">
        <f t="shared" si="148"/>
        <v>99.705248792886493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0</v>
      </c>
      <c r="CL134" s="23">
        <f>EXP(-LN(2)/25)*CL133+(1-EXP(-LN(2)/25))/(LN(2)/25)*Calculateur!CG134*Calculateur!CI134*VLOOKUP('Données projet'!$B$12,Paramètres!$A$1:$I$88,3,0)*0.475*44/12</f>
        <v>0</v>
      </c>
      <c r="CM134" s="23">
        <f>EXP(-LN(2)/2)*CM133+(1-EXP(-LN(2)/2))/(LN(2)/2)*CG134*CJ134*VLOOKUP('Données projet'!$B$12,Paramètres!$A$1:$I$88,3,0)*0.475*44/12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projet'!$B$13,Paramètres!$A$1:$I$88,3,0)*VLOOKUP('Données projet'!$B$13,Paramètres!$A$1:$I$88,5,0)</f>
        <v>5.4683368944097308E-14</v>
      </c>
      <c r="CV134" s="14">
        <f t="shared" si="149"/>
        <v>8.8129432816788268E-13</v>
      </c>
      <c r="CW134" s="22">
        <f t="shared" si="121"/>
        <v>1.6301611558033651E-12</v>
      </c>
      <c r="CX134" s="62">
        <f t="shared" si="122"/>
        <v>293.33333333333496</v>
      </c>
      <c r="CY134" s="62">
        <f ca="1">AVERAGE(OFFSET($CX$3,0,0,'Données projet'!$E$13+1,1))-AVERAGE(OFFSET($H$3,0,0,'Données projet'!$E$13+1,1))</f>
        <v>205.01234521498333</v>
      </c>
      <c r="CZ134" s="62">
        <f t="shared" si="150"/>
        <v>100.26042113972852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projet'!$B$13,Paramètres!$A$1:$I$88,3,0)*0.475*44/12</f>
        <v>0</v>
      </c>
      <c r="DG134" s="23">
        <f>EXP(-LN(2)/25)*DG133+(1-EXP(-LN(2)/25))/(LN(2)/25)*Calculateur!DB134*Calculateur!DD134*VLOOKUP('Données projet'!$B$13,Paramètres!$A$1:$I$88,3,0)*0.475*44/12</f>
        <v>0</v>
      </c>
      <c r="DH134" s="23">
        <f>EXP(-LN(2)/2)*DH133+(1-EXP(-LN(2)/2))/(LN(2)/2)*DB134*DE134*VLOOKUP('Données projet'!$B$13,Paramètres!$A$1:$I$88,3,0)*0.475*44/12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38.609999999999971</v>
      </c>
      <c r="D135" s="12">
        <f t="shared" si="140"/>
        <v>11.629472326649342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387.81347059167894</v>
      </c>
      <c r="H135" s="70">
        <f t="shared" si="110"/>
        <v>380.83374763558083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projet'!$B$9,Paramètres!$A$1:$I$88,3,0)*VLOOKUP('Données projet'!$B$9,Paramètres!$A$1:$I$88,5,0)</f>
        <v>-5.7639226724859328E-14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167.90363814107491</v>
      </c>
      <c r="T135" s="62">
        <f t="shared" si="142"/>
        <v>174.92847878212234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</v>
      </c>
      <c r="AB135" s="23">
        <f>EXP(-LN(2)/2)*AB134+(1-EXP(-LN(2)/2))/(LN(2)/2)*V135*Y135*VLOOKUP('Données projet'!$B$9,Paramètres!$A$1:$I$88,3,0)*0.475*44/12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projet'!$B$10,Paramètres!$A$1:$I$88,3,0)*VLOOKUP('Données projet'!$B$10,Paramètres!$A$1:$I$88,5,0)</f>
        <v>-6.1186256061773749E-14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179.61236179838011</v>
      </c>
      <c r="AO135" s="62">
        <f t="shared" si="144"/>
        <v>186.66130555850333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0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projet'!$B$11,Paramètres!$A$1:$I$88,3,0)*VLOOKUP('Données projet'!$B$11,Paramètres!$A$1:$I$88,5,0)</f>
        <v>-5.3205440053716299E-14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335.00873408144395</v>
      </c>
      <c r="BJ135" s="62">
        <f t="shared" si="146"/>
        <v>106.28577694955948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0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projet'!$B$12,Paramètres!$A$1:$I$88,3,0)*VLOOKUP('Données projet'!$B$12,Paramètres!$A$1:$I$88,5,0)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136.47709057888358</v>
      </c>
      <c r="CE135" s="62">
        <f t="shared" si="148"/>
        <v>99.705248792886493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0</v>
      </c>
      <c r="CL135" s="23">
        <f>EXP(-LN(2)/25)*CL134+(1-EXP(-LN(2)/25))/(LN(2)/25)*Calculateur!CG135*Calculateur!CI135*VLOOKUP('Données projet'!$B$12,Paramètres!$A$1:$I$88,3,0)*0.475*44/12</f>
        <v>0</v>
      </c>
      <c r="CM135" s="23">
        <f>EXP(-LN(2)/2)*CM134+(1-EXP(-LN(2)/2))/(LN(2)/2)*CG135*CJ135*VLOOKUP('Données projet'!$B$12,Paramètres!$A$1:$I$88,3,0)*0.475*44/12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projet'!$B$13,Paramètres!$A$1:$I$88,3,0)*VLOOKUP('Données projet'!$B$13,Paramètres!$A$1:$I$88,5,0)</f>
        <v>5.4683368944097308E-14</v>
      </c>
      <c r="CV135" s="14">
        <f t="shared" si="149"/>
        <v>8.8129432816788268E-13</v>
      </c>
      <c r="CW135" s="22">
        <f t="shared" si="121"/>
        <v>1.6301611558033651E-12</v>
      </c>
      <c r="CX135" s="62">
        <f t="shared" si="122"/>
        <v>293.33333333333496</v>
      </c>
      <c r="CY135" s="62">
        <f ca="1">AVERAGE(OFFSET($CX$3,0,0,'Données projet'!$E$13+1,1))-AVERAGE(OFFSET($H$3,0,0,'Données projet'!$E$13+1,1))</f>
        <v>205.01234521498333</v>
      </c>
      <c r="CZ135" s="62">
        <f t="shared" si="150"/>
        <v>100.26042113972852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projet'!$B$13,Paramètres!$A$1:$I$88,3,0)*0.475*44/12</f>
        <v>0</v>
      </c>
      <c r="DG135" s="23">
        <f>EXP(-LN(2)/25)*DG134+(1-EXP(-LN(2)/25))/(LN(2)/25)*Calculateur!DB135*Calculateur!DD135*VLOOKUP('Données projet'!$B$13,Paramètres!$A$1:$I$88,3,0)*0.475*44/12</f>
        <v>0</v>
      </c>
      <c r="DH135" s="23">
        <f>EXP(-LN(2)/2)*DH134+(1-EXP(-LN(2)/2))/(LN(2)/2)*DB135*DE135*VLOOKUP('Données projet'!$B$13,Paramètres!$A$1:$I$88,3,0)*0.475*44/12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38.902499999999968</v>
      </c>
      <c r="D136" s="12">
        <f t="shared" si="140"/>
        <v>11.707285082523278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390.67202519842505</v>
      </c>
      <c r="H136" s="70">
        <f t="shared" si="110"/>
        <v>381.47870901872795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projet'!$B$9,Paramètres!$A$1:$I$88,3,0)*VLOOKUP('Données projet'!$B$9,Paramètres!$A$1:$I$88,5,0)</f>
        <v>-5.7639226724859328E-14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167.90363814107491</v>
      </c>
      <c r="T136" s="62">
        <f t="shared" si="142"/>
        <v>174.92847878212234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</v>
      </c>
      <c r="AB136" s="23">
        <f>EXP(-LN(2)/2)*AB135+(1-EXP(-LN(2)/2))/(LN(2)/2)*V136*Y136*VLOOKUP('Données projet'!$B$9,Paramètres!$A$1:$I$88,3,0)*0.475*44/12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projet'!$B$10,Paramètres!$A$1:$I$88,3,0)*VLOOKUP('Données projet'!$B$10,Paramètres!$A$1:$I$88,5,0)</f>
        <v>-6.1186256061773749E-14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179.61236179838011</v>
      </c>
      <c r="AO136" s="62">
        <f t="shared" si="144"/>
        <v>186.66130555850333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0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projet'!$B$11,Paramètres!$A$1:$I$88,3,0)*VLOOKUP('Données projet'!$B$11,Paramètres!$A$1:$I$88,5,0)</f>
        <v>-5.3205440053716299E-14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335.00873408144395</v>
      </c>
      <c r="BJ136" s="62">
        <f t="shared" si="146"/>
        <v>106.28577694955948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0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projet'!$B$12,Paramètres!$A$1:$I$88,3,0)*VLOOKUP('Données projet'!$B$12,Paramètres!$A$1:$I$88,5,0)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136.47709057888358</v>
      </c>
      <c r="CE136" s="62">
        <f t="shared" si="148"/>
        <v>99.705248792886493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0</v>
      </c>
      <c r="CL136" s="23">
        <f>EXP(-LN(2)/25)*CL135+(1-EXP(-LN(2)/25))/(LN(2)/25)*Calculateur!CG136*Calculateur!CI136*VLOOKUP('Données projet'!$B$12,Paramètres!$A$1:$I$88,3,0)*0.475*44/12</f>
        <v>0</v>
      </c>
      <c r="CM136" s="23">
        <f>EXP(-LN(2)/2)*CM135+(1-EXP(-LN(2)/2))/(LN(2)/2)*CG136*CJ136*VLOOKUP('Données projet'!$B$12,Paramètres!$A$1:$I$88,3,0)*0.475*44/12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projet'!$B$13,Paramètres!$A$1:$I$88,3,0)*VLOOKUP('Données projet'!$B$13,Paramètres!$A$1:$I$88,5,0)</f>
        <v>5.4683368944097308E-14</v>
      </c>
      <c r="CV136" s="14">
        <f t="shared" si="149"/>
        <v>8.8129432816788268E-13</v>
      </c>
      <c r="CW136" s="22">
        <f t="shared" si="121"/>
        <v>1.6301611558033651E-12</v>
      </c>
      <c r="CX136" s="62">
        <f t="shared" si="122"/>
        <v>293.33333333333496</v>
      </c>
      <c r="CY136" s="62">
        <f ca="1">AVERAGE(OFFSET($CX$3,0,0,'Données projet'!$E$13+1,1))-AVERAGE(OFFSET($H$3,0,0,'Données projet'!$E$13+1,1))</f>
        <v>205.01234521498333</v>
      </c>
      <c r="CZ136" s="62">
        <f t="shared" si="150"/>
        <v>100.26042113972852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projet'!$B$13,Paramètres!$A$1:$I$88,3,0)*0.475*44/12</f>
        <v>0</v>
      </c>
      <c r="DG136" s="23">
        <f>EXP(-LN(2)/25)*DG135+(1-EXP(-LN(2)/25))/(LN(2)/25)*Calculateur!DB136*Calculateur!DD136*VLOOKUP('Données projet'!$B$13,Paramètres!$A$1:$I$88,3,0)*0.475*44/12</f>
        <v>0</v>
      </c>
      <c r="DH136" s="23">
        <f>EXP(-LN(2)/2)*DH135+(1-EXP(-LN(2)/2))/(LN(2)/2)*DB136*DE136*VLOOKUP('Données projet'!$B$13,Paramètres!$A$1:$I$88,3,0)*0.475*44/12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39.194999999999965</v>
      </c>
      <c r="D137" s="12">
        <f t="shared" si="140"/>
        <v>11.785029766722753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393.53005433961397</v>
      </c>
      <c r="H137" s="70">
        <f t="shared" si="110"/>
        <v>382.1235518437087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projet'!$B$9,Paramètres!$A$1:$I$88,3,0)*VLOOKUP('Données projet'!$B$9,Paramètres!$A$1:$I$88,5,0)</f>
        <v>-5.7639226724859328E-14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167.90363814107491</v>
      </c>
      <c r="T137" s="62">
        <f t="shared" si="142"/>
        <v>174.92847878212234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</v>
      </c>
      <c r="AB137" s="23">
        <f>EXP(-LN(2)/2)*AB136+(1-EXP(-LN(2)/2))/(LN(2)/2)*V137*Y137*VLOOKUP('Données projet'!$B$9,Paramètres!$A$1:$I$88,3,0)*0.475*44/12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projet'!$B$10,Paramètres!$A$1:$I$88,3,0)*VLOOKUP('Données projet'!$B$10,Paramètres!$A$1:$I$88,5,0)</f>
        <v>-6.1186256061773749E-14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179.61236179838011</v>
      </c>
      <c r="AO137" s="62">
        <f t="shared" si="144"/>
        <v>186.66130555850333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0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projet'!$B$11,Paramètres!$A$1:$I$88,3,0)*VLOOKUP('Données projet'!$B$11,Paramètres!$A$1:$I$88,5,0)</f>
        <v>-5.3205440053716299E-14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335.00873408144395</v>
      </c>
      <c r="BJ137" s="62">
        <f t="shared" si="146"/>
        <v>106.28577694955948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0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projet'!$B$12,Paramètres!$A$1:$I$88,3,0)*VLOOKUP('Données projet'!$B$12,Paramètres!$A$1:$I$88,5,0)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136.47709057888358</v>
      </c>
      <c r="CE137" s="62">
        <f t="shared" si="148"/>
        <v>99.705248792886493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0</v>
      </c>
      <c r="CL137" s="23">
        <f>EXP(-LN(2)/25)*CL136+(1-EXP(-LN(2)/25))/(LN(2)/25)*Calculateur!CG137*Calculateur!CI137*VLOOKUP('Données projet'!$B$12,Paramètres!$A$1:$I$88,3,0)*0.475*44/12</f>
        <v>0</v>
      </c>
      <c r="CM137" s="23">
        <f>EXP(-LN(2)/2)*CM136+(1-EXP(-LN(2)/2))/(LN(2)/2)*CG137*CJ137*VLOOKUP('Données projet'!$B$12,Paramètres!$A$1:$I$88,3,0)*0.475*44/12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projet'!$B$13,Paramètres!$A$1:$I$88,3,0)*VLOOKUP('Données projet'!$B$13,Paramètres!$A$1:$I$88,5,0)</f>
        <v>5.4683368944097308E-14</v>
      </c>
      <c r="CV137" s="14">
        <f t="shared" si="149"/>
        <v>8.8129432816788268E-13</v>
      </c>
      <c r="CW137" s="22">
        <f t="shared" si="121"/>
        <v>1.6301611558033651E-12</v>
      </c>
      <c r="CX137" s="62">
        <f t="shared" si="122"/>
        <v>293.33333333333496</v>
      </c>
      <c r="CY137" s="62">
        <f ca="1">AVERAGE(OFFSET($CX$3,0,0,'Données projet'!$E$13+1,1))-AVERAGE(OFFSET($H$3,0,0,'Données projet'!$E$13+1,1))</f>
        <v>205.01234521498333</v>
      </c>
      <c r="CZ137" s="62">
        <f t="shared" si="150"/>
        <v>100.26042113972852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projet'!$B$13,Paramètres!$A$1:$I$88,3,0)*0.475*44/12</f>
        <v>0</v>
      </c>
      <c r="DG137" s="23">
        <f>EXP(-LN(2)/25)*DG136+(1-EXP(-LN(2)/25))/(LN(2)/25)*Calculateur!DB137*Calculateur!DD137*VLOOKUP('Données projet'!$B$13,Paramètres!$A$1:$I$88,3,0)*0.475*44/12</f>
        <v>0</v>
      </c>
      <c r="DH137" s="23">
        <f>EXP(-LN(2)/2)*DH136+(1-EXP(-LN(2)/2))/(LN(2)/2)*DB137*DE137*VLOOKUP('Données projet'!$B$13,Paramètres!$A$1:$I$88,3,0)*0.475*44/12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39.487499999999962</v>
      </c>
      <c r="D138" s="12">
        <f t="shared" si="140"/>
        <v>11.86270694614057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396.38756239126025</v>
      </c>
      <c r="H138" s="70">
        <f t="shared" si="110"/>
        <v>382.76827709786141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projet'!$B$9,Paramètres!$A$1:$I$88,3,0)*VLOOKUP('Données projet'!$B$9,Paramètres!$A$1:$I$88,5,0)</f>
        <v>-5.7639226724859328E-14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167.90363814107491</v>
      </c>
      <c r="T138" s="62">
        <f t="shared" si="142"/>
        <v>174.92847878212234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</v>
      </c>
      <c r="AB138" s="23">
        <f>EXP(-LN(2)/2)*AB137+(1-EXP(-LN(2)/2))/(LN(2)/2)*V138*Y138*VLOOKUP('Données projet'!$B$9,Paramètres!$A$1:$I$88,3,0)*0.475*44/12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projet'!$B$10,Paramètres!$A$1:$I$88,3,0)*VLOOKUP('Données projet'!$B$10,Paramètres!$A$1:$I$88,5,0)</f>
        <v>-6.1186256061773749E-14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179.61236179838011</v>
      </c>
      <c r="AO138" s="62">
        <f t="shared" si="144"/>
        <v>186.66130555850333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0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projet'!$B$11,Paramètres!$A$1:$I$88,3,0)*VLOOKUP('Données projet'!$B$11,Paramètres!$A$1:$I$88,5,0)</f>
        <v>-5.3205440053716299E-14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335.00873408144395</v>
      </c>
      <c r="BJ138" s="62">
        <f t="shared" si="146"/>
        <v>106.28577694955948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0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projet'!$B$12,Paramètres!$A$1:$I$88,3,0)*VLOOKUP('Données projet'!$B$12,Paramètres!$A$1:$I$88,5,0)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136.47709057888358</v>
      </c>
      <c r="CE138" s="62">
        <f t="shared" si="148"/>
        <v>99.705248792886493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0</v>
      </c>
      <c r="CL138" s="23">
        <f>EXP(-LN(2)/25)*CL137+(1-EXP(-LN(2)/25))/(LN(2)/25)*Calculateur!CG138*Calculateur!CI138*VLOOKUP('Données projet'!$B$12,Paramètres!$A$1:$I$88,3,0)*0.475*44/12</f>
        <v>0</v>
      </c>
      <c r="CM138" s="23">
        <f>EXP(-LN(2)/2)*CM137+(1-EXP(-LN(2)/2))/(LN(2)/2)*CG138*CJ138*VLOOKUP('Données projet'!$B$12,Paramètres!$A$1:$I$88,3,0)*0.475*44/12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projet'!$B$13,Paramètres!$A$1:$I$88,3,0)*VLOOKUP('Données projet'!$B$13,Paramètres!$A$1:$I$88,5,0)</f>
        <v>5.4683368944097308E-14</v>
      </c>
      <c r="CV138" s="14">
        <f t="shared" si="149"/>
        <v>8.8129432816788268E-13</v>
      </c>
      <c r="CW138" s="22">
        <f t="shared" si="121"/>
        <v>1.6301611558033651E-12</v>
      </c>
      <c r="CX138" s="62">
        <f t="shared" si="122"/>
        <v>293.33333333333496</v>
      </c>
      <c r="CY138" s="62">
        <f ca="1">AVERAGE(OFFSET($CX$3,0,0,'Données projet'!$E$13+1,1))-AVERAGE(OFFSET($H$3,0,0,'Données projet'!$E$13+1,1))</f>
        <v>205.01234521498333</v>
      </c>
      <c r="CZ138" s="62">
        <f t="shared" si="150"/>
        <v>100.26042113972852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projet'!$B$13,Paramètres!$A$1:$I$88,3,0)*0.475*44/12</f>
        <v>0</v>
      </c>
      <c r="DG138" s="23">
        <f>EXP(-LN(2)/25)*DG137+(1-EXP(-LN(2)/25))/(LN(2)/25)*Calculateur!DB138*Calculateur!DD138*VLOOKUP('Données projet'!$B$13,Paramètres!$A$1:$I$88,3,0)*0.475*44/12</f>
        <v>0</v>
      </c>
      <c r="DH138" s="23">
        <f>EXP(-LN(2)/2)*DH137+(1-EXP(-LN(2)/2))/(LN(2)/2)*DB138*DE138*VLOOKUP('Données projet'!$B$13,Paramètres!$A$1:$I$88,3,0)*0.475*44/12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39.779999999999959</v>
      </c>
      <c r="D139" s="12">
        <f t="shared" si="140"/>
        <v>11.940317178785914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399.24455366080332</v>
      </c>
      <c r="H139" s="70">
        <f t="shared" si="110"/>
        <v>383.41288575305202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projet'!$B$9,Paramètres!$A$1:$I$88,3,0)*VLOOKUP('Données projet'!$B$9,Paramètres!$A$1:$I$88,5,0)</f>
        <v>-5.7639226724859328E-14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167.90363814107491</v>
      </c>
      <c r="T139" s="62">
        <f t="shared" si="142"/>
        <v>174.92847878212234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</v>
      </c>
      <c r="AB139" s="23">
        <f>EXP(-LN(2)/2)*AB138+(1-EXP(-LN(2)/2))/(LN(2)/2)*V139*Y139*VLOOKUP('Données projet'!$B$9,Paramètres!$A$1:$I$88,3,0)*0.475*44/12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projet'!$B$10,Paramètres!$A$1:$I$88,3,0)*VLOOKUP('Données projet'!$B$10,Paramètres!$A$1:$I$88,5,0)</f>
        <v>-6.1186256061773749E-14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179.61236179838011</v>
      </c>
      <c r="AO139" s="62">
        <f t="shared" si="144"/>
        <v>186.66130555850333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0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projet'!$B$11,Paramètres!$A$1:$I$88,3,0)*VLOOKUP('Données projet'!$B$11,Paramètres!$A$1:$I$88,5,0)</f>
        <v>-5.3205440053716299E-14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335.00873408144395</v>
      </c>
      <c r="BJ139" s="62">
        <f t="shared" si="146"/>
        <v>106.28577694955948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0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projet'!$B$12,Paramètres!$A$1:$I$88,3,0)*VLOOKUP('Données projet'!$B$12,Paramètres!$A$1:$I$88,5,0)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136.47709057888358</v>
      </c>
      <c r="CE139" s="62">
        <f t="shared" si="148"/>
        <v>99.705248792886493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0</v>
      </c>
      <c r="CL139" s="23">
        <f>EXP(-LN(2)/25)*CL138+(1-EXP(-LN(2)/25))/(LN(2)/25)*Calculateur!CG139*Calculateur!CI139*VLOOKUP('Données projet'!$B$12,Paramètres!$A$1:$I$88,3,0)*0.475*44/12</f>
        <v>0</v>
      </c>
      <c r="CM139" s="23">
        <f>EXP(-LN(2)/2)*CM138+(1-EXP(-LN(2)/2))/(LN(2)/2)*CG139*CJ139*VLOOKUP('Données projet'!$B$12,Paramètres!$A$1:$I$88,3,0)*0.475*44/12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projet'!$B$13,Paramètres!$A$1:$I$88,3,0)*VLOOKUP('Données projet'!$B$13,Paramètres!$A$1:$I$88,5,0)</f>
        <v>5.4683368944097308E-14</v>
      </c>
      <c r="CV139" s="14">
        <f t="shared" si="149"/>
        <v>8.8129432816788268E-13</v>
      </c>
      <c r="CW139" s="22">
        <f t="shared" si="121"/>
        <v>1.6301611558033651E-12</v>
      </c>
      <c r="CX139" s="62">
        <f t="shared" si="122"/>
        <v>293.33333333333496</v>
      </c>
      <c r="CY139" s="62">
        <f ca="1">AVERAGE(OFFSET($CX$3,0,0,'Données projet'!$E$13+1,1))-AVERAGE(OFFSET($H$3,0,0,'Données projet'!$E$13+1,1))</f>
        <v>205.01234521498333</v>
      </c>
      <c r="CZ139" s="62">
        <f t="shared" si="150"/>
        <v>100.26042113972852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projet'!$B$13,Paramètres!$A$1:$I$88,3,0)*0.475*44/12</f>
        <v>0</v>
      </c>
      <c r="DG139" s="23">
        <f>EXP(-LN(2)/25)*DG138+(1-EXP(-LN(2)/25))/(LN(2)/25)*Calculateur!DB139*Calculateur!DD139*VLOOKUP('Données projet'!$B$13,Paramètres!$A$1:$I$88,3,0)*0.475*44/12</f>
        <v>0</v>
      </c>
      <c r="DH139" s="23">
        <f>EXP(-LN(2)/2)*DH138+(1-EXP(-LN(2)/2))/(LN(2)/2)*DB139*DE139*VLOOKUP('Données projet'!$B$13,Paramètres!$A$1:$I$88,3,0)*0.475*44/12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40.072499999999955</v>
      </c>
      <c r="D140" s="12">
        <f t="shared" si="140"/>
        <v>12.017861013987851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402.10103238867782</v>
      </c>
      <c r="H140" s="70">
        <f t="shared" si="110"/>
        <v>384.05737876602876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projet'!$B$9,Paramètres!$A$1:$I$88,3,0)*VLOOKUP('Données projet'!$B$9,Paramètres!$A$1:$I$88,5,0)</f>
        <v>-5.7639226724859328E-14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167.90363814107491</v>
      </c>
      <c r="T140" s="62">
        <f t="shared" si="142"/>
        <v>174.92847878212234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</v>
      </c>
      <c r="AB140" s="23">
        <f>EXP(-LN(2)/2)*AB139+(1-EXP(-LN(2)/2))/(LN(2)/2)*V140*Y140*VLOOKUP('Données projet'!$B$9,Paramètres!$A$1:$I$88,3,0)*0.475*44/12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projet'!$B$10,Paramètres!$A$1:$I$88,3,0)*VLOOKUP('Données projet'!$B$10,Paramètres!$A$1:$I$88,5,0)</f>
        <v>-6.1186256061773749E-14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179.61236179838011</v>
      </c>
      <c r="AO140" s="62">
        <f t="shared" si="144"/>
        <v>186.66130555850333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0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projet'!$B$11,Paramètres!$A$1:$I$88,3,0)*VLOOKUP('Données projet'!$B$11,Paramètres!$A$1:$I$88,5,0)</f>
        <v>-5.3205440053716299E-14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335.00873408144395</v>
      </c>
      <c r="BJ140" s="62">
        <f t="shared" si="146"/>
        <v>106.28577694955948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0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projet'!$B$12,Paramètres!$A$1:$I$88,3,0)*VLOOKUP('Données projet'!$B$12,Paramètres!$A$1:$I$88,5,0)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136.47709057888358</v>
      </c>
      <c r="CE140" s="62">
        <f t="shared" si="148"/>
        <v>99.705248792886493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0</v>
      </c>
      <c r="CL140" s="23">
        <f>EXP(-LN(2)/25)*CL139+(1-EXP(-LN(2)/25))/(LN(2)/25)*Calculateur!CG140*Calculateur!CI140*VLOOKUP('Données projet'!$B$12,Paramètres!$A$1:$I$88,3,0)*0.475*44/12</f>
        <v>0</v>
      </c>
      <c r="CM140" s="23">
        <f>EXP(-LN(2)/2)*CM139+(1-EXP(-LN(2)/2))/(LN(2)/2)*CG140*CJ140*VLOOKUP('Données projet'!$B$12,Paramètres!$A$1:$I$88,3,0)*0.475*44/12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projet'!$B$13,Paramètres!$A$1:$I$88,3,0)*VLOOKUP('Données projet'!$B$13,Paramètres!$A$1:$I$88,5,0)</f>
        <v>5.4683368944097308E-14</v>
      </c>
      <c r="CV140" s="14">
        <f t="shared" si="149"/>
        <v>8.8129432816788268E-13</v>
      </c>
      <c r="CW140" s="22">
        <f t="shared" si="121"/>
        <v>1.6301611558033651E-12</v>
      </c>
      <c r="CX140" s="62">
        <f t="shared" si="122"/>
        <v>293.33333333333496</v>
      </c>
      <c r="CY140" s="62">
        <f ca="1">AVERAGE(OFFSET($CX$3,0,0,'Données projet'!$E$13+1,1))-AVERAGE(OFFSET($H$3,0,0,'Données projet'!$E$13+1,1))</f>
        <v>205.01234521498333</v>
      </c>
      <c r="CZ140" s="62">
        <f t="shared" si="150"/>
        <v>100.26042113972852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projet'!$B$13,Paramètres!$A$1:$I$88,3,0)*0.475*44/12</f>
        <v>0</v>
      </c>
      <c r="DG140" s="23">
        <f>EXP(-LN(2)/25)*DG139+(1-EXP(-LN(2)/25))/(LN(2)/25)*Calculateur!DB140*Calculateur!DD140*VLOOKUP('Données projet'!$B$13,Paramètres!$A$1:$I$88,3,0)*0.475*44/12</f>
        <v>0</v>
      </c>
      <c r="DH140" s="23">
        <f>EXP(-LN(2)/2)*DH139+(1-EXP(-LN(2)/2))/(LN(2)/2)*DB140*DE140*VLOOKUP('Données projet'!$B$13,Paramètres!$A$1:$I$88,3,0)*0.475*44/12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40.364999999999952</v>
      </c>
      <c r="D141" s="12">
        <f t="shared" si="140"/>
        <v>12.095338992592687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404.95700274983795</v>
      </c>
      <c r="H141" s="70">
        <f t="shared" si="110"/>
        <v>384.70175707876547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projet'!$B$9,Paramètres!$A$1:$I$88,3,0)*VLOOKUP('Données projet'!$B$9,Paramètres!$A$1:$I$88,5,0)</f>
        <v>-5.7639226724859328E-14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167.90363814107491</v>
      </c>
      <c r="T141" s="62">
        <f t="shared" si="142"/>
        <v>174.92847878212234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</v>
      </c>
      <c r="AB141" s="23">
        <f>EXP(-LN(2)/2)*AB140+(1-EXP(-LN(2)/2))/(LN(2)/2)*V141*Y141*VLOOKUP('Données projet'!$B$9,Paramètres!$A$1:$I$88,3,0)*0.475*44/12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projet'!$B$10,Paramètres!$A$1:$I$88,3,0)*VLOOKUP('Données projet'!$B$10,Paramètres!$A$1:$I$88,5,0)</f>
        <v>-6.1186256061773749E-14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179.61236179838011</v>
      </c>
      <c r="AO141" s="62">
        <f t="shared" si="144"/>
        <v>186.66130555850333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0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projet'!$B$11,Paramètres!$A$1:$I$88,3,0)*VLOOKUP('Données projet'!$B$11,Paramètres!$A$1:$I$88,5,0)</f>
        <v>-5.3205440053716299E-14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335.00873408144395</v>
      </c>
      <c r="BJ141" s="62">
        <f t="shared" si="146"/>
        <v>106.28577694955948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0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projet'!$B$12,Paramètres!$A$1:$I$88,3,0)*VLOOKUP('Données projet'!$B$12,Paramètres!$A$1:$I$88,5,0)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136.47709057888358</v>
      </c>
      <c r="CE141" s="62">
        <f t="shared" si="148"/>
        <v>99.705248792886493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0</v>
      </c>
      <c r="CL141" s="23">
        <f>EXP(-LN(2)/25)*CL140+(1-EXP(-LN(2)/25))/(LN(2)/25)*Calculateur!CG141*Calculateur!CI141*VLOOKUP('Données projet'!$B$12,Paramètres!$A$1:$I$88,3,0)*0.475*44/12</f>
        <v>0</v>
      </c>
      <c r="CM141" s="23">
        <f>EXP(-LN(2)/2)*CM140+(1-EXP(-LN(2)/2))/(LN(2)/2)*CG141*CJ141*VLOOKUP('Données projet'!$B$12,Paramètres!$A$1:$I$88,3,0)*0.475*44/12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projet'!$B$13,Paramètres!$A$1:$I$88,3,0)*VLOOKUP('Données projet'!$B$13,Paramètres!$A$1:$I$88,5,0)</f>
        <v>5.4683368944097308E-14</v>
      </c>
      <c r="CV141" s="14">
        <f t="shared" si="149"/>
        <v>8.8129432816788268E-13</v>
      </c>
      <c r="CW141" s="22">
        <f t="shared" si="121"/>
        <v>1.6301611558033651E-12</v>
      </c>
      <c r="CX141" s="62">
        <f t="shared" si="122"/>
        <v>293.33333333333496</v>
      </c>
      <c r="CY141" s="62">
        <f ca="1">AVERAGE(OFFSET($CX$3,0,0,'Données projet'!$E$13+1,1))-AVERAGE(OFFSET($H$3,0,0,'Données projet'!$E$13+1,1))</f>
        <v>205.01234521498333</v>
      </c>
      <c r="CZ141" s="62">
        <f t="shared" si="150"/>
        <v>100.26042113972852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projet'!$B$13,Paramètres!$A$1:$I$88,3,0)*0.475*44/12</f>
        <v>0</v>
      </c>
      <c r="DG141" s="23">
        <f>EXP(-LN(2)/25)*DG140+(1-EXP(-LN(2)/25))/(LN(2)/25)*Calculateur!DB141*Calculateur!DD141*VLOOKUP('Données projet'!$B$13,Paramètres!$A$1:$I$88,3,0)*0.475*44/12</f>
        <v>0</v>
      </c>
      <c r="DH141" s="23">
        <f>EXP(-LN(2)/2)*DH140+(1-EXP(-LN(2)/2))/(LN(2)/2)*DB141*DE141*VLOOKUP('Données projet'!$B$13,Paramètres!$A$1:$I$88,3,0)*0.475*44/12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40.657499999999949</v>
      </c>
      <c r="D142" s="12">
        <f t="shared" si="140"/>
        <v>12.172751647155481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407.81246885523495</v>
      </c>
      <c r="H142" s="70">
        <f t="shared" si="110"/>
        <v>385.3460216187957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projet'!$B$9,Paramètres!$A$1:$I$88,3,0)*VLOOKUP('Données projet'!$B$9,Paramètres!$A$1:$I$88,5,0)</f>
        <v>-5.7639226724859328E-14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167.90363814107491</v>
      </c>
      <c r="T142" s="62">
        <f t="shared" si="142"/>
        <v>174.92847878212234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</v>
      </c>
      <c r="AB142" s="23">
        <f>EXP(-LN(2)/2)*AB141+(1-EXP(-LN(2)/2))/(LN(2)/2)*V142*Y142*VLOOKUP('Données projet'!$B$9,Paramètres!$A$1:$I$88,3,0)*0.475*44/12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projet'!$B$10,Paramètres!$A$1:$I$88,3,0)*VLOOKUP('Données projet'!$B$10,Paramètres!$A$1:$I$88,5,0)</f>
        <v>-6.1186256061773749E-14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179.61236179838011</v>
      </c>
      <c r="AO142" s="62">
        <f t="shared" si="144"/>
        <v>186.66130555850333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0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projet'!$B$11,Paramètres!$A$1:$I$88,3,0)*VLOOKUP('Données projet'!$B$11,Paramètres!$A$1:$I$88,5,0)</f>
        <v>-5.3205440053716299E-14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335.00873408144395</v>
      </c>
      <c r="BJ142" s="62">
        <f t="shared" si="146"/>
        <v>106.28577694955948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0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projet'!$B$12,Paramètres!$A$1:$I$88,3,0)*VLOOKUP('Données projet'!$B$12,Paramètres!$A$1:$I$88,5,0)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136.47709057888358</v>
      </c>
      <c r="CE142" s="62">
        <f t="shared" si="148"/>
        <v>99.705248792886493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0</v>
      </c>
      <c r="CL142" s="23">
        <f>EXP(-LN(2)/25)*CL141+(1-EXP(-LN(2)/25))/(LN(2)/25)*Calculateur!CG142*Calculateur!CI142*VLOOKUP('Données projet'!$B$12,Paramètres!$A$1:$I$88,3,0)*0.475*44/12</f>
        <v>0</v>
      </c>
      <c r="CM142" s="23">
        <f>EXP(-LN(2)/2)*CM141+(1-EXP(-LN(2)/2))/(LN(2)/2)*CG142*CJ142*VLOOKUP('Données projet'!$B$12,Paramètres!$A$1:$I$88,3,0)*0.475*44/12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projet'!$B$13,Paramètres!$A$1:$I$88,3,0)*VLOOKUP('Données projet'!$B$13,Paramètres!$A$1:$I$88,5,0)</f>
        <v>5.4683368944097308E-14</v>
      </c>
      <c r="CV142" s="14">
        <f t="shared" si="149"/>
        <v>8.8129432816788268E-13</v>
      </c>
      <c r="CW142" s="22">
        <f t="shared" si="121"/>
        <v>1.6301611558033651E-12</v>
      </c>
      <c r="CX142" s="62">
        <f t="shared" si="122"/>
        <v>293.33333333333496</v>
      </c>
      <c r="CY142" s="62">
        <f ca="1">AVERAGE(OFFSET($CX$3,0,0,'Données projet'!$E$13+1,1))-AVERAGE(OFFSET($H$3,0,0,'Données projet'!$E$13+1,1))</f>
        <v>205.01234521498333</v>
      </c>
      <c r="CZ142" s="62">
        <f t="shared" si="150"/>
        <v>100.26042113972852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projet'!$B$13,Paramètres!$A$1:$I$88,3,0)*0.475*44/12</f>
        <v>0</v>
      </c>
      <c r="DG142" s="23">
        <f>EXP(-LN(2)/25)*DG141+(1-EXP(-LN(2)/25))/(LN(2)/25)*Calculateur!DB142*Calculateur!DD142*VLOOKUP('Données projet'!$B$13,Paramètres!$A$1:$I$88,3,0)*0.475*44/12</f>
        <v>0</v>
      </c>
      <c r="DH142" s="23">
        <f>EXP(-LN(2)/2)*DH141+(1-EXP(-LN(2)/2))/(LN(2)/2)*DB142*DE142*VLOOKUP('Données projet'!$B$13,Paramètres!$A$1:$I$88,3,0)*0.475*44/12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40.949999999999946</v>
      </c>
      <c r="D143" s="12">
        <f t="shared" si="140"/>
        <v>12.250099502125833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410.66743475325165</v>
      </c>
      <c r="H143" s="70">
        <f t="shared" si="110"/>
        <v>385.99017329953574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projet'!$B$9,Paramètres!$A$1:$I$88,3,0)*VLOOKUP('Données projet'!$B$9,Paramètres!$A$1:$I$88,5,0)</f>
        <v>-5.7639226724859328E-14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167.90363814107491</v>
      </c>
      <c r="T143" s="62">
        <f t="shared" si="142"/>
        <v>174.92847878212234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</v>
      </c>
      <c r="AB143" s="23">
        <f>EXP(-LN(2)/2)*AB142+(1-EXP(-LN(2)/2))/(LN(2)/2)*V143*Y143*VLOOKUP('Données projet'!$B$9,Paramètres!$A$1:$I$88,3,0)*0.475*44/12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projet'!$B$10,Paramètres!$A$1:$I$88,3,0)*VLOOKUP('Données projet'!$B$10,Paramètres!$A$1:$I$88,5,0)</f>
        <v>-6.1186256061773749E-14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179.61236179838011</v>
      </c>
      <c r="AO143" s="62">
        <f t="shared" si="144"/>
        <v>186.66130555850333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0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projet'!$B$11,Paramètres!$A$1:$I$88,3,0)*VLOOKUP('Données projet'!$B$11,Paramètres!$A$1:$I$88,5,0)</f>
        <v>-5.3205440053716299E-14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335.00873408144395</v>
      </c>
      <c r="BJ143" s="62">
        <f t="shared" si="146"/>
        <v>106.28577694955948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0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projet'!$B$12,Paramètres!$A$1:$I$88,3,0)*VLOOKUP('Données projet'!$B$12,Paramètres!$A$1:$I$88,5,0)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136.47709057888358</v>
      </c>
      <c r="CE143" s="62">
        <f t="shared" si="148"/>
        <v>99.705248792886493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0</v>
      </c>
      <c r="CL143" s="23">
        <f>EXP(-LN(2)/25)*CL142+(1-EXP(-LN(2)/25))/(LN(2)/25)*Calculateur!CG143*Calculateur!CI143*VLOOKUP('Données projet'!$B$12,Paramètres!$A$1:$I$88,3,0)*0.475*44/12</f>
        <v>0</v>
      </c>
      <c r="CM143" s="23">
        <f>EXP(-LN(2)/2)*CM142+(1-EXP(-LN(2)/2))/(LN(2)/2)*CG143*CJ143*VLOOKUP('Données projet'!$B$12,Paramètres!$A$1:$I$88,3,0)*0.475*44/12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projet'!$B$13,Paramètres!$A$1:$I$88,3,0)*VLOOKUP('Données projet'!$B$13,Paramètres!$A$1:$I$88,5,0)</f>
        <v>5.4683368944097308E-14</v>
      </c>
      <c r="CV143" s="14">
        <f t="shared" si="149"/>
        <v>8.8129432816788268E-13</v>
      </c>
      <c r="CW143" s="22">
        <f t="shared" si="121"/>
        <v>1.6301611558033651E-12</v>
      </c>
      <c r="CX143" s="62">
        <f t="shared" si="122"/>
        <v>293.33333333333496</v>
      </c>
      <c r="CY143" s="62">
        <f ca="1">AVERAGE(OFFSET($CX$3,0,0,'Données projet'!$E$13+1,1))-AVERAGE(OFFSET($H$3,0,0,'Données projet'!$E$13+1,1))</f>
        <v>205.01234521498333</v>
      </c>
      <c r="CZ143" s="62">
        <f t="shared" si="150"/>
        <v>100.26042113972852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projet'!$B$13,Paramètres!$A$1:$I$88,3,0)*0.475*44/12</f>
        <v>0</v>
      </c>
      <c r="DG143" s="23">
        <f>EXP(-LN(2)/25)*DG142+(1-EXP(-LN(2)/25))/(LN(2)/25)*Calculateur!DB143*Calculateur!DD143*VLOOKUP('Données projet'!$B$13,Paramètres!$A$1:$I$88,3,0)*0.475*44/12</f>
        <v>0</v>
      </c>
      <c r="DH143" s="23">
        <f>EXP(-LN(2)/2)*DH142+(1-EXP(-LN(2)/2))/(LN(2)/2)*DB143*DE143*VLOOKUP('Données projet'!$B$13,Paramètres!$A$1:$I$88,3,0)*0.475*44/12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41.242499999999943</v>
      </c>
      <c r="D144" s="12">
        <f t="shared" si="140"/>
        <v>12.327383074028267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413.52190443109498</v>
      </c>
      <c r="H144" s="70">
        <f t="shared" si="110"/>
        <v>386.63421302059913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projet'!$B$9,Paramètres!$A$1:$I$88,3,0)*VLOOKUP('Données projet'!$B$9,Paramètres!$A$1:$I$88,5,0)</f>
        <v>-5.7639226724859328E-14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167.90363814107491</v>
      </c>
      <c r="T144" s="62">
        <f t="shared" si="142"/>
        <v>174.92847878212234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</v>
      </c>
      <c r="AB144" s="23">
        <f>EXP(-LN(2)/2)*AB143+(1-EXP(-LN(2)/2))/(LN(2)/2)*V144*Y144*VLOOKUP('Données projet'!$B$9,Paramètres!$A$1:$I$88,3,0)*0.475*44/12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projet'!$B$10,Paramètres!$A$1:$I$88,3,0)*VLOOKUP('Données projet'!$B$10,Paramètres!$A$1:$I$88,5,0)</f>
        <v>-6.1186256061773749E-14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179.61236179838011</v>
      </c>
      <c r="AO144" s="62">
        <f t="shared" si="144"/>
        <v>186.66130555850333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0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projet'!$B$11,Paramètres!$A$1:$I$88,3,0)*VLOOKUP('Données projet'!$B$11,Paramètres!$A$1:$I$88,5,0)</f>
        <v>-5.3205440053716299E-14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335.00873408144395</v>
      </c>
      <c r="BJ144" s="62">
        <f t="shared" si="146"/>
        <v>106.28577694955948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0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projet'!$B$12,Paramètres!$A$1:$I$88,3,0)*VLOOKUP('Données projet'!$B$12,Paramètres!$A$1:$I$88,5,0)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136.47709057888358</v>
      </c>
      <c r="CE144" s="62">
        <f t="shared" si="148"/>
        <v>99.705248792886493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0</v>
      </c>
      <c r="CL144" s="23">
        <f>EXP(-LN(2)/25)*CL143+(1-EXP(-LN(2)/25))/(LN(2)/25)*Calculateur!CG144*Calculateur!CI144*VLOOKUP('Données projet'!$B$12,Paramètres!$A$1:$I$88,3,0)*0.475*44/12</f>
        <v>0</v>
      </c>
      <c r="CM144" s="23">
        <f>EXP(-LN(2)/2)*CM143+(1-EXP(-LN(2)/2))/(LN(2)/2)*CG144*CJ144*VLOOKUP('Données projet'!$B$12,Paramètres!$A$1:$I$88,3,0)*0.475*44/12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projet'!$B$13,Paramètres!$A$1:$I$88,3,0)*VLOOKUP('Données projet'!$B$13,Paramètres!$A$1:$I$88,5,0)</f>
        <v>5.4683368944097308E-14</v>
      </c>
      <c r="CV144" s="14">
        <f t="shared" si="149"/>
        <v>8.8129432816788268E-13</v>
      </c>
      <c r="CW144" s="22">
        <f t="shared" si="121"/>
        <v>1.6301611558033651E-12</v>
      </c>
      <c r="CX144" s="62">
        <f t="shared" si="122"/>
        <v>293.33333333333496</v>
      </c>
      <c r="CY144" s="62">
        <f ca="1">AVERAGE(OFFSET($CX$3,0,0,'Données projet'!$E$13+1,1))-AVERAGE(OFFSET($H$3,0,0,'Données projet'!$E$13+1,1))</f>
        <v>205.01234521498333</v>
      </c>
      <c r="CZ144" s="62">
        <f t="shared" si="150"/>
        <v>100.26042113972852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projet'!$B$13,Paramètres!$A$1:$I$88,3,0)*0.475*44/12</f>
        <v>0</v>
      </c>
      <c r="DG144" s="23">
        <f>EXP(-LN(2)/25)*DG143+(1-EXP(-LN(2)/25))/(LN(2)/25)*Calculateur!DB144*Calculateur!DD144*VLOOKUP('Données projet'!$B$13,Paramètres!$A$1:$I$88,3,0)*0.475*44/12</f>
        <v>0</v>
      </c>
      <c r="DH144" s="23">
        <f>EXP(-LN(2)/2)*DH143+(1-EXP(-LN(2)/2))/(LN(2)/2)*DB144*DE144*VLOOKUP('Données projet'!$B$13,Paramètres!$A$1:$I$88,3,0)*0.475*44/12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41.53499999999994</v>
      </c>
      <c r="D145" s="12">
        <f t="shared" si="140"/>
        <v>12.404602871637332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416.37588181614734</v>
      </c>
      <c r="H145" s="70">
        <f t="shared" si="110"/>
        <v>387.27814166810157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projet'!$B$9,Paramètres!$A$1:$I$88,3,0)*VLOOKUP('Données projet'!$B$9,Paramètres!$A$1:$I$88,5,0)</f>
        <v>-5.7639226724859328E-14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167.90363814107491</v>
      </c>
      <c r="T145" s="62">
        <f t="shared" si="142"/>
        <v>174.92847878212234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</v>
      </c>
      <c r="AB145" s="23">
        <f>EXP(-LN(2)/2)*AB144+(1-EXP(-LN(2)/2))/(LN(2)/2)*V145*Y145*VLOOKUP('Données projet'!$B$9,Paramètres!$A$1:$I$88,3,0)*0.475*44/12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projet'!$B$10,Paramètres!$A$1:$I$88,3,0)*VLOOKUP('Données projet'!$B$10,Paramètres!$A$1:$I$88,5,0)</f>
        <v>-6.1186256061773749E-14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179.61236179838011</v>
      </c>
      <c r="AO145" s="62">
        <f t="shared" si="144"/>
        <v>186.66130555850333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0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projet'!$B$11,Paramètres!$A$1:$I$88,3,0)*VLOOKUP('Données projet'!$B$11,Paramètres!$A$1:$I$88,5,0)</f>
        <v>-5.3205440053716299E-14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335.00873408144395</v>
      </c>
      <c r="BJ145" s="62">
        <f t="shared" si="146"/>
        <v>106.28577694955948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0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projet'!$B$12,Paramètres!$A$1:$I$88,3,0)*VLOOKUP('Données projet'!$B$12,Paramètres!$A$1:$I$88,5,0)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136.47709057888358</v>
      </c>
      <c r="CE145" s="62">
        <f t="shared" si="148"/>
        <v>99.705248792886493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0</v>
      </c>
      <c r="CL145" s="23">
        <f>EXP(-LN(2)/25)*CL144+(1-EXP(-LN(2)/25))/(LN(2)/25)*Calculateur!CG145*Calculateur!CI145*VLOOKUP('Données projet'!$B$12,Paramètres!$A$1:$I$88,3,0)*0.475*44/12</f>
        <v>0</v>
      </c>
      <c r="CM145" s="23">
        <f>EXP(-LN(2)/2)*CM144+(1-EXP(-LN(2)/2))/(LN(2)/2)*CG145*CJ145*VLOOKUP('Données projet'!$B$12,Paramètres!$A$1:$I$88,3,0)*0.475*44/12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projet'!$B$13,Paramètres!$A$1:$I$88,3,0)*VLOOKUP('Données projet'!$B$13,Paramètres!$A$1:$I$88,5,0)</f>
        <v>5.4683368944097308E-14</v>
      </c>
      <c r="CV145" s="14">
        <f t="shared" si="149"/>
        <v>8.8129432816788268E-13</v>
      </c>
      <c r="CW145" s="22">
        <f t="shared" si="121"/>
        <v>1.6301611558033651E-12</v>
      </c>
      <c r="CX145" s="62">
        <f t="shared" si="122"/>
        <v>293.33333333333496</v>
      </c>
      <c r="CY145" s="62">
        <f ca="1">AVERAGE(OFFSET($CX$3,0,0,'Données projet'!$E$13+1,1))-AVERAGE(OFFSET($H$3,0,0,'Données projet'!$E$13+1,1))</f>
        <v>205.01234521498333</v>
      </c>
      <c r="CZ145" s="62">
        <f t="shared" si="150"/>
        <v>100.26042113972852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projet'!$B$13,Paramètres!$A$1:$I$88,3,0)*0.475*44/12</f>
        <v>0</v>
      </c>
      <c r="DG145" s="23">
        <f>EXP(-LN(2)/25)*DG144+(1-EXP(-LN(2)/25))/(LN(2)/25)*Calculateur!DB145*Calculateur!DD145*VLOOKUP('Données projet'!$B$13,Paramètres!$A$1:$I$88,3,0)*0.475*44/12</f>
        <v>0</v>
      </c>
      <c r="DH145" s="23">
        <f>EXP(-LN(2)/2)*DH144+(1-EXP(-LN(2)/2))/(LN(2)/2)*DB145*DE145*VLOOKUP('Données projet'!$B$13,Paramètres!$A$1:$I$88,3,0)*0.475*44/12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41.827499999999937</v>
      </c>
      <c r="D146" s="12">
        <f t="shared" si="140"/>
        <v>12.481759396147577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419.22937077727903</v>
      </c>
      <c r="H146" s="70">
        <f t="shared" si="110"/>
        <v>387.9219601149569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projet'!$B$9,Paramètres!$A$1:$I$88,3,0)*VLOOKUP('Données projet'!$B$9,Paramètres!$A$1:$I$88,5,0)</f>
        <v>-5.7639226724859328E-14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167.90363814107491</v>
      </c>
      <c r="T146" s="62">
        <f t="shared" si="142"/>
        <v>174.92847878212234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</v>
      </c>
      <c r="AB146" s="23">
        <f>EXP(-LN(2)/2)*AB145+(1-EXP(-LN(2)/2))/(LN(2)/2)*V146*Y146*VLOOKUP('Données projet'!$B$9,Paramètres!$A$1:$I$88,3,0)*0.475*44/12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projet'!$B$10,Paramètres!$A$1:$I$88,3,0)*VLOOKUP('Données projet'!$B$10,Paramètres!$A$1:$I$88,5,0)</f>
        <v>-6.1186256061773749E-14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179.61236179838011</v>
      </c>
      <c r="AO146" s="62">
        <f t="shared" si="144"/>
        <v>186.66130555850333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0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projet'!$B$11,Paramètres!$A$1:$I$88,3,0)*VLOOKUP('Données projet'!$B$11,Paramètres!$A$1:$I$88,5,0)</f>
        <v>-5.3205440053716299E-14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335.00873408144395</v>
      </c>
      <c r="BJ146" s="62">
        <f t="shared" si="146"/>
        <v>106.28577694955948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0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projet'!$B$12,Paramètres!$A$1:$I$88,3,0)*VLOOKUP('Données projet'!$B$12,Paramètres!$A$1:$I$88,5,0)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136.47709057888358</v>
      </c>
      <c r="CE146" s="62">
        <f t="shared" si="148"/>
        <v>99.705248792886493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0</v>
      </c>
      <c r="CL146" s="23">
        <f>EXP(-LN(2)/25)*CL145+(1-EXP(-LN(2)/25))/(LN(2)/25)*Calculateur!CG146*Calculateur!CI146*VLOOKUP('Données projet'!$B$12,Paramètres!$A$1:$I$88,3,0)*0.475*44/12</f>
        <v>0</v>
      </c>
      <c r="CM146" s="23">
        <f>EXP(-LN(2)/2)*CM145+(1-EXP(-LN(2)/2))/(LN(2)/2)*CG146*CJ146*VLOOKUP('Données projet'!$B$12,Paramètres!$A$1:$I$88,3,0)*0.475*44/12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projet'!$B$13,Paramètres!$A$1:$I$88,3,0)*VLOOKUP('Données projet'!$B$13,Paramètres!$A$1:$I$88,5,0)</f>
        <v>5.4683368944097308E-14</v>
      </c>
      <c r="CV146" s="14">
        <f t="shared" si="149"/>
        <v>8.8129432816788268E-13</v>
      </c>
      <c r="CW146" s="22">
        <f t="shared" si="121"/>
        <v>1.6301611558033651E-12</v>
      </c>
      <c r="CX146" s="62">
        <f t="shared" si="122"/>
        <v>293.33333333333496</v>
      </c>
      <c r="CY146" s="62">
        <f ca="1">AVERAGE(OFFSET($CX$3,0,0,'Données projet'!$E$13+1,1))-AVERAGE(OFFSET($H$3,0,0,'Données projet'!$E$13+1,1))</f>
        <v>205.01234521498333</v>
      </c>
      <c r="CZ146" s="62">
        <f t="shared" si="150"/>
        <v>100.26042113972852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projet'!$B$13,Paramètres!$A$1:$I$88,3,0)*0.475*44/12</f>
        <v>0</v>
      </c>
      <c r="DG146" s="23">
        <f>EXP(-LN(2)/25)*DG145+(1-EXP(-LN(2)/25))/(LN(2)/25)*Calculateur!DB146*Calculateur!DD146*VLOOKUP('Données projet'!$B$13,Paramètres!$A$1:$I$88,3,0)*0.475*44/12</f>
        <v>0</v>
      </c>
      <c r="DH146" s="23">
        <f>EXP(-LN(2)/2)*DH145+(1-EXP(-LN(2)/2))/(LN(2)/2)*DB146*DE146*VLOOKUP('Données projet'!$B$13,Paramètres!$A$1:$I$88,3,0)*0.475*44/12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42.119999999999933</v>
      </c>
      <c r="D147" s="12">
        <f t="shared" si="140"/>
        <v>12.558853141338737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422.08237512612305</v>
      </c>
      <c r="H147" s="70">
        <f t="shared" si="110"/>
        <v>388.56566922116485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projet'!$B$9,Paramètres!$A$1:$I$88,3,0)*VLOOKUP('Données projet'!$B$9,Paramètres!$A$1:$I$88,5,0)</f>
        <v>-5.7639226724859328E-14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167.90363814107491</v>
      </c>
      <c r="T147" s="62">
        <f t="shared" si="142"/>
        <v>174.92847878212234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</v>
      </c>
      <c r="AB147" s="23">
        <f>EXP(-LN(2)/2)*AB146+(1-EXP(-LN(2)/2))/(LN(2)/2)*V147*Y147*VLOOKUP('Données projet'!$B$9,Paramètres!$A$1:$I$88,3,0)*0.475*44/12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projet'!$B$10,Paramètres!$A$1:$I$88,3,0)*VLOOKUP('Données projet'!$B$10,Paramètres!$A$1:$I$88,5,0)</f>
        <v>-6.1186256061773749E-14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179.61236179838011</v>
      </c>
      <c r="AO147" s="62">
        <f t="shared" si="144"/>
        <v>186.66130555850333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0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projet'!$B$11,Paramètres!$A$1:$I$88,3,0)*VLOOKUP('Données projet'!$B$11,Paramètres!$A$1:$I$88,5,0)</f>
        <v>-5.3205440053716299E-14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335.00873408144395</v>
      </c>
      <c r="BJ147" s="62">
        <f t="shared" si="146"/>
        <v>106.28577694955948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0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projet'!$B$12,Paramètres!$A$1:$I$88,3,0)*VLOOKUP('Données projet'!$B$12,Paramètres!$A$1:$I$88,5,0)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136.47709057888358</v>
      </c>
      <c r="CE147" s="62">
        <f t="shared" si="148"/>
        <v>99.705248792886493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0</v>
      </c>
      <c r="CL147" s="23">
        <f>EXP(-LN(2)/25)*CL146+(1-EXP(-LN(2)/25))/(LN(2)/25)*Calculateur!CG147*Calculateur!CI147*VLOOKUP('Données projet'!$B$12,Paramètres!$A$1:$I$88,3,0)*0.475*44/12</f>
        <v>0</v>
      </c>
      <c r="CM147" s="23">
        <f>EXP(-LN(2)/2)*CM146+(1-EXP(-LN(2)/2))/(LN(2)/2)*CG147*CJ147*VLOOKUP('Données projet'!$B$12,Paramètres!$A$1:$I$88,3,0)*0.475*44/12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projet'!$B$13,Paramètres!$A$1:$I$88,3,0)*VLOOKUP('Données projet'!$B$13,Paramètres!$A$1:$I$88,5,0)</f>
        <v>5.4683368944097308E-14</v>
      </c>
      <c r="CV147" s="14">
        <f t="shared" si="149"/>
        <v>8.8129432816788268E-13</v>
      </c>
      <c r="CW147" s="22">
        <f t="shared" si="121"/>
        <v>1.6301611558033651E-12</v>
      </c>
      <c r="CX147" s="62">
        <f t="shared" si="122"/>
        <v>293.33333333333496</v>
      </c>
      <c r="CY147" s="62">
        <f ca="1">AVERAGE(OFFSET($CX$3,0,0,'Données projet'!$E$13+1,1))-AVERAGE(OFFSET($H$3,0,0,'Données projet'!$E$13+1,1))</f>
        <v>205.01234521498333</v>
      </c>
      <c r="CZ147" s="62">
        <f t="shared" si="150"/>
        <v>100.26042113972852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projet'!$B$13,Paramètres!$A$1:$I$88,3,0)*0.475*44/12</f>
        <v>0</v>
      </c>
      <c r="DG147" s="23">
        <f>EXP(-LN(2)/25)*DG146+(1-EXP(-LN(2)/25))/(LN(2)/25)*Calculateur!DB147*Calculateur!DD147*VLOOKUP('Données projet'!$B$13,Paramètres!$A$1:$I$88,3,0)*0.475*44/12</f>
        <v>0</v>
      </c>
      <c r="DH147" s="23">
        <f>EXP(-LN(2)/2)*DH146+(1-EXP(-LN(2)/2))/(LN(2)/2)*DB147*DE147*VLOOKUP('Données projet'!$B$13,Paramètres!$A$1:$I$88,3,0)*0.475*44/12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42.41249999999993</v>
      </c>
      <c r="D148" s="12">
        <f t="shared" si="140"/>
        <v>12.635884593736101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424.9348986183133</v>
      </c>
      <c r="H148" s="70">
        <f t="shared" si="110"/>
        <v>389.20926983409026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projet'!$B$9,Paramètres!$A$1:$I$88,3,0)*VLOOKUP('Données projet'!$B$9,Paramètres!$A$1:$I$88,5,0)</f>
        <v>-5.7639226724859328E-14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167.90363814107491</v>
      </c>
      <c r="T148" s="62">
        <f t="shared" si="142"/>
        <v>174.92847878212234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</v>
      </c>
      <c r="AB148" s="23">
        <f>EXP(-LN(2)/2)*AB147+(1-EXP(-LN(2)/2))/(LN(2)/2)*V148*Y148*VLOOKUP('Données projet'!$B$9,Paramètres!$A$1:$I$88,3,0)*0.475*44/12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projet'!$B$10,Paramètres!$A$1:$I$88,3,0)*VLOOKUP('Données projet'!$B$10,Paramètres!$A$1:$I$88,5,0)</f>
        <v>-6.1186256061773749E-14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179.61236179838011</v>
      </c>
      <c r="AO148" s="62">
        <f t="shared" si="144"/>
        <v>186.66130555850333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0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projet'!$B$11,Paramètres!$A$1:$I$88,3,0)*VLOOKUP('Données projet'!$B$11,Paramètres!$A$1:$I$88,5,0)</f>
        <v>-5.3205440053716299E-14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335.00873408144395</v>
      </c>
      <c r="BJ148" s="62">
        <f t="shared" si="146"/>
        <v>106.28577694955948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0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projet'!$B$12,Paramètres!$A$1:$I$88,3,0)*VLOOKUP('Données projet'!$B$12,Paramètres!$A$1:$I$88,5,0)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136.47709057888358</v>
      </c>
      <c r="CE148" s="62">
        <f t="shared" si="148"/>
        <v>99.705248792886493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0</v>
      </c>
      <c r="CL148" s="23">
        <f>EXP(-LN(2)/25)*CL147+(1-EXP(-LN(2)/25))/(LN(2)/25)*Calculateur!CG148*Calculateur!CI148*VLOOKUP('Données projet'!$B$12,Paramètres!$A$1:$I$88,3,0)*0.475*44/12</f>
        <v>0</v>
      </c>
      <c r="CM148" s="23">
        <f>EXP(-LN(2)/2)*CM147+(1-EXP(-LN(2)/2))/(LN(2)/2)*CG148*CJ148*VLOOKUP('Données projet'!$B$12,Paramètres!$A$1:$I$88,3,0)*0.475*44/12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projet'!$B$13,Paramètres!$A$1:$I$88,3,0)*VLOOKUP('Données projet'!$B$13,Paramètres!$A$1:$I$88,5,0)</f>
        <v>5.4683368944097308E-14</v>
      </c>
      <c r="CV148" s="14">
        <f t="shared" si="149"/>
        <v>8.8129432816788268E-13</v>
      </c>
      <c r="CW148" s="22">
        <f t="shared" si="121"/>
        <v>1.6301611558033651E-12</v>
      </c>
      <c r="CX148" s="62">
        <f t="shared" si="122"/>
        <v>293.33333333333496</v>
      </c>
      <c r="CY148" s="62">
        <f ca="1">AVERAGE(OFFSET($CX$3,0,0,'Données projet'!$E$13+1,1))-AVERAGE(OFFSET($H$3,0,0,'Données projet'!$E$13+1,1))</f>
        <v>205.01234521498333</v>
      </c>
      <c r="CZ148" s="62">
        <f t="shared" si="150"/>
        <v>100.26042113972852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projet'!$B$13,Paramètres!$A$1:$I$88,3,0)*0.475*44/12</f>
        <v>0</v>
      </c>
      <c r="DG148" s="23">
        <f>EXP(-LN(2)/25)*DG147+(1-EXP(-LN(2)/25))/(LN(2)/25)*Calculateur!DB148*Calculateur!DD148*VLOOKUP('Données projet'!$B$13,Paramètres!$A$1:$I$88,3,0)*0.475*44/12</f>
        <v>0</v>
      </c>
      <c r="DH148" s="23">
        <f>EXP(-LN(2)/2)*DH147+(1-EXP(-LN(2)/2))/(LN(2)/2)*DB148*DE148*VLOOKUP('Données projet'!$B$13,Paramètres!$A$1:$I$88,3,0)*0.475*44/12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42.704999999999927</v>
      </c>
      <c r="D149" s="12">
        <f t="shared" si="140"/>
        <v>12.712854232766388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427.78694495468739</v>
      </c>
      <c r="H149" s="70">
        <f t="shared" si="110"/>
        <v>389.85276278873465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projet'!$B$9,Paramètres!$A$1:$I$88,3,0)*VLOOKUP('Données projet'!$B$9,Paramètres!$A$1:$I$88,5,0)</f>
        <v>-5.7639226724859328E-14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167.90363814107491</v>
      </c>
      <c r="T149" s="62">
        <f t="shared" si="142"/>
        <v>174.92847878212234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</v>
      </c>
      <c r="AB149" s="23">
        <f>EXP(-LN(2)/2)*AB148+(1-EXP(-LN(2)/2))/(LN(2)/2)*V149*Y149*VLOOKUP('Données projet'!$B$9,Paramètres!$A$1:$I$88,3,0)*0.475*44/12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projet'!$B$10,Paramètres!$A$1:$I$88,3,0)*VLOOKUP('Données projet'!$B$10,Paramètres!$A$1:$I$88,5,0)</f>
        <v>-6.1186256061773749E-14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179.61236179838011</v>
      </c>
      <c r="AO149" s="62">
        <f t="shared" si="144"/>
        <v>186.66130555850333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0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projet'!$B$11,Paramètres!$A$1:$I$88,3,0)*VLOOKUP('Données projet'!$B$11,Paramètres!$A$1:$I$88,5,0)</f>
        <v>-5.3205440053716299E-14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335.00873408144395</v>
      </c>
      <c r="BJ149" s="62">
        <f t="shared" si="146"/>
        <v>106.28577694955948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0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projet'!$B$12,Paramètres!$A$1:$I$88,3,0)*VLOOKUP('Données projet'!$B$12,Paramètres!$A$1:$I$88,5,0)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136.47709057888358</v>
      </c>
      <c r="CE149" s="62">
        <f t="shared" si="148"/>
        <v>99.705248792886493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0</v>
      </c>
      <c r="CL149" s="23">
        <f>EXP(-LN(2)/25)*CL148+(1-EXP(-LN(2)/25))/(LN(2)/25)*Calculateur!CG149*Calculateur!CI149*VLOOKUP('Données projet'!$B$12,Paramètres!$A$1:$I$88,3,0)*0.475*44/12</f>
        <v>0</v>
      </c>
      <c r="CM149" s="23">
        <f>EXP(-LN(2)/2)*CM148+(1-EXP(-LN(2)/2))/(LN(2)/2)*CG149*CJ149*VLOOKUP('Données projet'!$B$12,Paramètres!$A$1:$I$88,3,0)*0.475*44/12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projet'!$B$13,Paramètres!$A$1:$I$88,3,0)*VLOOKUP('Données projet'!$B$13,Paramètres!$A$1:$I$88,5,0)</f>
        <v>5.4683368944097308E-14</v>
      </c>
      <c r="CV149" s="14">
        <f t="shared" si="149"/>
        <v>8.8129432816788268E-13</v>
      </c>
      <c r="CW149" s="22">
        <f t="shared" si="121"/>
        <v>1.6301611558033651E-12</v>
      </c>
      <c r="CX149" s="62">
        <f t="shared" si="122"/>
        <v>293.33333333333496</v>
      </c>
      <c r="CY149" s="62">
        <f ca="1">AVERAGE(OFFSET($CX$3,0,0,'Données projet'!$E$13+1,1))-AVERAGE(OFFSET($H$3,0,0,'Données projet'!$E$13+1,1))</f>
        <v>205.01234521498333</v>
      </c>
      <c r="CZ149" s="62">
        <f t="shared" si="150"/>
        <v>100.26042113972852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projet'!$B$13,Paramètres!$A$1:$I$88,3,0)*0.475*44/12</f>
        <v>0</v>
      </c>
      <c r="DG149" s="23">
        <f>EXP(-LN(2)/25)*DG148+(1-EXP(-LN(2)/25))/(LN(2)/25)*Calculateur!DB149*Calculateur!DD149*VLOOKUP('Données projet'!$B$13,Paramètres!$A$1:$I$88,3,0)*0.475*44/12</f>
        <v>0</v>
      </c>
      <c r="DH149" s="23">
        <f>EXP(-LN(2)/2)*DH148+(1-EXP(-LN(2)/2))/(LN(2)/2)*DB149*DE149*VLOOKUP('Données projet'!$B$13,Paramètres!$A$1:$I$88,3,0)*0.475*44/12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42.997499999999924</v>
      </c>
      <c r="D150" s="12">
        <f t="shared" si="140"/>
        <v>12.789762530909226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430.63851778245657</v>
      </c>
      <c r="H150" s="70">
        <f t="shared" si="110"/>
        <v>390.49614890800007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projet'!$B$9,Paramètres!$A$1:$I$88,3,0)*VLOOKUP('Données projet'!$B$9,Paramètres!$A$1:$I$88,5,0)</f>
        <v>-5.7639226724859328E-14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167.90363814107491</v>
      </c>
      <c r="T150" s="62">
        <f t="shared" si="142"/>
        <v>174.92847878212234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</v>
      </c>
      <c r="AB150" s="23">
        <f>EXP(-LN(2)/2)*AB149+(1-EXP(-LN(2)/2))/(LN(2)/2)*V150*Y150*VLOOKUP('Données projet'!$B$9,Paramètres!$A$1:$I$88,3,0)*0.475*44/12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projet'!$B$10,Paramètres!$A$1:$I$88,3,0)*VLOOKUP('Données projet'!$B$10,Paramètres!$A$1:$I$88,5,0)</f>
        <v>-6.1186256061773749E-14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179.61236179838011</v>
      </c>
      <c r="AO150" s="62">
        <f t="shared" si="144"/>
        <v>186.66130555850333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0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projet'!$B$11,Paramètres!$A$1:$I$88,3,0)*VLOOKUP('Données projet'!$B$11,Paramètres!$A$1:$I$88,5,0)</f>
        <v>-5.3205440053716299E-14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335.00873408144395</v>
      </c>
      <c r="BJ150" s="62">
        <f t="shared" si="146"/>
        <v>106.28577694955948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0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projet'!$B$12,Paramètres!$A$1:$I$88,3,0)*VLOOKUP('Données projet'!$B$12,Paramètres!$A$1:$I$88,5,0)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136.47709057888358</v>
      </c>
      <c r="CE150" s="62">
        <f t="shared" si="148"/>
        <v>99.705248792886493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0</v>
      </c>
      <c r="CL150" s="23">
        <f>EXP(-LN(2)/25)*CL149+(1-EXP(-LN(2)/25))/(LN(2)/25)*Calculateur!CG150*Calculateur!CI150*VLOOKUP('Données projet'!$B$12,Paramètres!$A$1:$I$88,3,0)*0.475*44/12</f>
        <v>0</v>
      </c>
      <c r="CM150" s="23">
        <f>EXP(-LN(2)/2)*CM149+(1-EXP(-LN(2)/2))/(LN(2)/2)*CG150*CJ150*VLOOKUP('Données projet'!$B$12,Paramètres!$A$1:$I$88,3,0)*0.475*44/12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projet'!$B$13,Paramètres!$A$1:$I$88,3,0)*VLOOKUP('Données projet'!$B$13,Paramètres!$A$1:$I$88,5,0)</f>
        <v>5.4683368944097308E-14</v>
      </c>
      <c r="CV150" s="14">
        <f t="shared" si="149"/>
        <v>8.8129432816788268E-13</v>
      </c>
      <c r="CW150" s="22">
        <f t="shared" si="121"/>
        <v>1.6301611558033651E-12</v>
      </c>
      <c r="CX150" s="62">
        <f t="shared" si="122"/>
        <v>293.33333333333496</v>
      </c>
      <c r="CY150" s="62">
        <f ca="1">AVERAGE(OFFSET($CX$3,0,0,'Données projet'!$E$13+1,1))-AVERAGE(OFFSET($H$3,0,0,'Données projet'!$E$13+1,1))</f>
        <v>205.01234521498333</v>
      </c>
      <c r="CZ150" s="62">
        <f t="shared" si="150"/>
        <v>100.26042113972852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projet'!$B$13,Paramètres!$A$1:$I$88,3,0)*0.475*44/12</f>
        <v>0</v>
      </c>
      <c r="DG150" s="23">
        <f>EXP(-LN(2)/25)*DG149+(1-EXP(-LN(2)/25))/(LN(2)/25)*Calculateur!DB150*Calculateur!DD150*VLOOKUP('Données projet'!$B$13,Paramètres!$A$1:$I$88,3,0)*0.475*44/12</f>
        <v>0</v>
      </c>
      <c r="DH150" s="23">
        <f>EXP(-LN(2)/2)*DH149+(1-EXP(-LN(2)/2))/(LN(2)/2)*DB150*DE150*VLOOKUP('Données projet'!$B$13,Paramètres!$A$1:$I$88,3,0)*0.475*44/12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43.289999999999921</v>
      </c>
      <c r="D151" s="12">
        <f t="shared" si="140"/>
        <v>12.866609953844321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433.48962069634149</v>
      </c>
      <c r="H151" s="70">
        <f t="shared" si="110"/>
        <v>391.13942900294535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projet'!$B$9,Paramètres!$A$1:$I$88,3,0)*VLOOKUP('Données projet'!$B$9,Paramètres!$A$1:$I$88,5,0)</f>
        <v>-5.7639226724859328E-14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167.90363814107491</v>
      </c>
      <c r="T151" s="62">
        <f t="shared" si="142"/>
        <v>174.92847878212234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</v>
      </c>
      <c r="AB151" s="23">
        <f>EXP(-LN(2)/2)*AB150+(1-EXP(-LN(2)/2))/(LN(2)/2)*V151*Y151*VLOOKUP('Données projet'!$B$9,Paramètres!$A$1:$I$88,3,0)*0.475*44/12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projet'!$B$10,Paramètres!$A$1:$I$88,3,0)*VLOOKUP('Données projet'!$B$10,Paramètres!$A$1:$I$88,5,0)</f>
        <v>-6.1186256061773749E-14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179.61236179838011</v>
      </c>
      <c r="AO151" s="62">
        <f t="shared" si="144"/>
        <v>186.66130555850333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0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projet'!$B$11,Paramètres!$A$1:$I$88,3,0)*VLOOKUP('Données projet'!$B$11,Paramètres!$A$1:$I$88,5,0)</f>
        <v>-5.3205440053716299E-14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335.00873408144395</v>
      </c>
      <c r="BJ151" s="62">
        <f t="shared" si="146"/>
        <v>106.28577694955948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0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projet'!$B$12,Paramètres!$A$1:$I$88,3,0)*VLOOKUP('Données projet'!$B$12,Paramètres!$A$1:$I$88,5,0)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136.47709057888358</v>
      </c>
      <c r="CE151" s="62">
        <f t="shared" si="148"/>
        <v>99.705248792886493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0</v>
      </c>
      <c r="CL151" s="23">
        <f>EXP(-LN(2)/25)*CL150+(1-EXP(-LN(2)/25))/(LN(2)/25)*Calculateur!CG151*Calculateur!CI151*VLOOKUP('Données projet'!$B$12,Paramètres!$A$1:$I$88,3,0)*0.475*44/12</f>
        <v>0</v>
      </c>
      <c r="CM151" s="23">
        <f>EXP(-LN(2)/2)*CM150+(1-EXP(-LN(2)/2))/(LN(2)/2)*CG151*CJ151*VLOOKUP('Données projet'!$B$12,Paramètres!$A$1:$I$88,3,0)*0.475*44/12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projet'!$B$13,Paramètres!$A$1:$I$88,3,0)*VLOOKUP('Données projet'!$B$13,Paramètres!$A$1:$I$88,5,0)</f>
        <v>5.4683368944097308E-14</v>
      </c>
      <c r="CV151" s="14">
        <f t="shared" si="149"/>
        <v>8.8129432816788268E-13</v>
      </c>
      <c r="CW151" s="22">
        <f t="shared" si="121"/>
        <v>1.6301611558033651E-12</v>
      </c>
      <c r="CX151" s="62">
        <f t="shared" si="122"/>
        <v>293.33333333333496</v>
      </c>
      <c r="CY151" s="62">
        <f ca="1">AVERAGE(OFFSET($CX$3,0,0,'Données projet'!$E$13+1,1))-AVERAGE(OFFSET($H$3,0,0,'Données projet'!$E$13+1,1))</f>
        <v>205.01234521498333</v>
      </c>
      <c r="CZ151" s="62">
        <f t="shared" si="150"/>
        <v>100.26042113972852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projet'!$B$13,Paramètres!$A$1:$I$88,3,0)*0.475*44/12</f>
        <v>0</v>
      </c>
      <c r="DG151" s="23">
        <f>EXP(-LN(2)/25)*DG150+(1-EXP(-LN(2)/25))/(LN(2)/25)*Calculateur!DB151*Calculateur!DD151*VLOOKUP('Données projet'!$B$13,Paramètres!$A$1:$I$88,3,0)*0.475*44/12</f>
        <v>0</v>
      </c>
      <c r="DH151" s="23">
        <f>EXP(-LN(2)/2)*DH150+(1-EXP(-LN(2)/2))/(LN(2)/2)*DB151*DE151*VLOOKUP('Données projet'!$B$13,Paramètres!$A$1:$I$88,3,0)*0.475*44/12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43.582499999999918</v>
      </c>
      <c r="D152" s="12">
        <f t="shared" si="140"/>
        <v>12.943396960594672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436.34025723967761</v>
      </c>
      <c r="H152" s="70">
        <f t="shared" si="110"/>
        <v>391.78260387303555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projet'!$B$9,Paramètres!$A$1:$I$88,3,0)*VLOOKUP('Données projet'!$B$9,Paramètres!$A$1:$I$88,5,0)</f>
        <v>-5.7639226724859328E-14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167.90363814107491</v>
      </c>
      <c r="T152" s="62">
        <f t="shared" si="142"/>
        <v>174.92847878212234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</v>
      </c>
      <c r="AB152" s="23">
        <f>EXP(-LN(2)/2)*AB151+(1-EXP(-LN(2)/2))/(LN(2)/2)*V152*Y152*VLOOKUP('Données projet'!$B$9,Paramètres!$A$1:$I$88,3,0)*0.475*44/12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projet'!$B$10,Paramètres!$A$1:$I$88,3,0)*VLOOKUP('Données projet'!$B$10,Paramètres!$A$1:$I$88,5,0)</f>
        <v>-6.1186256061773749E-14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179.61236179838011</v>
      </c>
      <c r="AO152" s="62">
        <f t="shared" si="144"/>
        <v>186.66130555850333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0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projet'!$B$11,Paramètres!$A$1:$I$88,3,0)*VLOOKUP('Données projet'!$B$11,Paramètres!$A$1:$I$88,5,0)</f>
        <v>-5.3205440053716299E-14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335.00873408144395</v>
      </c>
      <c r="BJ152" s="62">
        <f t="shared" si="146"/>
        <v>106.28577694955948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0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projet'!$B$12,Paramètres!$A$1:$I$88,3,0)*VLOOKUP('Données projet'!$B$12,Paramètres!$A$1:$I$88,5,0)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136.47709057888358</v>
      </c>
      <c r="CE152" s="62">
        <f t="shared" si="148"/>
        <v>99.705248792886493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0</v>
      </c>
      <c r="CL152" s="23">
        <f>EXP(-LN(2)/25)*CL151+(1-EXP(-LN(2)/25))/(LN(2)/25)*Calculateur!CG152*Calculateur!CI152*VLOOKUP('Données projet'!$B$12,Paramètres!$A$1:$I$88,3,0)*0.475*44/12</f>
        <v>0</v>
      </c>
      <c r="CM152" s="23">
        <f>EXP(-LN(2)/2)*CM151+(1-EXP(-LN(2)/2))/(LN(2)/2)*CG152*CJ152*VLOOKUP('Données projet'!$B$12,Paramètres!$A$1:$I$88,3,0)*0.475*44/12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projet'!$B$13,Paramètres!$A$1:$I$88,3,0)*VLOOKUP('Données projet'!$B$13,Paramètres!$A$1:$I$88,5,0)</f>
        <v>5.4683368944097308E-14</v>
      </c>
      <c r="CV152" s="14">
        <f t="shared" si="149"/>
        <v>8.8129432816788268E-13</v>
      </c>
      <c r="CW152" s="22">
        <f t="shared" si="121"/>
        <v>1.6301611558033651E-12</v>
      </c>
      <c r="CX152" s="62">
        <f t="shared" si="122"/>
        <v>293.33333333333496</v>
      </c>
      <c r="CY152" s="62">
        <f ca="1">AVERAGE(OFFSET($CX$3,0,0,'Données projet'!$E$13+1,1))-AVERAGE(OFFSET($H$3,0,0,'Données projet'!$E$13+1,1))</f>
        <v>205.01234521498333</v>
      </c>
      <c r="CZ152" s="62">
        <f t="shared" si="150"/>
        <v>100.26042113972852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projet'!$B$13,Paramètres!$A$1:$I$88,3,0)*0.475*44/12</f>
        <v>0</v>
      </c>
      <c r="DG152" s="23">
        <f>EXP(-LN(2)/25)*DG151+(1-EXP(-LN(2)/25))/(LN(2)/25)*Calculateur!DB152*Calculateur!DD152*VLOOKUP('Données projet'!$B$13,Paramètres!$A$1:$I$88,3,0)*0.475*44/12</f>
        <v>0</v>
      </c>
      <c r="DH152" s="23">
        <f>EXP(-LN(2)/2)*DH151+(1-EXP(-LN(2)/2))/(LN(2)/2)*DB152*DE152*VLOOKUP('Données projet'!$B$13,Paramètres!$A$1:$I$88,3,0)*0.475*44/12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43.874999999999915</v>
      </c>
      <c r="D153" s="12">
        <f t="shared" si="140"/>
        <v>13.020124003665662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439.19043090548871</v>
      </c>
      <c r="H153" s="70">
        <f t="shared" si="110"/>
        <v>392.42567430638417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projet'!$B$9,Paramètres!$A$1:$I$88,3,0)*VLOOKUP('Données projet'!$B$9,Paramètres!$A$1:$I$88,5,0)</f>
        <v>-5.7639226724859328E-14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167.90363814107491</v>
      </c>
      <c r="T153" s="62">
        <f t="shared" si="142"/>
        <v>174.92847878212234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</v>
      </c>
      <c r="AB153" s="23">
        <f>EXP(-LN(2)/2)*AB152+(1-EXP(-LN(2)/2))/(LN(2)/2)*V153*Y153*VLOOKUP('Données projet'!$B$9,Paramètres!$A$1:$I$88,3,0)*0.475*44/12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projet'!$B$10,Paramètres!$A$1:$I$88,3,0)*VLOOKUP('Données projet'!$B$10,Paramètres!$A$1:$I$88,5,0)</f>
        <v>-6.1186256061773749E-14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179.61236179838011</v>
      </c>
      <c r="AO153" s="62">
        <f t="shared" si="144"/>
        <v>186.66130555850333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0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projet'!$B$11,Paramètres!$A$1:$I$88,3,0)*VLOOKUP('Données projet'!$B$11,Paramètres!$A$1:$I$88,5,0)</f>
        <v>-5.3205440053716299E-14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335.00873408144395</v>
      </c>
      <c r="BJ153" s="62">
        <f t="shared" si="146"/>
        <v>106.28577694955948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0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projet'!$B$12,Paramètres!$A$1:$I$88,3,0)*VLOOKUP('Données projet'!$B$12,Paramètres!$A$1:$I$88,5,0)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136.47709057888358</v>
      </c>
      <c r="CE153" s="62">
        <f t="shared" si="148"/>
        <v>99.705248792886493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0</v>
      </c>
      <c r="CL153" s="23">
        <f>EXP(-LN(2)/25)*CL152+(1-EXP(-LN(2)/25))/(LN(2)/25)*Calculateur!CG153*Calculateur!CI153*VLOOKUP('Données projet'!$B$12,Paramètres!$A$1:$I$88,3,0)*0.475*44/12</f>
        <v>0</v>
      </c>
      <c r="CM153" s="23">
        <f>EXP(-LN(2)/2)*CM152+(1-EXP(-LN(2)/2))/(LN(2)/2)*CG153*CJ153*VLOOKUP('Données projet'!$B$12,Paramètres!$A$1:$I$88,3,0)*0.475*44/12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projet'!$B$13,Paramètres!$A$1:$I$88,3,0)*VLOOKUP('Données projet'!$B$13,Paramètres!$A$1:$I$88,5,0)</f>
        <v>5.4683368944097308E-14</v>
      </c>
      <c r="CV153" s="14">
        <f t="shared" si="149"/>
        <v>8.8129432816788268E-13</v>
      </c>
      <c r="CW153" s="22">
        <f t="shared" si="121"/>
        <v>1.6301611558033651E-12</v>
      </c>
      <c r="CX153" s="62">
        <f t="shared" si="122"/>
        <v>293.33333333333496</v>
      </c>
      <c r="CY153" s="62">
        <f ca="1">AVERAGE(OFFSET($CX$3,0,0,'Données projet'!$E$13+1,1))-AVERAGE(OFFSET($H$3,0,0,'Données projet'!$E$13+1,1))</f>
        <v>205.01234521498333</v>
      </c>
      <c r="CZ153" s="62">
        <f t="shared" si="150"/>
        <v>100.26042113972852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projet'!$B$13,Paramètres!$A$1:$I$88,3,0)*0.475*44/12</f>
        <v>0</v>
      </c>
      <c r="DG153" s="23">
        <f>EXP(-LN(2)/25)*DG152+(1-EXP(-LN(2)/25))/(LN(2)/25)*Calculateur!DB153*Calculateur!DD153*VLOOKUP('Données projet'!$B$13,Paramètres!$A$1:$I$88,3,0)*0.475*44/12</f>
        <v>0</v>
      </c>
      <c r="DH153" s="23">
        <f>EXP(-LN(2)/2)*DH152+(1-EXP(-LN(2)/2))/(LN(2)/2)*DB153*DE153*VLOOKUP('Données projet'!$B$13,Paramètres!$A$1:$I$88,3,0)*0.475*44/12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44.167499999999912</v>
      </c>
      <c r="D154" s="12">
        <f t="shared" si="140"/>
        <v>13.096791529180505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442.0401451375331</v>
      </c>
      <c r="H154" s="70">
        <f t="shared" si="110"/>
        <v>393.06864107998922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projet'!$B$9,Paramètres!$A$1:$I$88,3,0)*VLOOKUP('Données projet'!$B$9,Paramètres!$A$1:$I$88,5,0)</f>
        <v>-5.7639226724859328E-14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167.90363814107491</v>
      </c>
      <c r="T154" s="62">
        <f t="shared" si="142"/>
        <v>174.92847878212234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projet'!$B$10,Paramètres!$A$1:$I$88,3,0)*VLOOKUP('Données projet'!$B$10,Paramètres!$A$1:$I$88,5,0)</f>
        <v>-6.1186256061773749E-14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179.61236179838011</v>
      </c>
      <c r="AO154" s="62">
        <f t="shared" si="144"/>
        <v>186.66130555850333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0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projet'!$B$11,Paramètres!$A$1:$I$88,3,0)*VLOOKUP('Données projet'!$B$11,Paramètres!$A$1:$I$88,5,0)</f>
        <v>-5.3205440053716299E-14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335.00873408144395</v>
      </c>
      <c r="BJ154" s="62">
        <f t="shared" si="146"/>
        <v>106.28577694955948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0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projet'!$B$12,Paramètres!$A$1:$I$88,3,0)*VLOOKUP('Données projet'!$B$12,Paramètres!$A$1:$I$88,5,0)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136.47709057888358</v>
      </c>
      <c r="CE154" s="62">
        <f t="shared" si="148"/>
        <v>99.705248792886493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0</v>
      </c>
      <c r="CL154" s="23">
        <f>EXP(-LN(2)/25)*CL153+(1-EXP(-LN(2)/25))/(LN(2)/25)*Calculateur!CG154*Calculateur!CI154*VLOOKUP('Données projet'!$B$12,Paramètres!$A$1:$I$88,3,0)*0.475*44/12</f>
        <v>0</v>
      </c>
      <c r="CM154" s="23">
        <f>EXP(-LN(2)/2)*CM153+(1-EXP(-LN(2)/2))/(LN(2)/2)*CG154*CJ154*VLOOKUP('Données projet'!$B$12,Paramètres!$A$1:$I$88,3,0)*0.475*44/12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projet'!$B$13,Paramètres!$A$1:$I$88,3,0)*VLOOKUP('Données projet'!$B$13,Paramètres!$A$1:$I$88,5,0)</f>
        <v>5.4683368944097308E-14</v>
      </c>
      <c r="CV154" s="14">
        <f t="shared" ref="CV154:CV203" si="173">EXP(-1.0587+0.8836*LN(CU154)+0.284)</f>
        <v>8.8129432816788268E-13</v>
      </c>
      <c r="CW154" s="22">
        <f t="shared" ref="CW154:CW203" si="174">(CU154+CV154)*0.475*44/12</f>
        <v>1.6301611558033651E-12</v>
      </c>
      <c r="CX154" s="62">
        <f t="shared" si="122"/>
        <v>293.33333333333496</v>
      </c>
      <c r="CY154" s="62">
        <f ca="1">AVERAGE(OFFSET($CX$3,0,0,'Données projet'!$E$13+1,1))-AVERAGE(OFFSET($H$3,0,0,'Données projet'!$E$13+1,1))</f>
        <v>205.01234521498333</v>
      </c>
      <c r="CZ154" s="62">
        <f t="shared" si="150"/>
        <v>100.26042113972852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projet'!$B$13,Paramètres!$A$1:$I$88,3,0)*0.475*44/12</f>
        <v>0</v>
      </c>
      <c r="DG154" s="23">
        <f>EXP(-LN(2)/25)*DG153+(1-EXP(-LN(2)/25))/(LN(2)/25)*Calculateur!DB154*Calculateur!DD154*VLOOKUP('Données projet'!$B$13,Paramètres!$A$1:$I$88,3,0)*0.475*44/12</f>
        <v>0</v>
      </c>
      <c r="DH154" s="23">
        <f>EXP(-LN(2)/2)*DH153+(1-EXP(-LN(2)/2))/(LN(2)/2)*DB154*DE154*VLOOKUP('Données projet'!$B$13,Paramètres!$A$1:$I$88,3,0)*0.475*44/12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44.459999999999908</v>
      </c>
      <c r="D155" s="12">
        <f t="shared" si="140"/>
        <v>13.17339997701183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444.88940333131865</v>
      </c>
      <c r="H155" s="70">
        <f t="shared" si="110"/>
        <v>393.7115049599621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projet'!$B$9,Paramètres!$A$1:$I$88,3,0)*VLOOKUP('Données projet'!$B$9,Paramètres!$A$1:$I$88,5,0)</f>
        <v>-5.7639226724859328E-14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167.90363814107491</v>
      </c>
      <c r="T155" s="62">
        <f t="shared" si="142"/>
        <v>174.92847878212234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projet'!$B$10,Paramètres!$A$1:$I$88,3,0)*VLOOKUP('Données projet'!$B$10,Paramètres!$A$1:$I$88,5,0)</f>
        <v>-6.1186256061773749E-14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179.61236179838011</v>
      </c>
      <c r="AO155" s="62">
        <f t="shared" si="144"/>
        <v>186.66130555850333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0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projet'!$B$11,Paramètres!$A$1:$I$88,3,0)*VLOOKUP('Données projet'!$B$11,Paramètres!$A$1:$I$88,5,0)</f>
        <v>-5.3205440053716299E-14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335.00873408144395</v>
      </c>
      <c r="BJ155" s="62">
        <f t="shared" si="146"/>
        <v>106.28577694955948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0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projet'!$B$12,Paramètres!$A$1:$I$88,3,0)*VLOOKUP('Données projet'!$B$12,Paramètres!$A$1:$I$88,5,0)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136.47709057888358</v>
      </c>
      <c r="CE155" s="62">
        <f t="shared" si="148"/>
        <v>99.705248792886493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0</v>
      </c>
      <c r="CL155" s="23">
        <f>EXP(-LN(2)/25)*CL154+(1-EXP(-LN(2)/25))/(LN(2)/25)*Calculateur!CG155*Calculateur!CI155*VLOOKUP('Données projet'!$B$12,Paramètres!$A$1:$I$88,3,0)*0.475*44/12</f>
        <v>0</v>
      </c>
      <c r="CM155" s="23">
        <f>EXP(-LN(2)/2)*CM154+(1-EXP(-LN(2)/2))/(LN(2)/2)*CG155*CJ155*VLOOKUP('Données projet'!$B$12,Paramètres!$A$1:$I$88,3,0)*0.475*44/12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projet'!$B$13,Paramètres!$A$1:$I$88,3,0)*VLOOKUP('Données projet'!$B$13,Paramètres!$A$1:$I$88,5,0)</f>
        <v>5.4683368944097308E-14</v>
      </c>
      <c r="CV155" s="14">
        <f t="shared" si="173"/>
        <v>8.8129432816788268E-13</v>
      </c>
      <c r="CW155" s="22">
        <f t="shared" si="174"/>
        <v>1.6301611558033651E-12</v>
      </c>
      <c r="CX155" s="62">
        <f t="shared" si="122"/>
        <v>293.33333333333496</v>
      </c>
      <c r="CY155" s="62">
        <f ca="1">AVERAGE(OFFSET($CX$3,0,0,'Données projet'!$E$13+1,1))-AVERAGE(OFFSET($H$3,0,0,'Données projet'!$E$13+1,1))</f>
        <v>205.01234521498333</v>
      </c>
      <c r="CZ155" s="62">
        <f t="shared" si="150"/>
        <v>100.26042113972852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projet'!$B$13,Paramètres!$A$1:$I$88,3,0)*0.475*44/12</f>
        <v>0</v>
      </c>
      <c r="DG155" s="23">
        <f>EXP(-LN(2)/25)*DG154+(1-EXP(-LN(2)/25))/(LN(2)/25)*Calculateur!DB155*Calculateur!DD155*VLOOKUP('Données projet'!$B$13,Paramètres!$A$1:$I$88,3,0)*0.475*44/12</f>
        <v>0</v>
      </c>
      <c r="DH155" s="23">
        <f>EXP(-LN(2)/2)*DH154+(1-EXP(-LN(2)/2))/(LN(2)/2)*DB155*DE155*VLOOKUP('Données projet'!$B$13,Paramètres!$A$1:$I$88,3,0)*0.475*44/12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44.752499999999905</v>
      </c>
      <c r="D156" s="12">
        <f t="shared" si="140"/>
        <v>13.249949780909867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447.73820883509302</v>
      </c>
      <c r="H156" s="70">
        <f t="shared" si="110"/>
        <v>394.35426670175116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projet'!$B$9,Paramètres!$A$1:$I$88,3,0)*VLOOKUP('Données projet'!$B$9,Paramètres!$A$1:$I$88,5,0)</f>
        <v>-5.7639226724859328E-14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167.90363814107491</v>
      </c>
      <c r="T156" s="62">
        <f t="shared" si="142"/>
        <v>174.92847878212234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projet'!$B$10,Paramètres!$A$1:$I$88,3,0)*VLOOKUP('Données projet'!$B$10,Paramètres!$A$1:$I$88,5,0)</f>
        <v>-6.1186256061773749E-14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179.61236179838011</v>
      </c>
      <c r="AO156" s="62">
        <f t="shared" si="144"/>
        <v>186.66130555850333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0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projet'!$B$11,Paramètres!$A$1:$I$88,3,0)*VLOOKUP('Données projet'!$B$11,Paramètres!$A$1:$I$88,5,0)</f>
        <v>-5.3205440053716299E-14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335.00873408144395</v>
      </c>
      <c r="BJ156" s="62">
        <f t="shared" si="146"/>
        <v>106.28577694955948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0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projet'!$B$12,Paramètres!$A$1:$I$88,3,0)*VLOOKUP('Données projet'!$B$12,Paramètres!$A$1:$I$88,5,0)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136.47709057888358</v>
      </c>
      <c r="CE156" s="62">
        <f t="shared" si="148"/>
        <v>99.705248792886493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0</v>
      </c>
      <c r="CL156" s="23">
        <f>EXP(-LN(2)/25)*CL155+(1-EXP(-LN(2)/25))/(LN(2)/25)*Calculateur!CG156*Calculateur!CI156*VLOOKUP('Données projet'!$B$12,Paramètres!$A$1:$I$88,3,0)*0.475*44/12</f>
        <v>0</v>
      </c>
      <c r="CM156" s="23">
        <f>EXP(-LN(2)/2)*CM155+(1-EXP(-LN(2)/2))/(LN(2)/2)*CG156*CJ156*VLOOKUP('Données projet'!$B$12,Paramètres!$A$1:$I$88,3,0)*0.475*44/12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projet'!$B$13,Paramètres!$A$1:$I$88,3,0)*VLOOKUP('Données projet'!$B$13,Paramètres!$A$1:$I$88,5,0)</f>
        <v>5.4683368944097308E-14</v>
      </c>
      <c r="CV156" s="14">
        <f t="shared" si="173"/>
        <v>8.8129432816788268E-13</v>
      </c>
      <c r="CW156" s="22">
        <f t="shared" si="174"/>
        <v>1.6301611558033651E-12</v>
      </c>
      <c r="CX156" s="62">
        <f t="shared" si="122"/>
        <v>293.33333333333496</v>
      </c>
      <c r="CY156" s="62">
        <f ca="1">AVERAGE(OFFSET($CX$3,0,0,'Données projet'!$E$13+1,1))-AVERAGE(OFFSET($H$3,0,0,'Données projet'!$E$13+1,1))</f>
        <v>205.01234521498333</v>
      </c>
      <c r="CZ156" s="62">
        <f t="shared" si="150"/>
        <v>100.26042113972852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projet'!$B$13,Paramètres!$A$1:$I$88,3,0)*0.475*44/12</f>
        <v>0</v>
      </c>
      <c r="DG156" s="23">
        <f>EXP(-LN(2)/25)*DG155+(1-EXP(-LN(2)/25))/(LN(2)/25)*Calculateur!DB156*Calculateur!DD156*VLOOKUP('Données projet'!$B$13,Paramètres!$A$1:$I$88,3,0)*0.475*44/12</f>
        <v>0</v>
      </c>
      <c r="DH156" s="23">
        <f>EXP(-LN(2)/2)*DH155+(1-EXP(-LN(2)/2))/(LN(2)/2)*DB156*DE156*VLOOKUP('Données projet'!$B$13,Paramètres!$A$1:$I$88,3,0)*0.475*44/12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45.044999999999902</v>
      </c>
      <c r="D157" s="12">
        <f t="shared" si="140"/>
        <v>13.326441368627046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450.58656495080453</v>
      </c>
      <c r="H157" s="70">
        <f t="shared" si="110"/>
        <v>394.99692705035858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projet'!$B$9,Paramètres!$A$1:$I$88,3,0)*VLOOKUP('Données projet'!$B$9,Paramètres!$A$1:$I$88,5,0)</f>
        <v>-5.7639226724859328E-14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167.90363814107491</v>
      </c>
      <c r="T157" s="62">
        <f t="shared" si="142"/>
        <v>174.92847878212234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projet'!$B$10,Paramètres!$A$1:$I$88,3,0)*VLOOKUP('Données projet'!$B$10,Paramètres!$A$1:$I$88,5,0)</f>
        <v>-6.1186256061773749E-14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179.61236179838011</v>
      </c>
      <c r="AO157" s="62">
        <f t="shared" si="144"/>
        <v>186.66130555850333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0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projet'!$B$11,Paramètres!$A$1:$I$88,3,0)*VLOOKUP('Données projet'!$B$11,Paramètres!$A$1:$I$88,5,0)</f>
        <v>-5.3205440053716299E-14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335.00873408144395</v>
      </c>
      <c r="BJ157" s="62">
        <f t="shared" si="146"/>
        <v>106.28577694955948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0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projet'!$B$12,Paramètres!$A$1:$I$88,3,0)*VLOOKUP('Données projet'!$B$12,Paramètres!$A$1:$I$88,5,0)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136.47709057888358</v>
      </c>
      <c r="CE157" s="62">
        <f t="shared" si="148"/>
        <v>99.705248792886493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0</v>
      </c>
      <c r="CL157" s="23">
        <f>EXP(-LN(2)/25)*CL156+(1-EXP(-LN(2)/25))/(LN(2)/25)*Calculateur!CG157*Calculateur!CI157*VLOOKUP('Données projet'!$B$12,Paramètres!$A$1:$I$88,3,0)*0.475*44/12</f>
        <v>0</v>
      </c>
      <c r="CM157" s="23">
        <f>EXP(-LN(2)/2)*CM156+(1-EXP(-LN(2)/2))/(LN(2)/2)*CG157*CJ157*VLOOKUP('Données projet'!$B$12,Paramètres!$A$1:$I$88,3,0)*0.475*44/12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projet'!$B$13,Paramètres!$A$1:$I$88,3,0)*VLOOKUP('Données projet'!$B$13,Paramètres!$A$1:$I$88,5,0)</f>
        <v>5.4683368944097308E-14</v>
      </c>
      <c r="CV157" s="14">
        <f t="shared" si="173"/>
        <v>8.8129432816788268E-13</v>
      </c>
      <c r="CW157" s="22">
        <f t="shared" si="174"/>
        <v>1.6301611558033651E-12</v>
      </c>
      <c r="CX157" s="62">
        <f t="shared" si="122"/>
        <v>293.33333333333496</v>
      </c>
      <c r="CY157" s="62">
        <f ca="1">AVERAGE(OFFSET($CX$3,0,0,'Données projet'!$E$13+1,1))-AVERAGE(OFFSET($H$3,0,0,'Données projet'!$E$13+1,1))</f>
        <v>205.01234521498333</v>
      </c>
      <c r="CZ157" s="62">
        <f t="shared" si="150"/>
        <v>100.26042113972852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projet'!$B$13,Paramètres!$A$1:$I$88,3,0)*0.475*44/12</f>
        <v>0</v>
      </c>
      <c r="DG157" s="23">
        <f>EXP(-LN(2)/25)*DG156+(1-EXP(-LN(2)/25))/(LN(2)/25)*Calculateur!DB157*Calculateur!DD157*VLOOKUP('Données projet'!$B$13,Paramètres!$A$1:$I$88,3,0)*0.475*44/12</f>
        <v>0</v>
      </c>
      <c r="DH157" s="23">
        <f>EXP(-LN(2)/2)*DH156+(1-EXP(-LN(2)/2))/(LN(2)/2)*DB157*DE157*VLOOKUP('Données projet'!$B$13,Paramètres!$A$1:$I$88,3,0)*0.475*44/12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45.337499999999899</v>
      </c>
      <c r="D158" s="12">
        <f t="shared" si="140"/>
        <v>13.402875162039381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453.43447493504004</v>
      </c>
      <c r="H158" s="70">
        <f t="shared" si="110"/>
        <v>395.63948674055172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projet'!$B$9,Paramètres!$A$1:$I$88,3,0)*VLOOKUP('Données projet'!$B$9,Paramètres!$A$1:$I$88,5,0)</f>
        <v>-5.7639226724859328E-14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167.90363814107491</v>
      </c>
      <c r="T158" s="62">
        <f t="shared" si="142"/>
        <v>174.92847878212234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projet'!$B$10,Paramètres!$A$1:$I$88,3,0)*VLOOKUP('Données projet'!$B$10,Paramètres!$A$1:$I$88,5,0)</f>
        <v>-6.1186256061773749E-14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179.61236179838011</v>
      </c>
      <c r="AO158" s="62">
        <f t="shared" si="144"/>
        <v>186.66130555850333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0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projet'!$B$11,Paramètres!$A$1:$I$88,3,0)*VLOOKUP('Données projet'!$B$11,Paramètres!$A$1:$I$88,5,0)</f>
        <v>-5.3205440053716299E-14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335.00873408144395</v>
      </c>
      <c r="BJ158" s="62">
        <f t="shared" si="146"/>
        <v>106.28577694955948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0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projet'!$B$12,Paramètres!$A$1:$I$88,3,0)*VLOOKUP('Données projet'!$B$12,Paramètres!$A$1:$I$88,5,0)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136.47709057888358</v>
      </c>
      <c r="CE158" s="62">
        <f t="shared" si="148"/>
        <v>99.705248792886493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0</v>
      </c>
      <c r="CL158" s="23">
        <f>EXP(-LN(2)/25)*CL157+(1-EXP(-LN(2)/25))/(LN(2)/25)*Calculateur!CG158*Calculateur!CI158*VLOOKUP('Données projet'!$B$12,Paramètres!$A$1:$I$88,3,0)*0.475*44/12</f>
        <v>0</v>
      </c>
      <c r="CM158" s="23">
        <f>EXP(-LN(2)/2)*CM157+(1-EXP(-LN(2)/2))/(LN(2)/2)*CG158*CJ158*VLOOKUP('Données projet'!$B$12,Paramètres!$A$1:$I$88,3,0)*0.475*44/12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projet'!$B$13,Paramètres!$A$1:$I$88,3,0)*VLOOKUP('Données projet'!$B$13,Paramètres!$A$1:$I$88,5,0)</f>
        <v>5.4683368944097308E-14</v>
      </c>
      <c r="CV158" s="14">
        <f t="shared" si="173"/>
        <v>8.8129432816788268E-13</v>
      </c>
      <c r="CW158" s="22">
        <f t="shared" si="174"/>
        <v>1.6301611558033651E-12</v>
      </c>
      <c r="CX158" s="62">
        <f t="shared" si="122"/>
        <v>293.33333333333496</v>
      </c>
      <c r="CY158" s="62">
        <f ca="1">AVERAGE(OFFSET($CX$3,0,0,'Données projet'!$E$13+1,1))-AVERAGE(OFFSET($H$3,0,0,'Données projet'!$E$13+1,1))</f>
        <v>205.01234521498333</v>
      </c>
      <c r="CZ158" s="62">
        <f t="shared" si="150"/>
        <v>100.26042113972852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projet'!$B$13,Paramètres!$A$1:$I$88,3,0)*0.475*44/12</f>
        <v>0</v>
      </c>
      <c r="DG158" s="23">
        <f>EXP(-LN(2)/25)*DG157+(1-EXP(-LN(2)/25))/(LN(2)/25)*Calculateur!DB158*Calculateur!DD158*VLOOKUP('Données projet'!$B$13,Paramètres!$A$1:$I$88,3,0)*0.475*44/12</f>
        <v>0</v>
      </c>
      <c r="DH158" s="23">
        <f>EXP(-LN(2)/2)*DH157+(1-EXP(-LN(2)/2))/(LN(2)/2)*DB158*DE158*VLOOKUP('Données projet'!$B$13,Paramètres!$A$1:$I$88,3,0)*0.475*44/12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45.629999999999896</v>
      </c>
      <c r="D159" s="12">
        <f t="shared" si="140"/>
        <v>13.479251577264531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456.28194199993595</v>
      </c>
      <c r="H159" s="70">
        <f t="shared" si="110"/>
        <v>396.28194649706887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projet'!$B$9,Paramètres!$A$1:$I$88,3,0)*VLOOKUP('Données projet'!$B$9,Paramètres!$A$1:$I$88,5,0)</f>
        <v>-5.7639226724859328E-14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167.90363814107491</v>
      </c>
      <c r="T159" s="62">
        <f t="shared" si="142"/>
        <v>174.92847878212234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projet'!$B$10,Paramètres!$A$1:$I$88,3,0)*VLOOKUP('Données projet'!$B$10,Paramètres!$A$1:$I$88,5,0)</f>
        <v>-6.1186256061773749E-14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179.61236179838011</v>
      </c>
      <c r="AO159" s="62">
        <f t="shared" si="144"/>
        <v>186.66130555850333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0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projet'!$B$11,Paramètres!$A$1:$I$88,3,0)*VLOOKUP('Données projet'!$B$11,Paramètres!$A$1:$I$88,5,0)</f>
        <v>-5.3205440053716299E-14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335.00873408144395</v>
      </c>
      <c r="BJ159" s="62">
        <f t="shared" si="146"/>
        <v>106.28577694955948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0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projet'!$B$12,Paramètres!$A$1:$I$88,3,0)*VLOOKUP('Données projet'!$B$12,Paramètres!$A$1:$I$88,5,0)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136.47709057888358</v>
      </c>
      <c r="CE159" s="62">
        <f t="shared" si="148"/>
        <v>99.705248792886493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0</v>
      </c>
      <c r="CL159" s="23">
        <f>EXP(-LN(2)/25)*CL158+(1-EXP(-LN(2)/25))/(LN(2)/25)*Calculateur!CG159*Calculateur!CI159*VLOOKUP('Données projet'!$B$12,Paramètres!$A$1:$I$88,3,0)*0.475*44/12</f>
        <v>0</v>
      </c>
      <c r="CM159" s="23">
        <f>EXP(-LN(2)/2)*CM158+(1-EXP(-LN(2)/2))/(LN(2)/2)*CG159*CJ159*VLOOKUP('Données projet'!$B$12,Paramètres!$A$1:$I$88,3,0)*0.475*44/12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projet'!$B$13,Paramètres!$A$1:$I$88,3,0)*VLOOKUP('Données projet'!$B$13,Paramètres!$A$1:$I$88,5,0)</f>
        <v>5.4683368944097308E-14</v>
      </c>
      <c r="CV159" s="14">
        <f t="shared" si="173"/>
        <v>8.8129432816788268E-13</v>
      </c>
      <c r="CW159" s="22">
        <f t="shared" si="174"/>
        <v>1.6301611558033651E-12</v>
      </c>
      <c r="CX159" s="62">
        <f t="shared" si="122"/>
        <v>293.33333333333496</v>
      </c>
      <c r="CY159" s="62">
        <f ca="1">AVERAGE(OFFSET($CX$3,0,0,'Données projet'!$E$13+1,1))-AVERAGE(OFFSET($H$3,0,0,'Données projet'!$E$13+1,1))</f>
        <v>205.01234521498333</v>
      </c>
      <c r="CZ159" s="62">
        <f t="shared" si="150"/>
        <v>100.26042113972852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projet'!$B$13,Paramètres!$A$1:$I$88,3,0)*0.475*44/12</f>
        <v>0</v>
      </c>
      <c r="DG159" s="23">
        <f>EXP(-LN(2)/25)*DG158+(1-EXP(-LN(2)/25))/(LN(2)/25)*Calculateur!DB159*Calculateur!DD159*VLOOKUP('Données projet'!$B$13,Paramètres!$A$1:$I$88,3,0)*0.475*44/12</f>
        <v>0</v>
      </c>
      <c r="DH159" s="23">
        <f>EXP(-LN(2)/2)*DH158+(1-EXP(-LN(2)/2))/(LN(2)/2)*DB159*DE159*VLOOKUP('Données projet'!$B$13,Paramètres!$A$1:$I$88,3,0)*0.475*44/12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45.922499999999893</v>
      </c>
      <c r="D160" s="12">
        <f t="shared" si="140"/>
        <v>13.555571024776832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459.12896931406596</v>
      </c>
      <c r="H160" s="70">
        <f t="shared" si="110"/>
        <v>396.92430703481944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projet'!$B$9,Paramètres!$A$1:$I$88,3,0)*VLOOKUP('Données projet'!$B$9,Paramètres!$A$1:$I$88,5,0)</f>
        <v>-5.7639226724859328E-14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167.90363814107491</v>
      </c>
      <c r="T160" s="62">
        <f t="shared" si="142"/>
        <v>174.92847878212234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projet'!$B$10,Paramètres!$A$1:$I$88,3,0)*VLOOKUP('Données projet'!$B$10,Paramètres!$A$1:$I$88,5,0)</f>
        <v>-6.1186256061773749E-14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179.61236179838011</v>
      </c>
      <c r="AO160" s="62">
        <f t="shared" si="144"/>
        <v>186.66130555850333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0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projet'!$B$11,Paramètres!$A$1:$I$88,3,0)*VLOOKUP('Données projet'!$B$11,Paramètres!$A$1:$I$88,5,0)</f>
        <v>-5.3205440053716299E-14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335.00873408144395</v>
      </c>
      <c r="BJ160" s="62">
        <f t="shared" si="146"/>
        <v>106.28577694955948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0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projet'!$B$12,Paramètres!$A$1:$I$88,3,0)*VLOOKUP('Données projet'!$B$12,Paramètres!$A$1:$I$88,5,0)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136.47709057888358</v>
      </c>
      <c r="CE160" s="62">
        <f t="shared" si="148"/>
        <v>99.705248792886493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0</v>
      </c>
      <c r="CL160" s="23">
        <f>EXP(-LN(2)/25)*CL159+(1-EXP(-LN(2)/25))/(LN(2)/25)*Calculateur!CG160*Calculateur!CI160*VLOOKUP('Données projet'!$B$12,Paramètres!$A$1:$I$88,3,0)*0.475*44/12</f>
        <v>0</v>
      </c>
      <c r="CM160" s="23">
        <f>EXP(-LN(2)/2)*CM159+(1-EXP(-LN(2)/2))/(LN(2)/2)*CG160*CJ160*VLOOKUP('Données projet'!$B$12,Paramètres!$A$1:$I$88,3,0)*0.475*44/12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projet'!$B$13,Paramètres!$A$1:$I$88,3,0)*VLOOKUP('Données projet'!$B$13,Paramètres!$A$1:$I$88,5,0)</f>
        <v>5.4683368944097308E-14</v>
      </c>
      <c r="CV160" s="14">
        <f t="shared" si="173"/>
        <v>8.8129432816788268E-13</v>
      </c>
      <c r="CW160" s="22">
        <f t="shared" si="174"/>
        <v>1.6301611558033651E-12</v>
      </c>
      <c r="CX160" s="62">
        <f t="shared" si="122"/>
        <v>293.33333333333496</v>
      </c>
      <c r="CY160" s="62">
        <f ca="1">AVERAGE(OFFSET($CX$3,0,0,'Données projet'!$E$13+1,1))-AVERAGE(OFFSET($H$3,0,0,'Données projet'!$E$13+1,1))</f>
        <v>205.01234521498333</v>
      </c>
      <c r="CZ160" s="62">
        <f t="shared" si="150"/>
        <v>100.26042113972852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projet'!$B$13,Paramètres!$A$1:$I$88,3,0)*0.475*44/12</f>
        <v>0</v>
      </c>
      <c r="DG160" s="23">
        <f>EXP(-LN(2)/25)*DG159+(1-EXP(-LN(2)/25))/(LN(2)/25)*Calculateur!DB160*Calculateur!DD160*VLOOKUP('Données projet'!$B$13,Paramètres!$A$1:$I$88,3,0)*0.475*44/12</f>
        <v>0</v>
      </c>
      <c r="DH160" s="23">
        <f>EXP(-LN(2)/2)*DH159+(1-EXP(-LN(2)/2))/(LN(2)/2)*DB160*DE160*VLOOKUP('Données projet'!$B$13,Paramètres!$A$1:$I$88,3,0)*0.475*44/12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46.21499999999989</v>
      </c>
      <c r="D161" s="12">
        <f t="shared" si="140"/>
        <v>13.631833909519248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461.97556000330565</v>
      </c>
      <c r="H161" s="70">
        <f t="shared" si="110"/>
        <v>397.56656905907914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projet'!$B$9,Paramètres!$A$1:$I$88,3,0)*VLOOKUP('Données projet'!$B$9,Paramètres!$A$1:$I$88,5,0)</f>
        <v>-5.7639226724859328E-14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167.90363814107491</v>
      </c>
      <c r="T161" s="62">
        <f t="shared" si="142"/>
        <v>174.92847878212234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projet'!$B$10,Paramètres!$A$1:$I$88,3,0)*VLOOKUP('Données projet'!$B$10,Paramètres!$A$1:$I$88,5,0)</f>
        <v>-6.1186256061773749E-14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179.61236179838011</v>
      </c>
      <c r="AO161" s="62">
        <f t="shared" si="144"/>
        <v>186.66130555850333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0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projet'!$B$11,Paramètres!$A$1:$I$88,3,0)*VLOOKUP('Données projet'!$B$11,Paramètres!$A$1:$I$88,5,0)</f>
        <v>-5.3205440053716299E-14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335.00873408144395</v>
      </c>
      <c r="BJ161" s="62">
        <f t="shared" si="146"/>
        <v>106.28577694955948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0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projet'!$B$12,Paramètres!$A$1:$I$88,3,0)*VLOOKUP('Données projet'!$B$12,Paramètres!$A$1:$I$88,5,0)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136.47709057888358</v>
      </c>
      <c r="CE161" s="62">
        <f t="shared" si="148"/>
        <v>99.705248792886493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0</v>
      </c>
      <c r="CL161" s="23">
        <f>EXP(-LN(2)/25)*CL160+(1-EXP(-LN(2)/25))/(LN(2)/25)*Calculateur!CG161*Calculateur!CI161*VLOOKUP('Données projet'!$B$12,Paramètres!$A$1:$I$88,3,0)*0.475*44/12</f>
        <v>0</v>
      </c>
      <c r="CM161" s="23">
        <f>EXP(-LN(2)/2)*CM160+(1-EXP(-LN(2)/2))/(LN(2)/2)*CG161*CJ161*VLOOKUP('Données projet'!$B$12,Paramètres!$A$1:$I$88,3,0)*0.475*44/12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projet'!$B$13,Paramètres!$A$1:$I$88,3,0)*VLOOKUP('Données projet'!$B$13,Paramètres!$A$1:$I$88,5,0)</f>
        <v>5.4683368944097308E-14</v>
      </c>
      <c r="CV161" s="14">
        <f t="shared" si="173"/>
        <v>8.8129432816788268E-13</v>
      </c>
      <c r="CW161" s="22">
        <f t="shared" si="174"/>
        <v>1.6301611558033651E-12</v>
      </c>
      <c r="CX161" s="62">
        <f t="shared" si="122"/>
        <v>293.33333333333496</v>
      </c>
      <c r="CY161" s="62">
        <f ca="1">AVERAGE(OFFSET($CX$3,0,0,'Données projet'!$E$13+1,1))-AVERAGE(OFFSET($H$3,0,0,'Données projet'!$E$13+1,1))</f>
        <v>205.01234521498333</v>
      </c>
      <c r="CZ161" s="62">
        <f t="shared" si="150"/>
        <v>100.26042113972852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projet'!$B$13,Paramètres!$A$1:$I$88,3,0)*0.475*44/12</f>
        <v>0</v>
      </c>
      <c r="DG161" s="23">
        <f>EXP(-LN(2)/25)*DG160+(1-EXP(-LN(2)/25))/(LN(2)/25)*Calculateur!DB161*Calculateur!DD161*VLOOKUP('Données projet'!$B$13,Paramètres!$A$1:$I$88,3,0)*0.475*44/12</f>
        <v>0</v>
      </c>
      <c r="DH161" s="23">
        <f>EXP(-LN(2)/2)*DH160+(1-EXP(-LN(2)/2))/(LN(2)/2)*DB161*DE161*VLOOKUP('Données projet'!$B$13,Paramètres!$A$1:$I$88,3,0)*0.475*44/12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46.507499999999887</v>
      </c>
      <c r="D162" s="12">
        <f t="shared" si="140"/>
        <v>13.708040631012464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464.82171715167436</v>
      </c>
      <c r="H162" s="70">
        <f t="shared" si="110"/>
        <v>398.20873326567983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projet'!$B$9,Paramètres!$A$1:$I$88,3,0)*VLOOKUP('Données projet'!$B$9,Paramètres!$A$1:$I$88,5,0)</f>
        <v>-5.7639226724859328E-14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167.90363814107491</v>
      </c>
      <c r="T162" s="62">
        <f t="shared" si="142"/>
        <v>174.92847878212234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projet'!$B$10,Paramètres!$A$1:$I$88,3,0)*VLOOKUP('Données projet'!$B$10,Paramètres!$A$1:$I$88,5,0)</f>
        <v>-6.1186256061773749E-14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179.61236179838011</v>
      </c>
      <c r="AO162" s="62">
        <f t="shared" si="144"/>
        <v>186.66130555850333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0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projet'!$B$11,Paramètres!$A$1:$I$88,3,0)*VLOOKUP('Données projet'!$B$11,Paramètres!$A$1:$I$88,5,0)</f>
        <v>-5.3205440053716299E-14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335.00873408144395</v>
      </c>
      <c r="BJ162" s="62">
        <f t="shared" si="146"/>
        <v>106.28577694955948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0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projet'!$B$12,Paramètres!$A$1:$I$88,3,0)*VLOOKUP('Données projet'!$B$12,Paramètres!$A$1:$I$88,5,0)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136.47709057888358</v>
      </c>
      <c r="CE162" s="62">
        <f t="shared" si="148"/>
        <v>99.705248792886493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0</v>
      </c>
      <c r="CL162" s="23">
        <f>EXP(-LN(2)/25)*CL161+(1-EXP(-LN(2)/25))/(LN(2)/25)*Calculateur!CG162*Calculateur!CI162*VLOOKUP('Données projet'!$B$12,Paramètres!$A$1:$I$88,3,0)*0.475*44/12</f>
        <v>0</v>
      </c>
      <c r="CM162" s="23">
        <f>EXP(-LN(2)/2)*CM161+(1-EXP(-LN(2)/2))/(LN(2)/2)*CG162*CJ162*VLOOKUP('Données projet'!$B$12,Paramètres!$A$1:$I$88,3,0)*0.475*44/12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projet'!$B$13,Paramètres!$A$1:$I$88,3,0)*VLOOKUP('Données projet'!$B$13,Paramètres!$A$1:$I$88,5,0)</f>
        <v>5.4683368944097308E-14</v>
      </c>
      <c r="CV162" s="14">
        <f t="shared" si="173"/>
        <v>8.8129432816788268E-13</v>
      </c>
      <c r="CW162" s="22">
        <f t="shared" si="174"/>
        <v>1.6301611558033651E-12</v>
      </c>
      <c r="CX162" s="62">
        <f t="shared" si="122"/>
        <v>293.33333333333496</v>
      </c>
      <c r="CY162" s="62">
        <f ca="1">AVERAGE(OFFSET($CX$3,0,0,'Données projet'!$E$13+1,1))-AVERAGE(OFFSET($H$3,0,0,'Données projet'!$E$13+1,1))</f>
        <v>205.01234521498333</v>
      </c>
      <c r="CZ162" s="62">
        <f t="shared" si="150"/>
        <v>100.26042113972852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projet'!$B$13,Paramètres!$A$1:$I$88,3,0)*0.475*44/12</f>
        <v>0</v>
      </c>
      <c r="DG162" s="23">
        <f>EXP(-LN(2)/25)*DG161+(1-EXP(-LN(2)/25))/(LN(2)/25)*Calculateur!DB162*Calculateur!DD162*VLOOKUP('Données projet'!$B$13,Paramètres!$A$1:$I$88,3,0)*0.475*44/12</f>
        <v>0</v>
      </c>
      <c r="DH162" s="23">
        <f>EXP(-LN(2)/2)*DH161+(1-EXP(-LN(2)/2))/(LN(2)/2)*DB162*DE162*VLOOKUP('Données projet'!$B$13,Paramètres!$A$1:$I$88,3,0)*0.475*44/12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46.799999999999883</v>
      </c>
      <c r="D163" s="12">
        <f t="shared" si="140"/>
        <v>13.784191583461102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467.66744380215499</v>
      </c>
      <c r="H163" s="70">
        <f t="shared" si="110"/>
        <v>398.85080034119454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projet'!$B$9,Paramètres!$A$1:$I$88,3,0)*VLOOKUP('Données projet'!$B$9,Paramètres!$A$1:$I$88,5,0)</f>
        <v>-5.7639226724859328E-14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167.90363814107491</v>
      </c>
      <c r="T163" s="62">
        <f t="shared" si="142"/>
        <v>174.92847878212234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projet'!$B$10,Paramètres!$A$1:$I$88,3,0)*VLOOKUP('Données projet'!$B$10,Paramètres!$A$1:$I$88,5,0)</f>
        <v>-6.1186256061773749E-14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179.61236179838011</v>
      </c>
      <c r="AO163" s="62">
        <f t="shared" si="144"/>
        <v>186.66130555850333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0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projet'!$B$11,Paramètres!$A$1:$I$88,3,0)*VLOOKUP('Données projet'!$B$11,Paramètres!$A$1:$I$88,5,0)</f>
        <v>-5.3205440053716299E-14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335.00873408144395</v>
      </c>
      <c r="BJ163" s="62">
        <f t="shared" si="146"/>
        <v>106.28577694955948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0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projet'!$B$12,Paramètres!$A$1:$I$88,3,0)*VLOOKUP('Données projet'!$B$12,Paramètres!$A$1:$I$88,5,0)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136.47709057888358</v>
      </c>
      <c r="CE163" s="62">
        <f t="shared" si="148"/>
        <v>99.705248792886493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0</v>
      </c>
      <c r="CL163" s="23">
        <f>EXP(-LN(2)/25)*CL162+(1-EXP(-LN(2)/25))/(LN(2)/25)*Calculateur!CG163*Calculateur!CI163*VLOOKUP('Données projet'!$B$12,Paramètres!$A$1:$I$88,3,0)*0.475*44/12</f>
        <v>0</v>
      </c>
      <c r="CM163" s="23">
        <f>EXP(-LN(2)/2)*CM162+(1-EXP(-LN(2)/2))/(LN(2)/2)*CG163*CJ163*VLOOKUP('Données projet'!$B$12,Paramètres!$A$1:$I$88,3,0)*0.475*44/12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projet'!$B$13,Paramètres!$A$1:$I$88,3,0)*VLOOKUP('Données projet'!$B$13,Paramètres!$A$1:$I$88,5,0)</f>
        <v>5.4683368944097308E-14</v>
      </c>
      <c r="CV163" s="14">
        <f t="shared" si="173"/>
        <v>8.8129432816788268E-13</v>
      </c>
      <c r="CW163" s="22">
        <f t="shared" si="174"/>
        <v>1.6301611558033651E-12</v>
      </c>
      <c r="CX163" s="62">
        <f t="shared" si="122"/>
        <v>293.33333333333496</v>
      </c>
      <c r="CY163" s="62">
        <f ca="1">AVERAGE(OFFSET($CX$3,0,0,'Données projet'!$E$13+1,1))-AVERAGE(OFFSET($H$3,0,0,'Données projet'!$E$13+1,1))</f>
        <v>205.01234521498333</v>
      </c>
      <c r="CZ163" s="62">
        <f t="shared" si="150"/>
        <v>100.26042113972852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projet'!$B$13,Paramètres!$A$1:$I$88,3,0)*0.475*44/12</f>
        <v>0</v>
      </c>
      <c r="DG163" s="23">
        <f>EXP(-LN(2)/25)*DG162+(1-EXP(-LN(2)/25))/(LN(2)/25)*Calculateur!DB163*Calculateur!DD163*VLOOKUP('Données projet'!$B$13,Paramètres!$A$1:$I$88,3,0)*0.475*44/12</f>
        <v>0</v>
      </c>
      <c r="DH163" s="23">
        <f>EXP(-LN(2)/2)*DH162+(1-EXP(-LN(2)/2))/(LN(2)/2)*DB163*DE163*VLOOKUP('Données projet'!$B$13,Paramètres!$A$1:$I$88,3,0)*0.475*44/12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47.09249999999988</v>
      </c>
      <c r="D164" s="12">
        <f t="shared" si="140"/>
        <v>13.860287155857236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470.51274295749357</v>
      </c>
      <c r="H164" s="70">
        <f t="shared" si="110"/>
        <v>399.49277096311778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projet'!$B$9,Paramètres!$A$1:$I$88,3,0)*VLOOKUP('Données projet'!$B$9,Paramètres!$A$1:$I$88,5,0)</f>
        <v>-5.7639226724859328E-14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167.90363814107491</v>
      </c>
      <c r="T164" s="62">
        <f t="shared" si="142"/>
        <v>174.92847878212234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projet'!$B$10,Paramètres!$A$1:$I$88,3,0)*VLOOKUP('Données projet'!$B$10,Paramètres!$A$1:$I$88,5,0)</f>
        <v>-6.1186256061773749E-14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179.61236179838011</v>
      </c>
      <c r="AO164" s="62">
        <f t="shared" si="144"/>
        <v>186.66130555850333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0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projet'!$B$11,Paramètres!$A$1:$I$88,3,0)*VLOOKUP('Données projet'!$B$11,Paramètres!$A$1:$I$88,5,0)</f>
        <v>-5.3205440053716299E-14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335.00873408144395</v>
      </c>
      <c r="BJ164" s="62">
        <f t="shared" si="146"/>
        <v>106.28577694955948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0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projet'!$B$12,Paramètres!$A$1:$I$88,3,0)*VLOOKUP('Données projet'!$B$12,Paramètres!$A$1:$I$88,5,0)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136.47709057888358</v>
      </c>
      <c r="CE164" s="62">
        <f t="shared" si="148"/>
        <v>99.705248792886493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0</v>
      </c>
      <c r="CL164" s="23">
        <f>EXP(-LN(2)/25)*CL163+(1-EXP(-LN(2)/25))/(LN(2)/25)*Calculateur!CG164*Calculateur!CI164*VLOOKUP('Données projet'!$B$12,Paramètres!$A$1:$I$88,3,0)*0.475*44/12</f>
        <v>0</v>
      </c>
      <c r="CM164" s="23">
        <f>EXP(-LN(2)/2)*CM163+(1-EXP(-LN(2)/2))/(LN(2)/2)*CG164*CJ164*VLOOKUP('Données projet'!$B$12,Paramètres!$A$1:$I$88,3,0)*0.475*44/12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projet'!$B$13,Paramètres!$A$1:$I$88,3,0)*VLOOKUP('Données projet'!$B$13,Paramètres!$A$1:$I$88,5,0)</f>
        <v>5.4683368944097308E-14</v>
      </c>
      <c r="CV164" s="14">
        <f t="shared" si="173"/>
        <v>8.8129432816788268E-13</v>
      </c>
      <c r="CW164" s="22">
        <f t="shared" si="174"/>
        <v>1.6301611558033651E-12</v>
      </c>
      <c r="CX164" s="62">
        <f t="shared" si="122"/>
        <v>293.33333333333496</v>
      </c>
      <c r="CY164" s="62">
        <f ca="1">AVERAGE(OFFSET($CX$3,0,0,'Données projet'!$E$13+1,1))-AVERAGE(OFFSET($H$3,0,0,'Données projet'!$E$13+1,1))</f>
        <v>205.01234521498333</v>
      </c>
      <c r="CZ164" s="62">
        <f t="shared" si="150"/>
        <v>100.26042113972852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projet'!$B$13,Paramètres!$A$1:$I$88,3,0)*0.475*44/12</f>
        <v>0</v>
      </c>
      <c r="DG164" s="23">
        <f>EXP(-LN(2)/25)*DG163+(1-EXP(-LN(2)/25))/(LN(2)/25)*Calculateur!DB164*Calculateur!DD164*VLOOKUP('Données projet'!$B$13,Paramètres!$A$1:$I$88,3,0)*0.475*44/12</f>
        <v>0</v>
      </c>
      <c r="DH164" s="23">
        <f>EXP(-LN(2)/2)*DH163+(1-EXP(-LN(2)/2))/(LN(2)/2)*DB164*DE164*VLOOKUP('Données projet'!$B$13,Paramètres!$A$1:$I$88,3,0)*0.475*44/12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47.384999999999877</v>
      </c>
      <c r="D165" s="12">
        <f t="shared" si="140"/>
        <v>13.936327732081258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473.35761758097721</v>
      </c>
      <c r="H165" s="70">
        <f t="shared" si="110"/>
        <v>400.13464580004131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projet'!$B$9,Paramètres!$A$1:$I$88,3,0)*VLOOKUP('Données projet'!$B$9,Paramètres!$A$1:$I$88,5,0)</f>
        <v>-5.7639226724859328E-14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167.90363814107491</v>
      </c>
      <c r="T165" s="62">
        <f t="shared" si="142"/>
        <v>174.92847878212234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projet'!$B$10,Paramètres!$A$1:$I$88,3,0)*VLOOKUP('Données projet'!$B$10,Paramètres!$A$1:$I$88,5,0)</f>
        <v>-6.1186256061773749E-14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179.61236179838011</v>
      </c>
      <c r="AO165" s="62">
        <f t="shared" si="144"/>
        <v>186.66130555850333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0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projet'!$B$11,Paramètres!$A$1:$I$88,3,0)*VLOOKUP('Données projet'!$B$11,Paramètres!$A$1:$I$88,5,0)</f>
        <v>-5.3205440053716299E-14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335.00873408144395</v>
      </c>
      <c r="BJ165" s="62">
        <f t="shared" si="146"/>
        <v>106.28577694955948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0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projet'!$B$12,Paramètres!$A$1:$I$88,3,0)*VLOOKUP('Données projet'!$B$12,Paramètres!$A$1:$I$88,5,0)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136.47709057888358</v>
      </c>
      <c r="CE165" s="62">
        <f t="shared" si="148"/>
        <v>99.705248792886493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0</v>
      </c>
      <c r="CL165" s="23">
        <f>EXP(-LN(2)/25)*CL164+(1-EXP(-LN(2)/25))/(LN(2)/25)*Calculateur!CG165*Calculateur!CI165*VLOOKUP('Données projet'!$B$12,Paramètres!$A$1:$I$88,3,0)*0.475*44/12</f>
        <v>0</v>
      </c>
      <c r="CM165" s="23">
        <f>EXP(-LN(2)/2)*CM164+(1-EXP(-LN(2)/2))/(LN(2)/2)*CG165*CJ165*VLOOKUP('Données projet'!$B$12,Paramètres!$A$1:$I$88,3,0)*0.475*44/12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projet'!$B$13,Paramètres!$A$1:$I$88,3,0)*VLOOKUP('Données projet'!$B$13,Paramètres!$A$1:$I$88,5,0)</f>
        <v>5.4683368944097308E-14</v>
      </c>
      <c r="CV165" s="14">
        <f t="shared" si="173"/>
        <v>8.8129432816788268E-13</v>
      </c>
      <c r="CW165" s="22">
        <f t="shared" si="174"/>
        <v>1.6301611558033651E-12</v>
      </c>
      <c r="CX165" s="62">
        <f t="shared" si="122"/>
        <v>293.33333333333496</v>
      </c>
      <c r="CY165" s="62">
        <f ca="1">AVERAGE(OFFSET($CX$3,0,0,'Données projet'!$E$13+1,1))-AVERAGE(OFFSET($H$3,0,0,'Données projet'!$E$13+1,1))</f>
        <v>205.01234521498333</v>
      </c>
      <c r="CZ165" s="62">
        <f t="shared" si="150"/>
        <v>100.26042113972852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projet'!$B$13,Paramètres!$A$1:$I$88,3,0)*0.475*44/12</f>
        <v>0</v>
      </c>
      <c r="DG165" s="23">
        <f>EXP(-LN(2)/25)*DG164+(1-EXP(-LN(2)/25))/(LN(2)/25)*Calculateur!DB165*Calculateur!DD165*VLOOKUP('Données projet'!$B$13,Paramètres!$A$1:$I$88,3,0)*0.475*44/12</f>
        <v>0</v>
      </c>
      <c r="DH165" s="23">
        <f>EXP(-LN(2)/2)*DH164+(1-EXP(-LN(2)/2))/(LN(2)/2)*DB165*DE165*VLOOKUP('Données projet'!$B$13,Paramètres!$A$1:$I$88,3,0)*0.475*44/12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47.677499999999874</v>
      </c>
      <c r="D166" s="12">
        <f t="shared" si="140"/>
        <v>14.012313691000177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476.20207059719337</v>
      </c>
      <c r="H166" s="70">
        <f t="shared" si="110"/>
        <v>400.7764255118251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projet'!$B$9,Paramètres!$A$1:$I$88,3,0)*VLOOKUP('Données projet'!$B$9,Paramètres!$A$1:$I$88,5,0)</f>
        <v>-5.7639226724859328E-14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167.90363814107491</v>
      </c>
      <c r="T166" s="62">
        <f t="shared" si="142"/>
        <v>174.92847878212234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projet'!$B$10,Paramètres!$A$1:$I$88,3,0)*VLOOKUP('Données projet'!$B$10,Paramètres!$A$1:$I$88,5,0)</f>
        <v>-6.1186256061773749E-14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179.61236179838011</v>
      </c>
      <c r="AO166" s="62">
        <f t="shared" si="144"/>
        <v>186.66130555850333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0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projet'!$B$11,Paramètres!$A$1:$I$88,3,0)*VLOOKUP('Données projet'!$B$11,Paramètres!$A$1:$I$88,5,0)</f>
        <v>-5.3205440053716299E-14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335.00873408144395</v>
      </c>
      <c r="BJ166" s="62">
        <f t="shared" si="146"/>
        <v>106.28577694955948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0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projet'!$B$12,Paramètres!$A$1:$I$88,3,0)*VLOOKUP('Données projet'!$B$12,Paramètres!$A$1:$I$88,5,0)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136.47709057888358</v>
      </c>
      <c r="CE166" s="62">
        <f t="shared" si="148"/>
        <v>99.705248792886493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0</v>
      </c>
      <c r="CL166" s="23">
        <f>EXP(-LN(2)/25)*CL165+(1-EXP(-LN(2)/25))/(LN(2)/25)*Calculateur!CG166*Calculateur!CI166*VLOOKUP('Données projet'!$B$12,Paramètres!$A$1:$I$88,3,0)*0.475*44/12</f>
        <v>0</v>
      </c>
      <c r="CM166" s="23">
        <f>EXP(-LN(2)/2)*CM165+(1-EXP(-LN(2)/2))/(LN(2)/2)*CG166*CJ166*VLOOKUP('Données projet'!$B$12,Paramètres!$A$1:$I$88,3,0)*0.475*44/12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projet'!$B$13,Paramètres!$A$1:$I$88,3,0)*VLOOKUP('Données projet'!$B$13,Paramètres!$A$1:$I$88,5,0)</f>
        <v>5.4683368944097308E-14</v>
      </c>
      <c r="CV166" s="14">
        <f t="shared" si="173"/>
        <v>8.8129432816788268E-13</v>
      </c>
      <c r="CW166" s="22">
        <f t="shared" si="174"/>
        <v>1.6301611558033651E-12</v>
      </c>
      <c r="CX166" s="62">
        <f t="shared" si="122"/>
        <v>293.33333333333496</v>
      </c>
      <c r="CY166" s="62">
        <f ca="1">AVERAGE(OFFSET($CX$3,0,0,'Données projet'!$E$13+1,1))-AVERAGE(OFFSET($H$3,0,0,'Données projet'!$E$13+1,1))</f>
        <v>205.01234521498333</v>
      </c>
      <c r="CZ166" s="62">
        <f t="shared" si="150"/>
        <v>100.26042113972852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projet'!$B$13,Paramètres!$A$1:$I$88,3,0)*0.475*44/12</f>
        <v>0</v>
      </c>
      <c r="DG166" s="23">
        <f>EXP(-LN(2)/25)*DG165+(1-EXP(-LN(2)/25))/(LN(2)/25)*Calculateur!DB166*Calculateur!DD166*VLOOKUP('Données projet'!$B$13,Paramètres!$A$1:$I$88,3,0)*0.475*44/12</f>
        <v>0</v>
      </c>
      <c r="DH166" s="23">
        <f>EXP(-LN(2)/2)*DH165+(1-EXP(-LN(2)/2))/(LN(2)/2)*DB166*DE166*VLOOKUP('Données projet'!$B$13,Paramètres!$A$1:$I$88,3,0)*0.475*44/12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47.969999999999871</v>
      </c>
      <c r="D167" s="12">
        <f t="shared" si="140"/>
        <v>14.088245406563448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479.04610489276951</v>
      </c>
      <c r="H167" s="70">
        <f t="shared" si="110"/>
        <v>401.41811074976442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projet'!$B$9,Paramètres!$A$1:$I$88,3,0)*VLOOKUP('Données projet'!$B$9,Paramètres!$A$1:$I$88,5,0)</f>
        <v>-5.7639226724859328E-14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167.90363814107491</v>
      </c>
      <c r="T167" s="62">
        <f t="shared" si="142"/>
        <v>174.92847878212234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projet'!$B$10,Paramètres!$A$1:$I$88,3,0)*VLOOKUP('Données projet'!$B$10,Paramètres!$A$1:$I$88,5,0)</f>
        <v>-6.1186256061773749E-14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179.61236179838011</v>
      </c>
      <c r="AO167" s="62">
        <f t="shared" si="144"/>
        <v>186.66130555850333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0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projet'!$B$11,Paramètres!$A$1:$I$88,3,0)*VLOOKUP('Données projet'!$B$11,Paramètres!$A$1:$I$88,5,0)</f>
        <v>-5.3205440053716299E-14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335.00873408144395</v>
      </c>
      <c r="BJ167" s="62">
        <f t="shared" si="146"/>
        <v>106.28577694955948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0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projet'!$B$12,Paramètres!$A$1:$I$88,3,0)*VLOOKUP('Données projet'!$B$12,Paramètres!$A$1:$I$88,5,0)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136.47709057888358</v>
      </c>
      <c r="CE167" s="62">
        <f t="shared" si="148"/>
        <v>99.705248792886493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0</v>
      </c>
      <c r="CL167" s="23">
        <f>EXP(-LN(2)/25)*CL166+(1-EXP(-LN(2)/25))/(LN(2)/25)*Calculateur!CG167*Calculateur!CI167*VLOOKUP('Données projet'!$B$12,Paramètres!$A$1:$I$88,3,0)*0.475*44/12</f>
        <v>0</v>
      </c>
      <c r="CM167" s="23">
        <f>EXP(-LN(2)/2)*CM166+(1-EXP(-LN(2)/2))/(LN(2)/2)*CG167*CJ167*VLOOKUP('Données projet'!$B$12,Paramètres!$A$1:$I$88,3,0)*0.475*44/12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projet'!$B$13,Paramètres!$A$1:$I$88,3,0)*VLOOKUP('Données projet'!$B$13,Paramètres!$A$1:$I$88,5,0)</f>
        <v>5.4683368944097308E-14</v>
      </c>
      <c r="CV167" s="14">
        <f t="shared" si="173"/>
        <v>8.8129432816788268E-13</v>
      </c>
      <c r="CW167" s="22">
        <f t="shared" si="174"/>
        <v>1.6301611558033651E-12</v>
      </c>
      <c r="CX167" s="62">
        <f t="shared" si="122"/>
        <v>293.33333333333496</v>
      </c>
      <c r="CY167" s="62">
        <f ca="1">AVERAGE(OFFSET($CX$3,0,0,'Données projet'!$E$13+1,1))-AVERAGE(OFFSET($H$3,0,0,'Données projet'!$E$13+1,1))</f>
        <v>205.01234521498333</v>
      </c>
      <c r="CZ167" s="62">
        <f t="shared" si="150"/>
        <v>100.26042113972852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projet'!$B$13,Paramètres!$A$1:$I$88,3,0)*0.475*44/12</f>
        <v>0</v>
      </c>
      <c r="DG167" s="23">
        <f>EXP(-LN(2)/25)*DG166+(1-EXP(-LN(2)/25))/(LN(2)/25)*Calculateur!DB167*Calculateur!DD167*VLOOKUP('Données projet'!$B$13,Paramètres!$A$1:$I$88,3,0)*0.475*44/12</f>
        <v>0</v>
      </c>
      <c r="DH167" s="23">
        <f>EXP(-LN(2)/2)*DH166+(1-EXP(-LN(2)/2))/(LN(2)/2)*DB167*DE167*VLOOKUP('Données projet'!$B$13,Paramètres!$A$1:$I$88,3,0)*0.475*44/12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48.262499999999868</v>
      </c>
      <c r="D168" s="12">
        <f t="shared" si="140"/>
        <v>14.164123247896368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481.88972331709374</v>
      </c>
      <c r="H168" s="70">
        <f t="shared" si="110"/>
        <v>402.05970215675256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projet'!$B$9,Paramètres!$A$1:$I$88,3,0)*VLOOKUP('Données projet'!$B$9,Paramètres!$A$1:$I$88,5,0)</f>
        <v>-5.7639226724859328E-14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167.90363814107491</v>
      </c>
      <c r="T168" s="62">
        <f t="shared" si="142"/>
        <v>174.92847878212234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projet'!$B$10,Paramètres!$A$1:$I$88,3,0)*VLOOKUP('Données projet'!$B$10,Paramètres!$A$1:$I$88,5,0)</f>
        <v>-6.1186256061773749E-14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179.61236179838011</v>
      </c>
      <c r="AO168" s="62">
        <f t="shared" si="144"/>
        <v>186.66130555850333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0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projet'!$B$11,Paramètres!$A$1:$I$88,3,0)*VLOOKUP('Données projet'!$B$11,Paramètres!$A$1:$I$88,5,0)</f>
        <v>-5.3205440053716299E-14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335.00873408144395</v>
      </c>
      <c r="BJ168" s="62">
        <f t="shared" si="146"/>
        <v>106.28577694955948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0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projet'!$B$12,Paramètres!$A$1:$I$88,3,0)*VLOOKUP('Données projet'!$B$12,Paramètres!$A$1:$I$88,5,0)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136.47709057888358</v>
      </c>
      <c r="CE168" s="62">
        <f t="shared" si="148"/>
        <v>99.705248792886493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0</v>
      </c>
      <c r="CL168" s="23">
        <f>EXP(-LN(2)/25)*CL167+(1-EXP(-LN(2)/25))/(LN(2)/25)*Calculateur!CG168*Calculateur!CI168*VLOOKUP('Données projet'!$B$12,Paramètres!$A$1:$I$88,3,0)*0.475*44/12</f>
        <v>0</v>
      </c>
      <c r="CM168" s="23">
        <f>EXP(-LN(2)/2)*CM167+(1-EXP(-LN(2)/2))/(LN(2)/2)*CG168*CJ168*VLOOKUP('Données projet'!$B$12,Paramètres!$A$1:$I$88,3,0)*0.475*44/12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projet'!$B$13,Paramètres!$A$1:$I$88,3,0)*VLOOKUP('Données projet'!$B$13,Paramètres!$A$1:$I$88,5,0)</f>
        <v>5.4683368944097308E-14</v>
      </c>
      <c r="CV168" s="14">
        <f t="shared" si="173"/>
        <v>8.8129432816788268E-13</v>
      </c>
      <c r="CW168" s="22">
        <f t="shared" si="174"/>
        <v>1.6301611558033651E-12</v>
      </c>
      <c r="CX168" s="62">
        <f t="shared" si="122"/>
        <v>293.33333333333496</v>
      </c>
      <c r="CY168" s="62">
        <f ca="1">AVERAGE(OFFSET($CX$3,0,0,'Données projet'!$E$13+1,1))-AVERAGE(OFFSET($H$3,0,0,'Données projet'!$E$13+1,1))</f>
        <v>205.01234521498333</v>
      </c>
      <c r="CZ168" s="62">
        <f t="shared" si="150"/>
        <v>100.26042113972852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projet'!$B$13,Paramètres!$A$1:$I$88,3,0)*0.475*44/12</f>
        <v>0</v>
      </c>
      <c r="DG168" s="23">
        <f>EXP(-LN(2)/25)*DG167+(1-EXP(-LN(2)/25))/(LN(2)/25)*Calculateur!DB168*Calculateur!DD168*VLOOKUP('Données projet'!$B$13,Paramètres!$A$1:$I$88,3,0)*0.475*44/12</f>
        <v>0</v>
      </c>
      <c r="DH168" s="23">
        <f>EXP(-LN(2)/2)*DH167+(1-EXP(-LN(2)/2))/(LN(2)/2)*DB168*DE168*VLOOKUP('Données projet'!$B$13,Paramètres!$A$1:$I$88,3,0)*0.475*44/12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48.554999999999865</v>
      </c>
      <c r="D169" s="12">
        <f t="shared" si="140"/>
        <v>14.239947579391167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484.7329286830186</v>
      </c>
      <c r="H169" s="70">
        <f t="shared" si="110"/>
        <v>402.70120036743936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projet'!$B$9,Paramètres!$A$1:$I$88,3,0)*VLOOKUP('Données projet'!$B$9,Paramètres!$A$1:$I$88,5,0)</f>
        <v>-5.7639226724859328E-14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167.90363814107491</v>
      </c>
      <c r="T169" s="62">
        <f t="shared" si="142"/>
        <v>174.92847878212234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projet'!$B$10,Paramètres!$A$1:$I$88,3,0)*VLOOKUP('Données projet'!$B$10,Paramètres!$A$1:$I$88,5,0)</f>
        <v>-6.1186256061773749E-14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179.61236179838011</v>
      </c>
      <c r="AO169" s="62">
        <f t="shared" si="144"/>
        <v>186.66130555850333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0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projet'!$B$11,Paramètres!$A$1:$I$88,3,0)*VLOOKUP('Données projet'!$B$11,Paramètres!$A$1:$I$88,5,0)</f>
        <v>-5.3205440053716299E-14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335.00873408144395</v>
      </c>
      <c r="BJ169" s="62">
        <f t="shared" si="146"/>
        <v>106.28577694955948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0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projet'!$B$12,Paramètres!$A$1:$I$88,3,0)*VLOOKUP('Données projet'!$B$12,Paramètres!$A$1:$I$88,5,0)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136.47709057888358</v>
      </c>
      <c r="CE169" s="62">
        <f t="shared" si="148"/>
        <v>99.705248792886493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0</v>
      </c>
      <c r="CL169" s="23">
        <f>EXP(-LN(2)/25)*CL168+(1-EXP(-LN(2)/25))/(LN(2)/25)*Calculateur!CG169*Calculateur!CI169*VLOOKUP('Données projet'!$B$12,Paramètres!$A$1:$I$88,3,0)*0.475*44/12</f>
        <v>0</v>
      </c>
      <c r="CM169" s="23">
        <f>EXP(-LN(2)/2)*CM168+(1-EXP(-LN(2)/2))/(LN(2)/2)*CG169*CJ169*VLOOKUP('Données projet'!$B$12,Paramètres!$A$1:$I$88,3,0)*0.475*44/12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projet'!$B$13,Paramètres!$A$1:$I$88,3,0)*VLOOKUP('Données projet'!$B$13,Paramètres!$A$1:$I$88,5,0)</f>
        <v>5.4683368944097308E-14</v>
      </c>
      <c r="CV169" s="14">
        <f t="shared" si="173"/>
        <v>8.8129432816788268E-13</v>
      </c>
      <c r="CW169" s="22">
        <f t="shared" si="174"/>
        <v>1.6301611558033651E-12</v>
      </c>
      <c r="CX169" s="62">
        <f t="shared" si="122"/>
        <v>293.33333333333496</v>
      </c>
      <c r="CY169" s="62">
        <f ca="1">AVERAGE(OFFSET($CX$3,0,0,'Données projet'!$E$13+1,1))-AVERAGE(OFFSET($H$3,0,0,'Données projet'!$E$13+1,1))</f>
        <v>205.01234521498333</v>
      </c>
      <c r="CZ169" s="62">
        <f t="shared" si="150"/>
        <v>100.26042113972852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projet'!$B$13,Paramètres!$A$1:$I$88,3,0)*0.475*44/12</f>
        <v>0</v>
      </c>
      <c r="DG169" s="23">
        <f>EXP(-LN(2)/25)*DG168+(1-EXP(-LN(2)/25))/(LN(2)/25)*Calculateur!DB169*Calculateur!DD169*VLOOKUP('Données projet'!$B$13,Paramètres!$A$1:$I$88,3,0)*0.475*44/12</f>
        <v>0</v>
      </c>
      <c r="DH169" s="23">
        <f>EXP(-LN(2)/2)*DH168+(1-EXP(-LN(2)/2))/(LN(2)/2)*DB169*DE169*VLOOKUP('Données projet'!$B$13,Paramètres!$A$1:$I$88,3,0)*0.475*44/12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48.847499999999862</v>
      </c>
      <c r="D170" s="12">
        <f t="shared" si="140"/>
        <v>14.315718760795859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487.57572376754592</v>
      </c>
      <c r="H170" s="70">
        <f t="shared" si="110"/>
        <v>403.34260600838587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projet'!$B$9,Paramètres!$A$1:$I$88,3,0)*VLOOKUP('Données projet'!$B$9,Paramètres!$A$1:$I$88,5,0)</f>
        <v>-5.7639226724859328E-14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167.90363814107491</v>
      </c>
      <c r="T170" s="62">
        <f t="shared" si="142"/>
        <v>174.92847878212234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projet'!$B$10,Paramètres!$A$1:$I$88,3,0)*VLOOKUP('Données projet'!$B$10,Paramètres!$A$1:$I$88,5,0)</f>
        <v>-6.1186256061773749E-14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179.61236179838011</v>
      </c>
      <c r="AO170" s="62">
        <f t="shared" si="144"/>
        <v>186.66130555850333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0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projet'!$B$11,Paramètres!$A$1:$I$88,3,0)*VLOOKUP('Données projet'!$B$11,Paramètres!$A$1:$I$88,5,0)</f>
        <v>-5.3205440053716299E-14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335.00873408144395</v>
      </c>
      <c r="BJ170" s="62">
        <f t="shared" si="146"/>
        <v>106.28577694955948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0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projet'!$B$12,Paramètres!$A$1:$I$88,3,0)*VLOOKUP('Données projet'!$B$12,Paramètres!$A$1:$I$88,5,0)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136.47709057888358</v>
      </c>
      <c r="CE170" s="62">
        <f t="shared" si="148"/>
        <v>99.705248792886493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0</v>
      </c>
      <c r="CL170" s="23">
        <f>EXP(-LN(2)/25)*CL169+(1-EXP(-LN(2)/25))/(LN(2)/25)*Calculateur!CG170*Calculateur!CI170*VLOOKUP('Données projet'!$B$12,Paramètres!$A$1:$I$88,3,0)*0.475*44/12</f>
        <v>0</v>
      </c>
      <c r="CM170" s="23">
        <f>EXP(-LN(2)/2)*CM169+(1-EXP(-LN(2)/2))/(LN(2)/2)*CG170*CJ170*VLOOKUP('Données projet'!$B$12,Paramètres!$A$1:$I$88,3,0)*0.475*44/12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projet'!$B$13,Paramètres!$A$1:$I$88,3,0)*VLOOKUP('Données projet'!$B$13,Paramètres!$A$1:$I$88,5,0)</f>
        <v>5.4683368944097308E-14</v>
      </c>
      <c r="CV170" s="14">
        <f t="shared" si="173"/>
        <v>8.8129432816788268E-13</v>
      </c>
      <c r="CW170" s="22">
        <f t="shared" si="174"/>
        <v>1.6301611558033651E-12</v>
      </c>
      <c r="CX170" s="62">
        <f t="shared" si="122"/>
        <v>293.33333333333496</v>
      </c>
      <c r="CY170" s="62">
        <f ca="1">AVERAGE(OFFSET($CX$3,0,0,'Données projet'!$E$13+1,1))-AVERAGE(OFFSET($H$3,0,0,'Données projet'!$E$13+1,1))</f>
        <v>205.01234521498333</v>
      </c>
      <c r="CZ170" s="62">
        <f t="shared" si="150"/>
        <v>100.26042113972852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projet'!$B$13,Paramètres!$A$1:$I$88,3,0)*0.475*44/12</f>
        <v>0</v>
      </c>
      <c r="DG170" s="23">
        <f>EXP(-LN(2)/25)*DG169+(1-EXP(-LN(2)/25))/(LN(2)/25)*Calculateur!DB170*Calculateur!DD170*VLOOKUP('Données projet'!$B$13,Paramètres!$A$1:$I$88,3,0)*0.475*44/12</f>
        <v>0</v>
      </c>
      <c r="DH170" s="23">
        <f>EXP(-LN(2)/2)*DH169+(1-EXP(-LN(2)/2))/(LN(2)/2)*DB170*DE170*VLOOKUP('Données projet'!$B$13,Paramètres!$A$1:$I$88,3,0)*0.475*44/12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49.139999999999858</v>
      </c>
      <c r="D171" s="12">
        <f t="shared" si="140"/>
        <v>14.391437147300829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490.41811131249659</v>
      </c>
      <c r="H171" s="70">
        <f t="shared" si="110"/>
        <v>403.98391969821535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projet'!$B$9,Paramètres!$A$1:$I$88,3,0)*VLOOKUP('Données projet'!$B$9,Paramètres!$A$1:$I$88,5,0)</f>
        <v>-5.7639226724859328E-14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167.90363814107491</v>
      </c>
      <c r="T171" s="62">
        <f t="shared" si="142"/>
        <v>174.92847878212234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projet'!$B$10,Paramètres!$A$1:$I$88,3,0)*VLOOKUP('Données projet'!$B$10,Paramètres!$A$1:$I$88,5,0)</f>
        <v>-6.1186256061773749E-14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179.61236179838011</v>
      </c>
      <c r="AO171" s="62">
        <f t="shared" si="144"/>
        <v>186.66130555850333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0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projet'!$B$11,Paramètres!$A$1:$I$88,3,0)*VLOOKUP('Données projet'!$B$11,Paramètres!$A$1:$I$88,5,0)</f>
        <v>-5.3205440053716299E-14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335.00873408144395</v>
      </c>
      <c r="BJ171" s="62">
        <f t="shared" si="146"/>
        <v>106.28577694955948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0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projet'!$B$12,Paramètres!$A$1:$I$88,3,0)*VLOOKUP('Données projet'!$B$12,Paramètres!$A$1:$I$88,5,0)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136.47709057888358</v>
      </c>
      <c r="CE171" s="62">
        <f t="shared" si="148"/>
        <v>99.705248792886493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0</v>
      </c>
      <c r="CL171" s="23">
        <f>EXP(-LN(2)/25)*CL170+(1-EXP(-LN(2)/25))/(LN(2)/25)*Calculateur!CG171*Calculateur!CI171*VLOOKUP('Données projet'!$B$12,Paramètres!$A$1:$I$88,3,0)*0.475*44/12</f>
        <v>0</v>
      </c>
      <c r="CM171" s="23">
        <f>EXP(-LN(2)/2)*CM170+(1-EXP(-LN(2)/2))/(LN(2)/2)*CG171*CJ171*VLOOKUP('Données projet'!$B$12,Paramètres!$A$1:$I$88,3,0)*0.475*44/12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projet'!$B$13,Paramètres!$A$1:$I$88,3,0)*VLOOKUP('Données projet'!$B$13,Paramètres!$A$1:$I$88,5,0)</f>
        <v>5.4683368944097308E-14</v>
      </c>
      <c r="CV171" s="14">
        <f t="shared" si="173"/>
        <v>8.8129432816788268E-13</v>
      </c>
      <c r="CW171" s="22">
        <f t="shared" si="174"/>
        <v>1.6301611558033651E-12</v>
      </c>
      <c r="CX171" s="62">
        <f t="shared" si="122"/>
        <v>293.33333333333496</v>
      </c>
      <c r="CY171" s="62">
        <f ca="1">AVERAGE(OFFSET($CX$3,0,0,'Données projet'!$E$13+1,1))-AVERAGE(OFFSET($H$3,0,0,'Données projet'!$E$13+1,1))</f>
        <v>205.01234521498333</v>
      </c>
      <c r="CZ171" s="62">
        <f t="shared" si="150"/>
        <v>100.26042113972852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projet'!$B$13,Paramètres!$A$1:$I$88,3,0)*0.475*44/12</f>
        <v>0</v>
      </c>
      <c r="DG171" s="23">
        <f>EXP(-LN(2)/25)*DG170+(1-EXP(-LN(2)/25))/(LN(2)/25)*Calculateur!DB171*Calculateur!DD171*VLOOKUP('Données projet'!$B$13,Paramètres!$A$1:$I$88,3,0)*0.475*44/12</f>
        <v>0</v>
      </c>
      <c r="DH171" s="23">
        <f>EXP(-LN(2)/2)*DH170+(1-EXP(-LN(2)/2))/(LN(2)/2)*DB171*DE171*VLOOKUP('Données projet'!$B$13,Paramètres!$A$1:$I$88,3,0)*0.475*44/12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49.432499999999855</v>
      </c>
      <c r="D172" s="12">
        <f t="shared" si="140"/>
        <v>14.467103089623414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493.26009402516212</v>
      </c>
      <c r="H172" s="70">
        <f t="shared" si="110"/>
        <v>404.62514204776051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projet'!$B$9,Paramètres!$A$1:$I$88,3,0)*VLOOKUP('Données projet'!$B$9,Paramètres!$A$1:$I$88,5,0)</f>
        <v>-5.7639226724859328E-14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167.90363814107491</v>
      </c>
      <c r="T172" s="62">
        <f t="shared" si="142"/>
        <v>174.92847878212234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projet'!$B$10,Paramètres!$A$1:$I$88,3,0)*VLOOKUP('Données projet'!$B$10,Paramètres!$A$1:$I$88,5,0)</f>
        <v>-6.1186256061773749E-14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179.61236179838011</v>
      </c>
      <c r="AO172" s="62">
        <f t="shared" si="144"/>
        <v>186.66130555850333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0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projet'!$B$11,Paramètres!$A$1:$I$88,3,0)*VLOOKUP('Données projet'!$B$11,Paramètres!$A$1:$I$88,5,0)</f>
        <v>-5.3205440053716299E-14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335.00873408144395</v>
      </c>
      <c r="BJ172" s="62">
        <f t="shared" si="146"/>
        <v>106.28577694955948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0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projet'!$B$12,Paramètres!$A$1:$I$88,3,0)*VLOOKUP('Données projet'!$B$12,Paramètres!$A$1:$I$88,5,0)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136.47709057888358</v>
      </c>
      <c r="CE172" s="62">
        <f t="shared" si="148"/>
        <v>99.705248792886493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0</v>
      </c>
      <c r="CL172" s="23">
        <f>EXP(-LN(2)/25)*CL171+(1-EXP(-LN(2)/25))/(LN(2)/25)*Calculateur!CG172*Calculateur!CI172*VLOOKUP('Données projet'!$B$12,Paramètres!$A$1:$I$88,3,0)*0.475*44/12</f>
        <v>0</v>
      </c>
      <c r="CM172" s="23">
        <f>EXP(-LN(2)/2)*CM171+(1-EXP(-LN(2)/2))/(LN(2)/2)*CG172*CJ172*VLOOKUP('Données projet'!$B$12,Paramètres!$A$1:$I$88,3,0)*0.475*44/12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projet'!$B$13,Paramètres!$A$1:$I$88,3,0)*VLOOKUP('Données projet'!$B$13,Paramètres!$A$1:$I$88,5,0)</f>
        <v>5.4683368944097308E-14</v>
      </c>
      <c r="CV172" s="14">
        <f t="shared" si="173"/>
        <v>8.8129432816788268E-13</v>
      </c>
      <c r="CW172" s="22">
        <f t="shared" si="174"/>
        <v>1.6301611558033651E-12</v>
      </c>
      <c r="CX172" s="62">
        <f t="shared" si="122"/>
        <v>293.33333333333496</v>
      </c>
      <c r="CY172" s="62">
        <f ca="1">AVERAGE(OFFSET($CX$3,0,0,'Données projet'!$E$13+1,1))-AVERAGE(OFFSET($H$3,0,0,'Données projet'!$E$13+1,1))</f>
        <v>205.01234521498333</v>
      </c>
      <c r="CZ172" s="62">
        <f t="shared" si="150"/>
        <v>100.26042113972852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projet'!$B$13,Paramètres!$A$1:$I$88,3,0)*0.475*44/12</f>
        <v>0</v>
      </c>
      <c r="DG172" s="23">
        <f>EXP(-LN(2)/25)*DG171+(1-EXP(-LN(2)/25))/(LN(2)/25)*Calculateur!DB172*Calculateur!DD172*VLOOKUP('Données projet'!$B$13,Paramètres!$A$1:$I$88,3,0)*0.475*44/12</f>
        <v>0</v>
      </c>
      <c r="DH172" s="23">
        <f>EXP(-LN(2)/2)*DH171+(1-EXP(-LN(2)/2))/(LN(2)/2)*DB172*DE172*VLOOKUP('Données projet'!$B$13,Paramètres!$A$1:$I$88,3,0)*0.475*44/12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49.724999999999852</v>
      </c>
      <c r="D173" s="12">
        <f t="shared" si="140"/>
        <v>14.542716934090311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496.10167457894164</v>
      </c>
      <c r="H173" s="70">
        <f t="shared" si="110"/>
        <v>405.26627366020699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projet'!$B$9,Paramètres!$A$1:$I$88,3,0)*VLOOKUP('Données projet'!$B$9,Paramètres!$A$1:$I$88,5,0)</f>
        <v>-5.7639226724859328E-14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167.90363814107491</v>
      </c>
      <c r="T173" s="62">
        <f t="shared" si="142"/>
        <v>174.92847878212234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projet'!$B$10,Paramètres!$A$1:$I$88,3,0)*VLOOKUP('Données projet'!$B$10,Paramètres!$A$1:$I$88,5,0)</f>
        <v>-6.1186256061773749E-14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179.61236179838011</v>
      </c>
      <c r="AO173" s="62">
        <f t="shared" si="144"/>
        <v>186.66130555850333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0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projet'!$B$11,Paramètres!$A$1:$I$88,3,0)*VLOOKUP('Données projet'!$B$11,Paramètres!$A$1:$I$88,5,0)</f>
        <v>-5.3205440053716299E-14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335.00873408144395</v>
      </c>
      <c r="BJ173" s="62">
        <f t="shared" si="146"/>
        <v>106.28577694955948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0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projet'!$B$12,Paramètres!$A$1:$I$88,3,0)*VLOOKUP('Données projet'!$B$12,Paramètres!$A$1:$I$88,5,0)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136.47709057888358</v>
      </c>
      <c r="CE173" s="62">
        <f t="shared" si="148"/>
        <v>99.705248792886493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0</v>
      </c>
      <c r="CL173" s="23">
        <f>EXP(-LN(2)/25)*CL172+(1-EXP(-LN(2)/25))/(LN(2)/25)*Calculateur!CG173*Calculateur!CI173*VLOOKUP('Données projet'!$B$12,Paramètres!$A$1:$I$88,3,0)*0.475*44/12</f>
        <v>0</v>
      </c>
      <c r="CM173" s="23">
        <f>EXP(-LN(2)/2)*CM172+(1-EXP(-LN(2)/2))/(LN(2)/2)*CG173*CJ173*VLOOKUP('Données projet'!$B$12,Paramètres!$A$1:$I$88,3,0)*0.475*44/12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projet'!$B$13,Paramètres!$A$1:$I$88,3,0)*VLOOKUP('Données projet'!$B$13,Paramètres!$A$1:$I$88,5,0)</f>
        <v>5.4683368944097308E-14</v>
      </c>
      <c r="CV173" s="14">
        <f t="shared" si="173"/>
        <v>8.8129432816788268E-13</v>
      </c>
      <c r="CW173" s="22">
        <f t="shared" si="174"/>
        <v>1.6301611558033651E-12</v>
      </c>
      <c r="CX173" s="62">
        <f t="shared" si="122"/>
        <v>293.33333333333496</v>
      </c>
      <c r="CY173" s="62">
        <f ca="1">AVERAGE(OFFSET($CX$3,0,0,'Données projet'!$E$13+1,1))-AVERAGE(OFFSET($H$3,0,0,'Données projet'!$E$13+1,1))</f>
        <v>205.01234521498333</v>
      </c>
      <c r="CZ173" s="62">
        <f t="shared" si="150"/>
        <v>100.26042113972852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projet'!$B$13,Paramètres!$A$1:$I$88,3,0)*0.475*44/12</f>
        <v>0</v>
      </c>
      <c r="DG173" s="23">
        <f>EXP(-LN(2)/25)*DG172+(1-EXP(-LN(2)/25))/(LN(2)/25)*Calculateur!DB173*Calculateur!DD173*VLOOKUP('Données projet'!$B$13,Paramètres!$A$1:$I$88,3,0)*0.475*44/12</f>
        <v>0</v>
      </c>
      <c r="DH173" s="23">
        <f>EXP(-LN(2)/2)*DH172+(1-EXP(-LN(2)/2))/(LN(2)/2)*DB173*DE173*VLOOKUP('Données projet'!$B$13,Paramètres!$A$1:$I$88,3,0)*0.475*44/12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50.017499999999849</v>
      </c>
      <c r="D174" s="12">
        <f t="shared" si="140"/>
        <v>14.618279022718037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498.94285561396265</v>
      </c>
      <c r="H174" s="70">
        <f t="shared" si="110"/>
        <v>405.90731513123364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projet'!$B$9,Paramètres!$A$1:$I$88,3,0)*VLOOKUP('Données projet'!$B$9,Paramètres!$A$1:$I$88,5,0)</f>
        <v>-5.7639226724859328E-14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167.90363814107491</v>
      </c>
      <c r="T174" s="62">
        <f t="shared" si="142"/>
        <v>174.92847878212234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projet'!$B$10,Paramètres!$A$1:$I$88,3,0)*VLOOKUP('Données projet'!$B$10,Paramètres!$A$1:$I$88,5,0)</f>
        <v>-6.1186256061773749E-14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179.61236179838011</v>
      </c>
      <c r="AO174" s="62">
        <f t="shared" si="144"/>
        <v>186.66130555850333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0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projet'!$B$11,Paramètres!$A$1:$I$88,3,0)*VLOOKUP('Données projet'!$B$11,Paramètres!$A$1:$I$88,5,0)</f>
        <v>-5.3205440053716299E-14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335.00873408144395</v>
      </c>
      <c r="BJ174" s="62">
        <f t="shared" si="146"/>
        <v>106.28577694955948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0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projet'!$B$12,Paramètres!$A$1:$I$88,3,0)*VLOOKUP('Données projet'!$B$12,Paramètres!$A$1:$I$88,5,0)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136.47709057888358</v>
      </c>
      <c r="CE174" s="62">
        <f t="shared" si="148"/>
        <v>99.705248792886493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0</v>
      </c>
      <c r="CL174" s="23">
        <f>EXP(-LN(2)/25)*CL173+(1-EXP(-LN(2)/25))/(LN(2)/25)*Calculateur!CG174*Calculateur!CI174*VLOOKUP('Données projet'!$B$12,Paramètres!$A$1:$I$88,3,0)*0.475*44/12</f>
        <v>0</v>
      </c>
      <c r="CM174" s="23">
        <f>EXP(-LN(2)/2)*CM173+(1-EXP(-LN(2)/2))/(LN(2)/2)*CG174*CJ174*VLOOKUP('Données projet'!$B$12,Paramètres!$A$1:$I$88,3,0)*0.475*44/12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projet'!$B$13,Paramètres!$A$1:$I$88,3,0)*VLOOKUP('Données projet'!$B$13,Paramètres!$A$1:$I$88,5,0)</f>
        <v>5.4683368944097308E-14</v>
      </c>
      <c r="CV174" s="14">
        <f t="shared" si="173"/>
        <v>8.8129432816788268E-13</v>
      </c>
      <c r="CW174" s="22">
        <f t="shared" si="174"/>
        <v>1.6301611558033651E-12</v>
      </c>
      <c r="CX174" s="62">
        <f t="shared" si="122"/>
        <v>293.33333333333496</v>
      </c>
      <c r="CY174" s="62">
        <f ca="1">AVERAGE(OFFSET($CX$3,0,0,'Données projet'!$E$13+1,1))-AVERAGE(OFFSET($H$3,0,0,'Données projet'!$E$13+1,1))</f>
        <v>205.01234521498333</v>
      </c>
      <c r="CZ174" s="62">
        <f t="shared" si="150"/>
        <v>100.26042113972852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projet'!$B$13,Paramètres!$A$1:$I$88,3,0)*0.475*44/12</f>
        <v>0</v>
      </c>
      <c r="DG174" s="23">
        <f>EXP(-LN(2)/25)*DG173+(1-EXP(-LN(2)/25))/(LN(2)/25)*Calculateur!DB174*Calculateur!DD174*VLOOKUP('Données projet'!$B$13,Paramètres!$A$1:$I$88,3,0)*0.475*44/12</f>
        <v>0</v>
      </c>
      <c r="DH174" s="23">
        <f>EXP(-LN(2)/2)*DH173+(1-EXP(-LN(2)/2))/(LN(2)/2)*DB174*DE174*VLOOKUP('Données projet'!$B$13,Paramètres!$A$1:$I$88,3,0)*0.475*44/12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50.309999999999846</v>
      </c>
      <c r="D175" s="12">
        <f t="shared" si="140"/>
        <v>14.693789693291512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501.78363973768768</v>
      </c>
      <c r="H175" s="70">
        <f t="shared" si="110"/>
        <v>406.5482670491491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projet'!$B$9,Paramètres!$A$1:$I$88,3,0)*VLOOKUP('Données projet'!$B$9,Paramètres!$A$1:$I$88,5,0)</f>
        <v>-5.7639226724859328E-14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167.90363814107491</v>
      </c>
      <c r="T175" s="62">
        <f t="shared" si="142"/>
        <v>174.92847878212234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projet'!$B$10,Paramètres!$A$1:$I$88,3,0)*VLOOKUP('Données projet'!$B$10,Paramètres!$A$1:$I$88,5,0)</f>
        <v>-6.1186256061773749E-14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179.61236179838011</v>
      </c>
      <c r="AO175" s="62">
        <f t="shared" si="144"/>
        <v>186.66130555850333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0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projet'!$B$11,Paramètres!$A$1:$I$88,3,0)*VLOOKUP('Données projet'!$B$11,Paramètres!$A$1:$I$88,5,0)</f>
        <v>-5.3205440053716299E-14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335.00873408144395</v>
      </c>
      <c r="BJ175" s="62">
        <f t="shared" si="146"/>
        <v>106.28577694955948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0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projet'!$B$12,Paramètres!$A$1:$I$88,3,0)*VLOOKUP('Données projet'!$B$12,Paramètres!$A$1:$I$88,5,0)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136.47709057888358</v>
      </c>
      <c r="CE175" s="62">
        <f t="shared" si="148"/>
        <v>99.705248792886493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0</v>
      </c>
      <c r="CL175" s="23">
        <f>EXP(-LN(2)/25)*CL174+(1-EXP(-LN(2)/25))/(LN(2)/25)*Calculateur!CG175*Calculateur!CI175*VLOOKUP('Données projet'!$B$12,Paramètres!$A$1:$I$88,3,0)*0.475*44/12</f>
        <v>0</v>
      </c>
      <c r="CM175" s="23">
        <f>EXP(-LN(2)/2)*CM174+(1-EXP(-LN(2)/2))/(LN(2)/2)*CG175*CJ175*VLOOKUP('Données projet'!$B$12,Paramètres!$A$1:$I$88,3,0)*0.475*44/12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projet'!$B$13,Paramètres!$A$1:$I$88,3,0)*VLOOKUP('Données projet'!$B$13,Paramètres!$A$1:$I$88,5,0)</f>
        <v>5.4683368944097308E-14</v>
      </c>
      <c r="CV175" s="14">
        <f t="shared" si="173"/>
        <v>8.8129432816788268E-13</v>
      </c>
      <c r="CW175" s="22">
        <f t="shared" si="174"/>
        <v>1.6301611558033651E-12</v>
      </c>
      <c r="CX175" s="62">
        <f t="shared" si="122"/>
        <v>293.33333333333496</v>
      </c>
      <c r="CY175" s="62">
        <f ca="1">AVERAGE(OFFSET($CX$3,0,0,'Données projet'!$E$13+1,1))-AVERAGE(OFFSET($H$3,0,0,'Données projet'!$E$13+1,1))</f>
        <v>205.01234521498333</v>
      </c>
      <c r="CZ175" s="62">
        <f t="shared" si="150"/>
        <v>100.26042113972852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projet'!$B$13,Paramètres!$A$1:$I$88,3,0)*0.475*44/12</f>
        <v>0</v>
      </c>
      <c r="DG175" s="23">
        <f>EXP(-LN(2)/25)*DG174+(1-EXP(-LN(2)/25))/(LN(2)/25)*Calculateur!DB175*Calculateur!DD175*VLOOKUP('Données projet'!$B$13,Paramètres!$A$1:$I$88,3,0)*0.475*44/12</f>
        <v>0</v>
      </c>
      <c r="DH175" s="23">
        <f>EXP(-LN(2)/2)*DH174+(1-EXP(-LN(2)/2))/(LN(2)/2)*DB175*DE175*VLOOKUP('Données projet'!$B$13,Paramètres!$A$1:$I$88,3,0)*0.475*44/12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50.602499999999843</v>
      </c>
      <c r="D176" s="12">
        <f t="shared" si="140"/>
        <v>14.769249279440634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504.62402952550548</v>
      </c>
      <c r="H176" s="70">
        <f t="shared" si="110"/>
        <v>407.1891299950255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projet'!$B$9,Paramètres!$A$1:$I$88,3,0)*VLOOKUP('Données projet'!$B$9,Paramètres!$A$1:$I$88,5,0)</f>
        <v>-5.7639226724859328E-14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167.90363814107491</v>
      </c>
      <c r="T176" s="62">
        <f t="shared" si="142"/>
        <v>174.92847878212234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projet'!$B$10,Paramètres!$A$1:$I$88,3,0)*VLOOKUP('Données projet'!$B$10,Paramètres!$A$1:$I$88,5,0)</f>
        <v>-6.1186256061773749E-14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179.61236179838011</v>
      </c>
      <c r="AO176" s="62">
        <f t="shared" si="144"/>
        <v>186.66130555850333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0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projet'!$B$11,Paramètres!$A$1:$I$88,3,0)*VLOOKUP('Données projet'!$B$11,Paramètres!$A$1:$I$88,5,0)</f>
        <v>-5.3205440053716299E-14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335.00873408144395</v>
      </c>
      <c r="BJ176" s="62">
        <f t="shared" si="146"/>
        <v>106.28577694955948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0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projet'!$B$12,Paramètres!$A$1:$I$88,3,0)*VLOOKUP('Données projet'!$B$12,Paramètres!$A$1:$I$88,5,0)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136.47709057888358</v>
      </c>
      <c r="CE176" s="62">
        <f t="shared" si="148"/>
        <v>99.705248792886493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0</v>
      </c>
      <c r="CL176" s="23">
        <f>EXP(-LN(2)/25)*CL175+(1-EXP(-LN(2)/25))/(LN(2)/25)*Calculateur!CG176*Calculateur!CI176*VLOOKUP('Données projet'!$B$12,Paramètres!$A$1:$I$88,3,0)*0.475*44/12</f>
        <v>0</v>
      </c>
      <c r="CM176" s="23">
        <f>EXP(-LN(2)/2)*CM175+(1-EXP(-LN(2)/2))/(LN(2)/2)*CG176*CJ176*VLOOKUP('Données projet'!$B$12,Paramètres!$A$1:$I$88,3,0)*0.475*44/12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projet'!$B$13,Paramètres!$A$1:$I$88,3,0)*VLOOKUP('Données projet'!$B$13,Paramètres!$A$1:$I$88,5,0)</f>
        <v>5.4683368944097308E-14</v>
      </c>
      <c r="CV176" s="14">
        <f t="shared" si="173"/>
        <v>8.8129432816788268E-13</v>
      </c>
      <c r="CW176" s="22">
        <f t="shared" si="174"/>
        <v>1.6301611558033651E-12</v>
      </c>
      <c r="CX176" s="62">
        <f t="shared" si="122"/>
        <v>293.33333333333496</v>
      </c>
      <c r="CY176" s="62">
        <f ca="1">AVERAGE(OFFSET($CX$3,0,0,'Données projet'!$E$13+1,1))-AVERAGE(OFFSET($H$3,0,0,'Données projet'!$E$13+1,1))</f>
        <v>205.01234521498333</v>
      </c>
      <c r="CZ176" s="62">
        <f t="shared" si="150"/>
        <v>100.26042113972852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projet'!$B$13,Paramètres!$A$1:$I$88,3,0)*0.475*44/12</f>
        <v>0</v>
      </c>
      <c r="DG176" s="23">
        <f>EXP(-LN(2)/25)*DG175+(1-EXP(-LN(2)/25))/(LN(2)/25)*Calculateur!DB176*Calculateur!DD176*VLOOKUP('Données projet'!$B$13,Paramètres!$A$1:$I$88,3,0)*0.475*44/12</f>
        <v>0</v>
      </c>
      <c r="DH176" s="23">
        <f>EXP(-LN(2)/2)*DH175+(1-EXP(-LN(2)/2))/(LN(2)/2)*DB176*DE176*VLOOKUP('Données projet'!$B$13,Paramètres!$A$1:$I$88,3,0)*0.475*44/12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50.89499999999984</v>
      </c>
      <c r="D177" s="12">
        <f t="shared" si="140"/>
        <v>14.844658110715166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507.46402752130888</v>
      </c>
      <c r="H177" s="70">
        <f t="shared" si="110"/>
        <v>407.82990454282861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projet'!$B$9,Paramètres!$A$1:$I$88,3,0)*VLOOKUP('Données projet'!$B$9,Paramètres!$A$1:$I$88,5,0)</f>
        <v>-5.7639226724859328E-14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167.90363814107491</v>
      </c>
      <c r="T177" s="62">
        <f t="shared" si="142"/>
        <v>174.92847878212234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projet'!$B$10,Paramètres!$A$1:$I$88,3,0)*VLOOKUP('Données projet'!$B$10,Paramètres!$A$1:$I$88,5,0)</f>
        <v>-6.1186256061773749E-14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179.61236179838011</v>
      </c>
      <c r="AO177" s="62">
        <f t="shared" si="144"/>
        <v>186.66130555850333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0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projet'!$B$11,Paramètres!$A$1:$I$88,3,0)*VLOOKUP('Données projet'!$B$11,Paramètres!$A$1:$I$88,5,0)</f>
        <v>-5.3205440053716299E-14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335.00873408144395</v>
      </c>
      <c r="BJ177" s="62">
        <f t="shared" si="146"/>
        <v>106.28577694955948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0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projet'!$B$12,Paramètres!$A$1:$I$88,3,0)*VLOOKUP('Données projet'!$B$12,Paramètres!$A$1:$I$88,5,0)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136.47709057888358</v>
      </c>
      <c r="CE177" s="62">
        <f t="shared" si="148"/>
        <v>99.705248792886493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0</v>
      </c>
      <c r="CL177" s="23">
        <f>EXP(-LN(2)/25)*CL176+(1-EXP(-LN(2)/25))/(LN(2)/25)*Calculateur!CG177*Calculateur!CI177*VLOOKUP('Données projet'!$B$12,Paramètres!$A$1:$I$88,3,0)*0.475*44/12</f>
        <v>0</v>
      </c>
      <c r="CM177" s="23">
        <f>EXP(-LN(2)/2)*CM176+(1-EXP(-LN(2)/2))/(LN(2)/2)*CG177*CJ177*VLOOKUP('Données projet'!$B$12,Paramètres!$A$1:$I$88,3,0)*0.475*44/12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projet'!$B$13,Paramètres!$A$1:$I$88,3,0)*VLOOKUP('Données projet'!$B$13,Paramètres!$A$1:$I$88,5,0)</f>
        <v>5.4683368944097308E-14</v>
      </c>
      <c r="CV177" s="14">
        <f t="shared" si="173"/>
        <v>8.8129432816788268E-13</v>
      </c>
      <c r="CW177" s="22">
        <f t="shared" si="174"/>
        <v>1.6301611558033651E-12</v>
      </c>
      <c r="CX177" s="62">
        <f t="shared" si="122"/>
        <v>293.33333333333496</v>
      </c>
      <c r="CY177" s="62">
        <f ca="1">AVERAGE(OFFSET($CX$3,0,0,'Données projet'!$E$13+1,1))-AVERAGE(OFFSET($H$3,0,0,'Données projet'!$E$13+1,1))</f>
        <v>205.01234521498333</v>
      </c>
      <c r="CZ177" s="62">
        <f t="shared" si="150"/>
        <v>100.26042113972852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projet'!$B$13,Paramètres!$A$1:$I$88,3,0)*0.475*44/12</f>
        <v>0</v>
      </c>
      <c r="DG177" s="23">
        <f>EXP(-LN(2)/25)*DG176+(1-EXP(-LN(2)/25))/(LN(2)/25)*Calculateur!DB177*Calculateur!DD177*VLOOKUP('Données projet'!$B$13,Paramètres!$A$1:$I$88,3,0)*0.475*44/12</f>
        <v>0</v>
      </c>
      <c r="DH177" s="23">
        <f>EXP(-LN(2)/2)*DH176+(1-EXP(-LN(2)/2))/(LN(2)/2)*DB177*DE177*VLOOKUP('Données projet'!$B$13,Paramètres!$A$1:$I$88,3,0)*0.475*44/12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51.187499999999837</v>
      </c>
      <c r="D178" s="12">
        <f t="shared" si="140"/>
        <v>14.920016512657726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510.30363623805846</v>
      </c>
      <c r="H178" s="70">
        <f t="shared" si="110"/>
        <v>408.47059125954524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projet'!$B$9,Paramètres!$A$1:$I$88,3,0)*VLOOKUP('Données projet'!$B$9,Paramètres!$A$1:$I$88,5,0)</f>
        <v>-5.7639226724859328E-14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167.90363814107491</v>
      </c>
      <c r="T178" s="62">
        <f t="shared" si="142"/>
        <v>174.92847878212234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projet'!$B$10,Paramètres!$A$1:$I$88,3,0)*VLOOKUP('Données projet'!$B$10,Paramètres!$A$1:$I$88,5,0)</f>
        <v>-6.1186256061773749E-14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179.61236179838011</v>
      </c>
      <c r="AO178" s="62">
        <f t="shared" si="144"/>
        <v>186.66130555850333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0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projet'!$B$11,Paramètres!$A$1:$I$88,3,0)*VLOOKUP('Données projet'!$B$11,Paramètres!$A$1:$I$88,5,0)</f>
        <v>-5.3205440053716299E-14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335.00873408144395</v>
      </c>
      <c r="BJ178" s="62">
        <f t="shared" si="146"/>
        <v>106.28577694955948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0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projet'!$B$12,Paramètres!$A$1:$I$88,3,0)*VLOOKUP('Données projet'!$B$12,Paramètres!$A$1:$I$88,5,0)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136.47709057888358</v>
      </c>
      <c r="CE178" s="62">
        <f t="shared" si="148"/>
        <v>99.705248792886493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0</v>
      </c>
      <c r="CL178" s="23">
        <f>EXP(-LN(2)/25)*CL177+(1-EXP(-LN(2)/25))/(LN(2)/25)*Calculateur!CG178*Calculateur!CI178*VLOOKUP('Données projet'!$B$12,Paramètres!$A$1:$I$88,3,0)*0.475*44/12</f>
        <v>0</v>
      </c>
      <c r="CM178" s="23">
        <f>EXP(-LN(2)/2)*CM177+(1-EXP(-LN(2)/2))/(LN(2)/2)*CG178*CJ178*VLOOKUP('Données projet'!$B$12,Paramètres!$A$1:$I$88,3,0)*0.475*44/12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projet'!$B$13,Paramètres!$A$1:$I$88,3,0)*VLOOKUP('Données projet'!$B$13,Paramètres!$A$1:$I$88,5,0)</f>
        <v>5.4683368944097308E-14</v>
      </c>
      <c r="CV178" s="14">
        <f t="shared" si="173"/>
        <v>8.8129432816788268E-13</v>
      </c>
      <c r="CW178" s="22">
        <f t="shared" si="174"/>
        <v>1.6301611558033651E-12</v>
      </c>
      <c r="CX178" s="62">
        <f t="shared" si="122"/>
        <v>293.33333333333496</v>
      </c>
      <c r="CY178" s="62">
        <f ca="1">AVERAGE(OFFSET($CX$3,0,0,'Données projet'!$E$13+1,1))-AVERAGE(OFFSET($H$3,0,0,'Données projet'!$E$13+1,1))</f>
        <v>205.01234521498333</v>
      </c>
      <c r="CZ178" s="62">
        <f t="shared" si="150"/>
        <v>100.26042113972852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projet'!$B$13,Paramètres!$A$1:$I$88,3,0)*0.475*44/12</f>
        <v>0</v>
      </c>
      <c r="DG178" s="23">
        <f>EXP(-LN(2)/25)*DG177+(1-EXP(-LN(2)/25))/(LN(2)/25)*Calculateur!DB178*Calculateur!DD178*VLOOKUP('Données projet'!$B$13,Paramètres!$A$1:$I$88,3,0)*0.475*44/12</f>
        <v>0</v>
      </c>
      <c r="DH178" s="23">
        <f>EXP(-LN(2)/2)*DH177+(1-EXP(-LN(2)/2))/(LN(2)/2)*DB178*DE178*VLOOKUP('Données projet'!$B$13,Paramètres!$A$1:$I$88,3,0)*0.475*44/12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51.479999999999833</v>
      </c>
      <c r="D179" s="12">
        <f t="shared" si="140"/>
        <v>14.995324806875193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513.14285815833352</v>
      </c>
      <c r="H179" s="70">
        <f t="shared" si="110"/>
        <v>409.11119070530731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projet'!$B$9,Paramètres!$A$1:$I$88,3,0)*VLOOKUP('Données projet'!$B$9,Paramètres!$A$1:$I$88,5,0)</f>
        <v>-5.7639226724859328E-14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167.90363814107491</v>
      </c>
      <c r="T179" s="62">
        <f t="shared" si="142"/>
        <v>174.92847878212234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projet'!$B$10,Paramètres!$A$1:$I$88,3,0)*VLOOKUP('Données projet'!$B$10,Paramètres!$A$1:$I$88,5,0)</f>
        <v>-6.1186256061773749E-14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179.61236179838011</v>
      </c>
      <c r="AO179" s="62">
        <f t="shared" si="144"/>
        <v>186.66130555850333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0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projet'!$B$11,Paramètres!$A$1:$I$88,3,0)*VLOOKUP('Données projet'!$B$11,Paramètres!$A$1:$I$88,5,0)</f>
        <v>-5.3205440053716299E-14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335.00873408144395</v>
      </c>
      <c r="BJ179" s="62">
        <f t="shared" si="146"/>
        <v>106.28577694955948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0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projet'!$B$12,Paramètres!$A$1:$I$88,3,0)*VLOOKUP('Données projet'!$B$12,Paramètres!$A$1:$I$88,5,0)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136.47709057888358</v>
      </c>
      <c r="CE179" s="62">
        <f t="shared" si="148"/>
        <v>99.705248792886493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0</v>
      </c>
      <c r="CL179" s="23">
        <f>EXP(-LN(2)/25)*CL178+(1-EXP(-LN(2)/25))/(LN(2)/25)*Calculateur!CG179*Calculateur!CI179*VLOOKUP('Données projet'!$B$12,Paramètres!$A$1:$I$88,3,0)*0.475*44/12</f>
        <v>0</v>
      </c>
      <c r="CM179" s="23">
        <f>EXP(-LN(2)/2)*CM178+(1-EXP(-LN(2)/2))/(LN(2)/2)*CG179*CJ179*VLOOKUP('Données projet'!$B$12,Paramètres!$A$1:$I$88,3,0)*0.475*44/12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projet'!$B$13,Paramètres!$A$1:$I$88,3,0)*VLOOKUP('Données projet'!$B$13,Paramètres!$A$1:$I$88,5,0)</f>
        <v>5.4683368944097308E-14</v>
      </c>
      <c r="CV179" s="14">
        <f t="shared" si="173"/>
        <v>8.8129432816788268E-13</v>
      </c>
      <c r="CW179" s="22">
        <f t="shared" si="174"/>
        <v>1.6301611558033651E-12</v>
      </c>
      <c r="CX179" s="62">
        <f t="shared" si="122"/>
        <v>293.33333333333496</v>
      </c>
      <c r="CY179" s="62">
        <f ca="1">AVERAGE(OFFSET($CX$3,0,0,'Données projet'!$E$13+1,1))-AVERAGE(OFFSET($H$3,0,0,'Données projet'!$E$13+1,1))</f>
        <v>205.01234521498333</v>
      </c>
      <c r="CZ179" s="62">
        <f t="shared" si="150"/>
        <v>100.26042113972852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projet'!$B$13,Paramètres!$A$1:$I$88,3,0)*0.475*44/12</f>
        <v>0</v>
      </c>
      <c r="DG179" s="23">
        <f>EXP(-LN(2)/25)*DG178+(1-EXP(-LN(2)/25))/(LN(2)/25)*Calculateur!DB179*Calculateur!DD179*VLOOKUP('Données projet'!$B$13,Paramètres!$A$1:$I$88,3,0)*0.475*44/12</f>
        <v>0</v>
      </c>
      <c r="DH179" s="23">
        <f>EXP(-LN(2)/2)*DH178+(1-EXP(-LN(2)/2))/(LN(2)/2)*DB179*DE179*VLOOKUP('Données projet'!$B$13,Paramètres!$A$1:$I$88,3,0)*0.475*44/12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51.77249999999983</v>
      </c>
      <c r="D180" s="12">
        <f t="shared" si="140"/>
        <v>15.070583311108301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515.98169573486985</v>
      </c>
      <c r="H180" s="70">
        <f t="shared" si="110"/>
        <v>409.75170343351328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projet'!$B$9,Paramètres!$A$1:$I$88,3,0)*VLOOKUP('Données projet'!$B$9,Paramètres!$A$1:$I$88,5,0)</f>
        <v>-5.7639226724859328E-14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167.90363814107491</v>
      </c>
      <c r="T180" s="62">
        <f t="shared" si="142"/>
        <v>174.92847878212234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projet'!$B$10,Paramètres!$A$1:$I$88,3,0)*VLOOKUP('Données projet'!$B$10,Paramètres!$A$1:$I$88,5,0)</f>
        <v>-6.1186256061773749E-14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179.61236179838011</v>
      </c>
      <c r="AO180" s="62">
        <f t="shared" si="144"/>
        <v>186.66130555850333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0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projet'!$B$11,Paramètres!$A$1:$I$88,3,0)*VLOOKUP('Données projet'!$B$11,Paramètres!$A$1:$I$88,5,0)</f>
        <v>-5.3205440053716299E-14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335.00873408144395</v>
      </c>
      <c r="BJ180" s="62">
        <f t="shared" si="146"/>
        <v>106.28577694955948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0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projet'!$B$12,Paramètres!$A$1:$I$88,3,0)*VLOOKUP('Données projet'!$B$12,Paramètres!$A$1:$I$88,5,0)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136.47709057888358</v>
      </c>
      <c r="CE180" s="62">
        <f t="shared" si="148"/>
        <v>99.705248792886493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0</v>
      </c>
      <c r="CL180" s="23">
        <f>EXP(-LN(2)/25)*CL179+(1-EXP(-LN(2)/25))/(LN(2)/25)*Calculateur!CG180*Calculateur!CI180*VLOOKUP('Données projet'!$B$12,Paramètres!$A$1:$I$88,3,0)*0.475*44/12</f>
        <v>0</v>
      </c>
      <c r="CM180" s="23">
        <f>EXP(-LN(2)/2)*CM179+(1-EXP(-LN(2)/2))/(LN(2)/2)*CG180*CJ180*VLOOKUP('Données projet'!$B$12,Paramètres!$A$1:$I$88,3,0)*0.475*44/12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projet'!$B$13,Paramètres!$A$1:$I$88,3,0)*VLOOKUP('Données projet'!$B$13,Paramètres!$A$1:$I$88,5,0)</f>
        <v>5.4683368944097308E-14</v>
      </c>
      <c r="CV180" s="14">
        <f t="shared" si="173"/>
        <v>8.8129432816788268E-13</v>
      </c>
      <c r="CW180" s="22">
        <f t="shared" si="174"/>
        <v>1.6301611558033651E-12</v>
      </c>
      <c r="CX180" s="62">
        <f t="shared" si="122"/>
        <v>293.33333333333496</v>
      </c>
      <c r="CY180" s="62">
        <f ca="1">AVERAGE(OFFSET($CX$3,0,0,'Données projet'!$E$13+1,1))-AVERAGE(OFFSET($H$3,0,0,'Données projet'!$E$13+1,1))</f>
        <v>205.01234521498333</v>
      </c>
      <c r="CZ180" s="62">
        <f t="shared" si="150"/>
        <v>100.26042113972852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projet'!$B$13,Paramètres!$A$1:$I$88,3,0)*0.475*44/12</f>
        <v>0</v>
      </c>
      <c r="DG180" s="23">
        <f>EXP(-LN(2)/25)*DG179+(1-EXP(-LN(2)/25))/(LN(2)/25)*Calculateur!DB180*Calculateur!DD180*VLOOKUP('Données projet'!$B$13,Paramètres!$A$1:$I$88,3,0)*0.475*44/12</f>
        <v>0</v>
      </c>
      <c r="DH180" s="23">
        <f>EXP(-LN(2)/2)*DH179+(1-EXP(-LN(2)/2))/(LN(2)/2)*DB180*DE180*VLOOKUP('Données projet'!$B$13,Paramètres!$A$1:$I$88,3,0)*0.475*44/12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52.064999999999827</v>
      </c>
      <c r="D181" s="12">
        <f t="shared" si="140"/>
        <v>15.145792339299783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518.82015139108478</v>
      </c>
      <c r="H181" s="70">
        <f t="shared" si="110"/>
        <v>410.39212999094678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projet'!$B$9,Paramètres!$A$1:$I$88,3,0)*VLOOKUP('Données projet'!$B$9,Paramètres!$A$1:$I$88,5,0)</f>
        <v>-5.7639226724859328E-14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167.90363814107491</v>
      </c>
      <c r="T181" s="62">
        <f t="shared" si="142"/>
        <v>174.92847878212234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projet'!$B$10,Paramètres!$A$1:$I$88,3,0)*VLOOKUP('Données projet'!$B$10,Paramètres!$A$1:$I$88,5,0)</f>
        <v>-6.1186256061773749E-14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179.61236179838011</v>
      </c>
      <c r="AO181" s="62">
        <f t="shared" si="144"/>
        <v>186.66130555850333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0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projet'!$B$11,Paramètres!$A$1:$I$88,3,0)*VLOOKUP('Données projet'!$B$11,Paramètres!$A$1:$I$88,5,0)</f>
        <v>-5.3205440053716299E-14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335.00873408144395</v>
      </c>
      <c r="BJ181" s="62">
        <f t="shared" si="146"/>
        <v>106.28577694955948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0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projet'!$B$12,Paramètres!$A$1:$I$88,3,0)*VLOOKUP('Données projet'!$B$12,Paramètres!$A$1:$I$88,5,0)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136.47709057888358</v>
      </c>
      <c r="CE181" s="62">
        <f t="shared" si="148"/>
        <v>99.705248792886493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0</v>
      </c>
      <c r="CL181" s="23">
        <f>EXP(-LN(2)/25)*CL180+(1-EXP(-LN(2)/25))/(LN(2)/25)*Calculateur!CG181*Calculateur!CI181*VLOOKUP('Données projet'!$B$12,Paramètres!$A$1:$I$88,3,0)*0.475*44/12</f>
        <v>0</v>
      </c>
      <c r="CM181" s="23">
        <f>EXP(-LN(2)/2)*CM180+(1-EXP(-LN(2)/2))/(LN(2)/2)*CG181*CJ181*VLOOKUP('Données projet'!$B$12,Paramètres!$A$1:$I$88,3,0)*0.475*44/12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projet'!$B$13,Paramètres!$A$1:$I$88,3,0)*VLOOKUP('Données projet'!$B$13,Paramètres!$A$1:$I$88,5,0)</f>
        <v>5.4683368944097308E-14</v>
      </c>
      <c r="CV181" s="14">
        <f t="shared" si="173"/>
        <v>8.8129432816788268E-13</v>
      </c>
      <c r="CW181" s="22">
        <f t="shared" si="174"/>
        <v>1.6301611558033651E-12</v>
      </c>
      <c r="CX181" s="62">
        <f t="shared" si="122"/>
        <v>293.33333333333496</v>
      </c>
      <c r="CY181" s="62">
        <f ca="1">AVERAGE(OFFSET($CX$3,0,0,'Données projet'!$E$13+1,1))-AVERAGE(OFFSET($H$3,0,0,'Données projet'!$E$13+1,1))</f>
        <v>205.01234521498333</v>
      </c>
      <c r="CZ181" s="62">
        <f t="shared" si="150"/>
        <v>100.26042113972852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projet'!$B$13,Paramètres!$A$1:$I$88,3,0)*0.475*44/12</f>
        <v>0</v>
      </c>
      <c r="DG181" s="23">
        <f>EXP(-LN(2)/25)*DG180+(1-EXP(-LN(2)/25))/(LN(2)/25)*Calculateur!DB181*Calculateur!DD181*VLOOKUP('Données projet'!$B$13,Paramètres!$A$1:$I$88,3,0)*0.475*44/12</f>
        <v>0</v>
      </c>
      <c r="DH181" s="23">
        <f>EXP(-LN(2)/2)*DH180+(1-EXP(-LN(2)/2))/(LN(2)/2)*DB181*DE181*VLOOKUP('Données projet'!$B$13,Paramètres!$A$1:$I$88,3,0)*0.475*44/12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52.357499999999824</v>
      </c>
      <c r="D182" s="12">
        <f t="shared" si="140"/>
        <v>15.220952201660733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521.65822752159022</v>
      </c>
      <c r="H182" s="70">
        <f t="shared" si="110"/>
        <v>411.03247091789211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projet'!$B$9,Paramètres!$A$1:$I$88,3,0)*VLOOKUP('Données projet'!$B$9,Paramètres!$A$1:$I$88,5,0)</f>
        <v>-5.7639226724859328E-14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167.90363814107491</v>
      </c>
      <c r="T182" s="62">
        <f t="shared" si="142"/>
        <v>174.92847878212234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projet'!$B$10,Paramètres!$A$1:$I$88,3,0)*VLOOKUP('Données projet'!$B$10,Paramètres!$A$1:$I$88,5,0)</f>
        <v>-6.1186256061773749E-14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179.61236179838011</v>
      </c>
      <c r="AO182" s="62">
        <f t="shared" si="144"/>
        <v>186.66130555850333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0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projet'!$B$11,Paramètres!$A$1:$I$88,3,0)*VLOOKUP('Données projet'!$B$11,Paramètres!$A$1:$I$88,5,0)</f>
        <v>-5.3205440053716299E-14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335.00873408144395</v>
      </c>
      <c r="BJ182" s="62">
        <f t="shared" si="146"/>
        <v>106.28577694955948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0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projet'!$B$12,Paramètres!$A$1:$I$88,3,0)*VLOOKUP('Données projet'!$B$12,Paramètres!$A$1:$I$88,5,0)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136.47709057888358</v>
      </c>
      <c r="CE182" s="62">
        <f t="shared" si="148"/>
        <v>99.705248792886493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0</v>
      </c>
      <c r="CL182" s="23">
        <f>EXP(-LN(2)/25)*CL181+(1-EXP(-LN(2)/25))/(LN(2)/25)*Calculateur!CG182*Calculateur!CI182*VLOOKUP('Données projet'!$B$12,Paramètres!$A$1:$I$88,3,0)*0.475*44/12</f>
        <v>0</v>
      </c>
      <c r="CM182" s="23">
        <f>EXP(-LN(2)/2)*CM181+(1-EXP(-LN(2)/2))/(LN(2)/2)*CG182*CJ182*VLOOKUP('Données projet'!$B$12,Paramètres!$A$1:$I$88,3,0)*0.475*44/12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projet'!$B$13,Paramètres!$A$1:$I$88,3,0)*VLOOKUP('Données projet'!$B$13,Paramètres!$A$1:$I$88,5,0)</f>
        <v>5.4683368944097308E-14</v>
      </c>
      <c r="CV182" s="14">
        <f t="shared" si="173"/>
        <v>8.8129432816788268E-13</v>
      </c>
      <c r="CW182" s="22">
        <f t="shared" si="174"/>
        <v>1.6301611558033651E-12</v>
      </c>
      <c r="CX182" s="62">
        <f t="shared" si="122"/>
        <v>293.33333333333496</v>
      </c>
      <c r="CY182" s="62">
        <f ca="1">AVERAGE(OFFSET($CX$3,0,0,'Données projet'!$E$13+1,1))-AVERAGE(OFFSET($H$3,0,0,'Données projet'!$E$13+1,1))</f>
        <v>205.01234521498333</v>
      </c>
      <c r="CZ182" s="62">
        <f t="shared" si="150"/>
        <v>100.26042113972852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projet'!$B$13,Paramètres!$A$1:$I$88,3,0)*0.475*44/12</f>
        <v>0</v>
      </c>
      <c r="DG182" s="23">
        <f>EXP(-LN(2)/25)*DG181+(1-EXP(-LN(2)/25))/(LN(2)/25)*Calculateur!DB182*Calculateur!DD182*VLOOKUP('Données projet'!$B$13,Paramètres!$A$1:$I$88,3,0)*0.475*44/12</f>
        <v>0</v>
      </c>
      <c r="DH182" s="23">
        <f>EXP(-LN(2)/2)*DH181+(1-EXP(-LN(2)/2))/(LN(2)/2)*DB182*DE182*VLOOKUP('Données projet'!$B$13,Paramètres!$A$1:$I$88,3,0)*0.475*44/12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52.649999999999821</v>
      </c>
      <c r="D183" s="12">
        <f t="shared" si="140"/>
        <v>15.296063204735637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524.49592649269471</v>
      </c>
      <c r="H183" s="70">
        <f t="shared" si="110"/>
        <v>411.67272674824756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projet'!$B$9,Paramètres!$A$1:$I$88,3,0)*VLOOKUP('Données projet'!$B$9,Paramètres!$A$1:$I$88,5,0)</f>
        <v>-5.7639226724859328E-14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167.90363814107491</v>
      </c>
      <c r="T183" s="62">
        <f t="shared" si="142"/>
        <v>174.92847878212234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projet'!$B$10,Paramètres!$A$1:$I$88,3,0)*VLOOKUP('Données projet'!$B$10,Paramètres!$A$1:$I$88,5,0)</f>
        <v>-6.1186256061773749E-14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179.61236179838011</v>
      </c>
      <c r="AO183" s="62">
        <f t="shared" si="144"/>
        <v>186.66130555850333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0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projet'!$B$11,Paramètres!$A$1:$I$88,3,0)*VLOOKUP('Données projet'!$B$11,Paramètres!$A$1:$I$88,5,0)</f>
        <v>-5.3205440053716299E-14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335.00873408144395</v>
      </c>
      <c r="BJ183" s="62">
        <f t="shared" si="146"/>
        <v>106.28577694955948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0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projet'!$B$12,Paramètres!$A$1:$I$88,3,0)*VLOOKUP('Données projet'!$B$12,Paramètres!$A$1:$I$88,5,0)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136.47709057888358</v>
      </c>
      <c r="CE183" s="62">
        <f t="shared" si="148"/>
        <v>99.705248792886493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0</v>
      </c>
      <c r="CL183" s="23">
        <f>EXP(-LN(2)/25)*CL182+(1-EXP(-LN(2)/25))/(LN(2)/25)*Calculateur!CG183*Calculateur!CI183*VLOOKUP('Données projet'!$B$12,Paramètres!$A$1:$I$88,3,0)*0.475*44/12</f>
        <v>0</v>
      </c>
      <c r="CM183" s="23">
        <f>EXP(-LN(2)/2)*CM182+(1-EXP(-LN(2)/2))/(LN(2)/2)*CG183*CJ183*VLOOKUP('Données projet'!$B$12,Paramètres!$A$1:$I$88,3,0)*0.475*44/12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projet'!$B$13,Paramètres!$A$1:$I$88,3,0)*VLOOKUP('Données projet'!$B$13,Paramètres!$A$1:$I$88,5,0)</f>
        <v>5.4683368944097308E-14</v>
      </c>
      <c r="CV183" s="14">
        <f t="shared" si="173"/>
        <v>8.8129432816788268E-13</v>
      </c>
      <c r="CW183" s="22">
        <f t="shared" si="174"/>
        <v>1.6301611558033651E-12</v>
      </c>
      <c r="CX183" s="62">
        <f t="shared" si="122"/>
        <v>293.33333333333496</v>
      </c>
      <c r="CY183" s="62">
        <f ca="1">AVERAGE(OFFSET($CX$3,0,0,'Données projet'!$E$13+1,1))-AVERAGE(OFFSET($H$3,0,0,'Données projet'!$E$13+1,1))</f>
        <v>205.01234521498333</v>
      </c>
      <c r="CZ183" s="62">
        <f t="shared" si="150"/>
        <v>100.26042113972852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projet'!$B$13,Paramètres!$A$1:$I$88,3,0)*0.475*44/12</f>
        <v>0</v>
      </c>
      <c r="DG183" s="23">
        <f>EXP(-LN(2)/25)*DG182+(1-EXP(-LN(2)/25))/(LN(2)/25)*Calculateur!DB183*Calculateur!DD183*VLOOKUP('Données projet'!$B$13,Paramètres!$A$1:$I$88,3,0)*0.475*44/12</f>
        <v>0</v>
      </c>
      <c r="DH183" s="23">
        <f>EXP(-LN(2)/2)*DH182+(1-EXP(-LN(2)/2))/(LN(2)/2)*DB183*DE183*VLOOKUP('Données projet'!$B$13,Paramètres!$A$1:$I$88,3,0)*0.475*44/12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52.942499999999818</v>
      </c>
      <c r="D184" s="12">
        <f t="shared" si="140"/>
        <v>15.371125651465819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527.33325064289272</v>
      </c>
      <c r="H184" s="70">
        <f t="shared" si="110"/>
        <v>412.31289800963594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projet'!$B$9,Paramètres!$A$1:$I$88,3,0)*VLOOKUP('Données projet'!$B$9,Paramètres!$A$1:$I$88,5,0)</f>
        <v>-5.7639226724859328E-14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167.90363814107491</v>
      </c>
      <c r="T184" s="62">
        <f t="shared" si="142"/>
        <v>174.92847878212234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projet'!$B$10,Paramètres!$A$1:$I$88,3,0)*VLOOKUP('Données projet'!$B$10,Paramètres!$A$1:$I$88,5,0)</f>
        <v>-6.1186256061773749E-14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179.61236179838011</v>
      </c>
      <c r="AO184" s="62">
        <f t="shared" si="144"/>
        <v>186.66130555850333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0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projet'!$B$11,Paramètres!$A$1:$I$88,3,0)*VLOOKUP('Données projet'!$B$11,Paramètres!$A$1:$I$88,5,0)</f>
        <v>-5.3205440053716299E-14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335.00873408144395</v>
      </c>
      <c r="BJ184" s="62">
        <f t="shared" si="146"/>
        <v>106.28577694955948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0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projet'!$B$12,Paramètres!$A$1:$I$88,3,0)*VLOOKUP('Données projet'!$B$12,Paramètres!$A$1:$I$88,5,0)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136.47709057888358</v>
      </c>
      <c r="CE184" s="62">
        <f t="shared" si="148"/>
        <v>99.705248792886493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0</v>
      </c>
      <c r="CL184" s="23">
        <f>EXP(-LN(2)/25)*CL183+(1-EXP(-LN(2)/25))/(LN(2)/25)*Calculateur!CG184*Calculateur!CI184*VLOOKUP('Données projet'!$B$12,Paramètres!$A$1:$I$88,3,0)*0.475*44/12</f>
        <v>0</v>
      </c>
      <c r="CM184" s="23">
        <f>EXP(-LN(2)/2)*CM183+(1-EXP(-LN(2)/2))/(LN(2)/2)*CG184*CJ184*VLOOKUP('Données projet'!$B$12,Paramètres!$A$1:$I$88,3,0)*0.475*44/12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projet'!$B$13,Paramètres!$A$1:$I$88,3,0)*VLOOKUP('Données projet'!$B$13,Paramètres!$A$1:$I$88,5,0)</f>
        <v>5.4683368944097308E-14</v>
      </c>
      <c r="CV184" s="14">
        <f t="shared" si="173"/>
        <v>8.8129432816788268E-13</v>
      </c>
      <c r="CW184" s="22">
        <f t="shared" si="174"/>
        <v>1.6301611558033651E-12</v>
      </c>
      <c r="CX184" s="62">
        <f t="shared" si="122"/>
        <v>293.33333333333496</v>
      </c>
      <c r="CY184" s="62">
        <f ca="1">AVERAGE(OFFSET($CX$3,0,0,'Données projet'!$E$13+1,1))-AVERAGE(OFFSET($H$3,0,0,'Données projet'!$E$13+1,1))</f>
        <v>205.01234521498333</v>
      </c>
      <c r="CZ184" s="62">
        <f t="shared" si="150"/>
        <v>100.26042113972852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projet'!$B$13,Paramètres!$A$1:$I$88,3,0)*0.475*44/12</f>
        <v>0</v>
      </c>
      <c r="DG184" s="23">
        <f>EXP(-LN(2)/25)*DG183+(1-EXP(-LN(2)/25))/(LN(2)/25)*Calculateur!DB184*Calculateur!DD184*VLOOKUP('Données projet'!$B$13,Paramètres!$A$1:$I$88,3,0)*0.475*44/12</f>
        <v>0</v>
      </c>
      <c r="DH184" s="23">
        <f>EXP(-LN(2)/2)*DH183+(1-EXP(-LN(2)/2))/(LN(2)/2)*DB184*DE184*VLOOKUP('Données projet'!$B$13,Paramètres!$A$1:$I$88,3,0)*0.475*44/12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53.234999999999815</v>
      </c>
      <c r="D185" s="12">
        <f t="shared" si="140"/>
        <v>15.446139841251448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530.1702022833432</v>
      </c>
      <c r="H185" s="70">
        <f t="shared" si="110"/>
        <v>412.9529852235126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projet'!$B$9,Paramètres!$A$1:$I$88,3,0)*VLOOKUP('Données projet'!$B$9,Paramètres!$A$1:$I$88,5,0)</f>
        <v>-5.7639226724859328E-14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167.90363814107491</v>
      </c>
      <c r="T185" s="62">
        <f t="shared" si="142"/>
        <v>174.92847878212234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projet'!$B$10,Paramètres!$A$1:$I$88,3,0)*VLOOKUP('Données projet'!$B$10,Paramètres!$A$1:$I$88,5,0)</f>
        <v>-6.1186256061773749E-14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179.61236179838011</v>
      </c>
      <c r="AO185" s="62">
        <f t="shared" si="144"/>
        <v>186.66130555850333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0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projet'!$B$11,Paramètres!$A$1:$I$88,3,0)*VLOOKUP('Données projet'!$B$11,Paramètres!$A$1:$I$88,5,0)</f>
        <v>-5.3205440053716299E-14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335.00873408144395</v>
      </c>
      <c r="BJ185" s="62">
        <f t="shared" si="146"/>
        <v>106.28577694955948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0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projet'!$B$12,Paramètres!$A$1:$I$88,3,0)*VLOOKUP('Données projet'!$B$12,Paramètres!$A$1:$I$88,5,0)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136.47709057888358</v>
      </c>
      <c r="CE185" s="62">
        <f t="shared" si="148"/>
        <v>99.705248792886493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0</v>
      </c>
      <c r="CL185" s="23">
        <f>EXP(-LN(2)/25)*CL184+(1-EXP(-LN(2)/25))/(LN(2)/25)*Calculateur!CG185*Calculateur!CI185*VLOOKUP('Données projet'!$B$12,Paramètres!$A$1:$I$88,3,0)*0.475*44/12</f>
        <v>0</v>
      </c>
      <c r="CM185" s="23">
        <f>EXP(-LN(2)/2)*CM184+(1-EXP(-LN(2)/2))/(LN(2)/2)*CG185*CJ185*VLOOKUP('Données projet'!$B$12,Paramètres!$A$1:$I$88,3,0)*0.475*44/12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projet'!$B$13,Paramètres!$A$1:$I$88,3,0)*VLOOKUP('Données projet'!$B$13,Paramètres!$A$1:$I$88,5,0)</f>
        <v>5.4683368944097308E-14</v>
      </c>
      <c r="CV185" s="14">
        <f t="shared" si="173"/>
        <v>8.8129432816788268E-13</v>
      </c>
      <c r="CW185" s="22">
        <f t="shared" si="174"/>
        <v>1.6301611558033651E-12</v>
      </c>
      <c r="CX185" s="62">
        <f t="shared" si="122"/>
        <v>293.33333333333496</v>
      </c>
      <c r="CY185" s="62">
        <f ca="1">AVERAGE(OFFSET($CX$3,0,0,'Données projet'!$E$13+1,1))-AVERAGE(OFFSET($H$3,0,0,'Données projet'!$E$13+1,1))</f>
        <v>205.01234521498333</v>
      </c>
      <c r="CZ185" s="62">
        <f t="shared" si="150"/>
        <v>100.26042113972852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projet'!$B$13,Paramètres!$A$1:$I$88,3,0)*0.475*44/12</f>
        <v>0</v>
      </c>
      <c r="DG185" s="23">
        <f>EXP(-LN(2)/25)*DG184+(1-EXP(-LN(2)/25))/(LN(2)/25)*Calculateur!DB185*Calculateur!DD185*VLOOKUP('Données projet'!$B$13,Paramètres!$A$1:$I$88,3,0)*0.475*44/12</f>
        <v>0</v>
      </c>
      <c r="DH185" s="23">
        <f>EXP(-LN(2)/2)*DH184+(1-EXP(-LN(2)/2))/(LN(2)/2)*DB185*DE185*VLOOKUP('Données projet'!$B$13,Paramètres!$A$1:$I$88,3,0)*0.475*44/12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53.527499999999812</v>
      </c>
      <c r="D186" s="12">
        <f t="shared" si="140"/>
        <v>15.521106070012127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533.00678369833781</v>
      </c>
      <c r="H186" s="70">
        <f t="shared" si="110"/>
        <v>413.59298890527077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projet'!$B$9,Paramètres!$A$1:$I$88,3,0)*VLOOKUP('Données projet'!$B$9,Paramètres!$A$1:$I$88,5,0)</f>
        <v>-5.7639226724859328E-14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167.90363814107491</v>
      </c>
      <c r="T186" s="62">
        <f t="shared" si="142"/>
        <v>174.92847878212234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projet'!$B$10,Paramètres!$A$1:$I$88,3,0)*VLOOKUP('Données projet'!$B$10,Paramètres!$A$1:$I$88,5,0)</f>
        <v>-6.1186256061773749E-14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179.61236179838011</v>
      </c>
      <c r="AO186" s="62">
        <f t="shared" si="144"/>
        <v>186.66130555850333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0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projet'!$B$11,Paramètres!$A$1:$I$88,3,0)*VLOOKUP('Données projet'!$B$11,Paramètres!$A$1:$I$88,5,0)</f>
        <v>-5.3205440053716299E-14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335.00873408144395</v>
      </c>
      <c r="BJ186" s="62">
        <f t="shared" si="146"/>
        <v>106.28577694955948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0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projet'!$B$12,Paramètres!$A$1:$I$88,3,0)*VLOOKUP('Données projet'!$B$12,Paramètres!$A$1:$I$88,5,0)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136.47709057888358</v>
      </c>
      <c r="CE186" s="62">
        <f t="shared" si="148"/>
        <v>99.705248792886493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0</v>
      </c>
      <c r="CL186" s="23">
        <f>EXP(-LN(2)/25)*CL185+(1-EXP(-LN(2)/25))/(LN(2)/25)*Calculateur!CG186*Calculateur!CI186*VLOOKUP('Données projet'!$B$12,Paramètres!$A$1:$I$88,3,0)*0.475*44/12</f>
        <v>0</v>
      </c>
      <c r="CM186" s="23">
        <f>EXP(-LN(2)/2)*CM185+(1-EXP(-LN(2)/2))/(LN(2)/2)*CG186*CJ186*VLOOKUP('Données projet'!$B$12,Paramètres!$A$1:$I$88,3,0)*0.475*44/12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projet'!$B$13,Paramètres!$A$1:$I$88,3,0)*VLOOKUP('Données projet'!$B$13,Paramètres!$A$1:$I$88,5,0)</f>
        <v>5.4683368944097308E-14</v>
      </c>
      <c r="CV186" s="14">
        <f t="shared" si="173"/>
        <v>8.8129432816788268E-13</v>
      </c>
      <c r="CW186" s="22">
        <f t="shared" si="174"/>
        <v>1.6301611558033651E-12</v>
      </c>
      <c r="CX186" s="62">
        <f t="shared" si="122"/>
        <v>293.33333333333496</v>
      </c>
      <c r="CY186" s="62">
        <f ca="1">AVERAGE(OFFSET($CX$3,0,0,'Données projet'!$E$13+1,1))-AVERAGE(OFFSET($H$3,0,0,'Données projet'!$E$13+1,1))</f>
        <v>205.01234521498333</v>
      </c>
      <c r="CZ186" s="62">
        <f t="shared" si="150"/>
        <v>100.26042113972852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projet'!$B$13,Paramètres!$A$1:$I$88,3,0)*0.475*44/12</f>
        <v>0</v>
      </c>
      <c r="DG186" s="23">
        <f>EXP(-LN(2)/25)*DG185+(1-EXP(-LN(2)/25))/(LN(2)/25)*Calculateur!DB186*Calculateur!DD186*VLOOKUP('Données projet'!$B$13,Paramètres!$A$1:$I$88,3,0)*0.475*44/12</f>
        <v>0</v>
      </c>
      <c r="DH186" s="23">
        <f>EXP(-LN(2)/2)*DH185+(1-EXP(-LN(2)/2))/(LN(2)/2)*DB186*DE186*VLOOKUP('Données projet'!$B$13,Paramètres!$A$1:$I$88,3,0)*0.475*44/12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53.819999999999808</v>
      </c>
      <c r="D187" s="12">
        <f t="shared" si="140"/>
        <v>15.596024630246218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535.84299714575889</v>
      </c>
      <c r="H187" s="70">
        <f t="shared" si="110"/>
        <v>414.23290956434511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projet'!$B$9,Paramètres!$A$1:$I$88,3,0)*VLOOKUP('Données projet'!$B$9,Paramètres!$A$1:$I$88,5,0)</f>
        <v>-5.7639226724859328E-14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167.90363814107491</v>
      </c>
      <c r="T187" s="62">
        <f t="shared" si="142"/>
        <v>174.92847878212234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projet'!$B$10,Paramètres!$A$1:$I$88,3,0)*VLOOKUP('Données projet'!$B$10,Paramètres!$A$1:$I$88,5,0)</f>
        <v>-6.1186256061773749E-14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179.61236179838011</v>
      </c>
      <c r="AO187" s="62">
        <f t="shared" si="144"/>
        <v>186.66130555850333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0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projet'!$B$11,Paramètres!$A$1:$I$88,3,0)*VLOOKUP('Données projet'!$B$11,Paramètres!$A$1:$I$88,5,0)</f>
        <v>-5.3205440053716299E-14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335.00873408144395</v>
      </c>
      <c r="BJ187" s="62">
        <f t="shared" si="146"/>
        <v>106.28577694955948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0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projet'!$B$12,Paramètres!$A$1:$I$88,3,0)*VLOOKUP('Données projet'!$B$12,Paramètres!$A$1:$I$88,5,0)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136.47709057888358</v>
      </c>
      <c r="CE187" s="62">
        <f t="shared" si="148"/>
        <v>99.705248792886493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0</v>
      </c>
      <c r="CL187" s="23">
        <f>EXP(-LN(2)/25)*CL186+(1-EXP(-LN(2)/25))/(LN(2)/25)*Calculateur!CG187*Calculateur!CI187*VLOOKUP('Données projet'!$B$12,Paramètres!$A$1:$I$88,3,0)*0.475*44/12</f>
        <v>0</v>
      </c>
      <c r="CM187" s="23">
        <f>EXP(-LN(2)/2)*CM186+(1-EXP(-LN(2)/2))/(LN(2)/2)*CG187*CJ187*VLOOKUP('Données projet'!$B$12,Paramètres!$A$1:$I$88,3,0)*0.475*44/12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projet'!$B$13,Paramètres!$A$1:$I$88,3,0)*VLOOKUP('Données projet'!$B$13,Paramètres!$A$1:$I$88,5,0)</f>
        <v>5.4683368944097308E-14</v>
      </c>
      <c r="CV187" s="14">
        <f t="shared" si="173"/>
        <v>8.8129432816788268E-13</v>
      </c>
      <c r="CW187" s="22">
        <f t="shared" si="174"/>
        <v>1.6301611558033651E-12</v>
      </c>
      <c r="CX187" s="62">
        <f t="shared" si="122"/>
        <v>293.33333333333496</v>
      </c>
      <c r="CY187" s="62">
        <f ca="1">AVERAGE(OFFSET($CX$3,0,0,'Données projet'!$E$13+1,1))-AVERAGE(OFFSET($H$3,0,0,'Données projet'!$E$13+1,1))</f>
        <v>205.01234521498333</v>
      </c>
      <c r="CZ187" s="62">
        <f t="shared" si="150"/>
        <v>100.26042113972852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projet'!$B$13,Paramètres!$A$1:$I$88,3,0)*0.475*44/12</f>
        <v>0</v>
      </c>
      <c r="DG187" s="23">
        <f>EXP(-LN(2)/25)*DG186+(1-EXP(-LN(2)/25))/(LN(2)/25)*Calculateur!DB187*Calculateur!DD187*VLOOKUP('Données projet'!$B$13,Paramètres!$A$1:$I$88,3,0)*0.475*44/12</f>
        <v>0</v>
      </c>
      <c r="DH187" s="23">
        <f>EXP(-LN(2)/2)*DH186+(1-EXP(-LN(2)/2))/(LN(2)/2)*DB187*DE187*VLOOKUP('Données projet'!$B$13,Paramètres!$A$1:$I$88,3,0)*0.475*44/12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54.112499999999805</v>
      </c>
      <c r="D188" s="12">
        <f t="shared" si="140"/>
        <v>15.670895811088712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538.67884485752541</v>
      </c>
      <c r="H188" s="70">
        <f t="shared" si="110"/>
        <v>414.87274770431247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projet'!$B$9,Paramètres!$A$1:$I$88,3,0)*VLOOKUP('Données projet'!$B$9,Paramètres!$A$1:$I$88,5,0)</f>
        <v>-5.7639226724859328E-14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167.90363814107491</v>
      </c>
      <c r="T188" s="62">
        <f t="shared" si="142"/>
        <v>174.92847878212234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projet'!$B$10,Paramètres!$A$1:$I$88,3,0)*VLOOKUP('Données projet'!$B$10,Paramètres!$A$1:$I$88,5,0)</f>
        <v>-6.1186256061773749E-14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179.61236179838011</v>
      </c>
      <c r="AO188" s="62">
        <f t="shared" si="144"/>
        <v>186.66130555850333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0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projet'!$B$11,Paramètres!$A$1:$I$88,3,0)*VLOOKUP('Données projet'!$B$11,Paramètres!$A$1:$I$88,5,0)</f>
        <v>-5.3205440053716299E-14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335.00873408144395</v>
      </c>
      <c r="BJ188" s="62">
        <f t="shared" si="146"/>
        <v>106.28577694955948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0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projet'!$B$12,Paramètres!$A$1:$I$88,3,0)*VLOOKUP('Données projet'!$B$12,Paramètres!$A$1:$I$88,5,0)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136.47709057888358</v>
      </c>
      <c r="CE188" s="62">
        <f t="shared" si="148"/>
        <v>99.705248792886493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0</v>
      </c>
      <c r="CL188" s="23">
        <f>EXP(-LN(2)/25)*CL187+(1-EXP(-LN(2)/25))/(LN(2)/25)*Calculateur!CG188*Calculateur!CI188*VLOOKUP('Données projet'!$B$12,Paramètres!$A$1:$I$88,3,0)*0.475*44/12</f>
        <v>0</v>
      </c>
      <c r="CM188" s="23">
        <f>EXP(-LN(2)/2)*CM187+(1-EXP(-LN(2)/2))/(LN(2)/2)*CG188*CJ188*VLOOKUP('Données projet'!$B$12,Paramètres!$A$1:$I$88,3,0)*0.475*44/12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projet'!$B$13,Paramètres!$A$1:$I$88,3,0)*VLOOKUP('Données projet'!$B$13,Paramètres!$A$1:$I$88,5,0)</f>
        <v>5.4683368944097308E-14</v>
      </c>
      <c r="CV188" s="14">
        <f t="shared" si="173"/>
        <v>8.8129432816788268E-13</v>
      </c>
      <c r="CW188" s="22">
        <f t="shared" si="174"/>
        <v>1.6301611558033651E-12</v>
      </c>
      <c r="CX188" s="62">
        <f t="shared" si="122"/>
        <v>293.33333333333496</v>
      </c>
      <c r="CY188" s="62">
        <f ca="1">AVERAGE(OFFSET($CX$3,0,0,'Données projet'!$E$13+1,1))-AVERAGE(OFFSET($H$3,0,0,'Données projet'!$E$13+1,1))</f>
        <v>205.01234521498333</v>
      </c>
      <c r="CZ188" s="62">
        <f t="shared" si="150"/>
        <v>100.26042113972852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projet'!$B$13,Paramètres!$A$1:$I$88,3,0)*0.475*44/12</f>
        <v>0</v>
      </c>
      <c r="DG188" s="23">
        <f>EXP(-LN(2)/25)*DG187+(1-EXP(-LN(2)/25))/(LN(2)/25)*Calculateur!DB188*Calculateur!DD188*VLOOKUP('Données projet'!$B$13,Paramètres!$A$1:$I$88,3,0)*0.475*44/12</f>
        <v>0</v>
      </c>
      <c r="DH188" s="23">
        <f>EXP(-LN(2)/2)*DH187+(1-EXP(-LN(2)/2))/(LN(2)/2)*DB188*DE188*VLOOKUP('Données projet'!$B$13,Paramètres!$A$1:$I$88,3,0)*0.475*44/12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54.404999999999802</v>
      </c>
      <c r="D189" s="12">
        <f t="shared" si="140"/>
        <v>15.745719898367884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541.51432904003127</v>
      </c>
      <c r="H189" s="70">
        <f t="shared" si="110"/>
        <v>415.51250382299037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projet'!$B$9,Paramètres!$A$1:$I$88,3,0)*VLOOKUP('Données projet'!$B$9,Paramètres!$A$1:$I$88,5,0)</f>
        <v>-5.7639226724859328E-14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167.90363814107491</v>
      </c>
      <c r="T189" s="62">
        <f t="shared" si="142"/>
        <v>174.92847878212234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projet'!$B$10,Paramètres!$A$1:$I$88,3,0)*VLOOKUP('Données projet'!$B$10,Paramètres!$A$1:$I$88,5,0)</f>
        <v>-6.1186256061773749E-14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179.61236179838011</v>
      </c>
      <c r="AO189" s="62">
        <f t="shared" si="144"/>
        <v>186.66130555850333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0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projet'!$B$11,Paramètres!$A$1:$I$88,3,0)*VLOOKUP('Données projet'!$B$11,Paramètres!$A$1:$I$88,5,0)</f>
        <v>-5.3205440053716299E-14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335.00873408144395</v>
      </c>
      <c r="BJ189" s="62">
        <f t="shared" si="146"/>
        <v>106.28577694955948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0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projet'!$B$12,Paramètres!$A$1:$I$88,3,0)*VLOOKUP('Données projet'!$B$12,Paramètres!$A$1:$I$88,5,0)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136.47709057888358</v>
      </c>
      <c r="CE189" s="62">
        <f t="shared" si="148"/>
        <v>99.705248792886493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0</v>
      </c>
      <c r="CL189" s="23">
        <f>EXP(-LN(2)/25)*CL188+(1-EXP(-LN(2)/25))/(LN(2)/25)*Calculateur!CG189*Calculateur!CI189*VLOOKUP('Données projet'!$B$12,Paramètres!$A$1:$I$88,3,0)*0.475*44/12</f>
        <v>0</v>
      </c>
      <c r="CM189" s="23">
        <f>EXP(-LN(2)/2)*CM188+(1-EXP(-LN(2)/2))/(LN(2)/2)*CG189*CJ189*VLOOKUP('Données projet'!$B$12,Paramètres!$A$1:$I$88,3,0)*0.475*44/12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projet'!$B$13,Paramètres!$A$1:$I$88,3,0)*VLOOKUP('Données projet'!$B$13,Paramètres!$A$1:$I$88,5,0)</f>
        <v>5.4683368944097308E-14</v>
      </c>
      <c r="CV189" s="14">
        <f t="shared" si="173"/>
        <v>8.8129432816788268E-13</v>
      </c>
      <c r="CW189" s="22">
        <f t="shared" si="174"/>
        <v>1.6301611558033651E-12</v>
      </c>
      <c r="CX189" s="62">
        <f t="shared" si="122"/>
        <v>293.33333333333496</v>
      </c>
      <c r="CY189" s="62">
        <f ca="1">AVERAGE(OFFSET($CX$3,0,0,'Données projet'!$E$13+1,1))-AVERAGE(OFFSET($H$3,0,0,'Données projet'!$E$13+1,1))</f>
        <v>205.01234521498333</v>
      </c>
      <c r="CZ189" s="62">
        <f t="shared" si="150"/>
        <v>100.26042113972852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projet'!$B$13,Paramètres!$A$1:$I$88,3,0)*0.475*44/12</f>
        <v>0</v>
      </c>
      <c r="DG189" s="23">
        <f>EXP(-LN(2)/25)*DG188+(1-EXP(-LN(2)/25))/(LN(2)/25)*Calculateur!DB189*Calculateur!DD189*VLOOKUP('Données projet'!$B$13,Paramètres!$A$1:$I$88,3,0)*0.475*44/12</f>
        <v>0</v>
      </c>
      <c r="DH189" s="23">
        <f>EXP(-LN(2)/2)*DH188+(1-EXP(-LN(2)/2))/(LN(2)/2)*DB189*DE189*VLOOKUP('Données projet'!$B$13,Paramètres!$A$1:$I$88,3,0)*0.475*44/12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54.697499999999799</v>
      </c>
      <c r="D190" s="12">
        <f t="shared" si="140"/>
        <v>15.820497174660701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544.34945187457231</v>
      </c>
      <c r="H190" s="70">
        <f t="shared" si="110"/>
        <v>416.15217841253371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projet'!$B$9,Paramètres!$A$1:$I$88,3,0)*VLOOKUP('Données projet'!$B$9,Paramètres!$A$1:$I$88,5,0)</f>
        <v>-5.7639226724859328E-14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167.90363814107491</v>
      </c>
      <c r="T190" s="62">
        <f t="shared" si="142"/>
        <v>174.92847878212234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projet'!$B$10,Paramètres!$A$1:$I$88,3,0)*VLOOKUP('Données projet'!$B$10,Paramètres!$A$1:$I$88,5,0)</f>
        <v>-6.1186256061773749E-14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179.61236179838011</v>
      </c>
      <c r="AO190" s="62">
        <f t="shared" si="144"/>
        <v>186.66130555850333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0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projet'!$B$11,Paramètres!$A$1:$I$88,3,0)*VLOOKUP('Données projet'!$B$11,Paramètres!$A$1:$I$88,5,0)</f>
        <v>-5.3205440053716299E-14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335.00873408144395</v>
      </c>
      <c r="BJ190" s="62">
        <f t="shared" si="146"/>
        <v>106.28577694955948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0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projet'!$B$12,Paramètres!$A$1:$I$88,3,0)*VLOOKUP('Données projet'!$B$12,Paramètres!$A$1:$I$88,5,0)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136.47709057888358</v>
      </c>
      <c r="CE190" s="62">
        <f t="shared" si="148"/>
        <v>99.705248792886493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0</v>
      </c>
      <c r="CL190" s="23">
        <f>EXP(-LN(2)/25)*CL189+(1-EXP(-LN(2)/25))/(LN(2)/25)*Calculateur!CG190*Calculateur!CI190*VLOOKUP('Données projet'!$B$12,Paramètres!$A$1:$I$88,3,0)*0.475*44/12</f>
        <v>0</v>
      </c>
      <c r="CM190" s="23">
        <f>EXP(-LN(2)/2)*CM189+(1-EXP(-LN(2)/2))/(LN(2)/2)*CG190*CJ190*VLOOKUP('Données projet'!$B$12,Paramètres!$A$1:$I$88,3,0)*0.475*44/12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projet'!$B$13,Paramètres!$A$1:$I$88,3,0)*VLOOKUP('Données projet'!$B$13,Paramètres!$A$1:$I$88,5,0)</f>
        <v>5.4683368944097308E-14</v>
      </c>
      <c r="CV190" s="14">
        <f t="shared" si="173"/>
        <v>8.8129432816788268E-13</v>
      </c>
      <c r="CW190" s="22">
        <f t="shared" si="174"/>
        <v>1.6301611558033651E-12</v>
      </c>
      <c r="CX190" s="62">
        <f t="shared" si="122"/>
        <v>293.33333333333496</v>
      </c>
      <c r="CY190" s="62">
        <f ca="1">AVERAGE(OFFSET($CX$3,0,0,'Données projet'!$E$13+1,1))-AVERAGE(OFFSET($H$3,0,0,'Données projet'!$E$13+1,1))</f>
        <v>205.01234521498333</v>
      </c>
      <c r="CZ190" s="62">
        <f t="shared" si="150"/>
        <v>100.26042113972852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projet'!$B$13,Paramètres!$A$1:$I$88,3,0)*0.475*44/12</f>
        <v>0</v>
      </c>
      <c r="DG190" s="23">
        <f>EXP(-LN(2)/25)*DG189+(1-EXP(-LN(2)/25))/(LN(2)/25)*Calculateur!DB190*Calculateur!DD190*VLOOKUP('Données projet'!$B$13,Paramètres!$A$1:$I$88,3,0)*0.475*44/12</f>
        <v>0</v>
      </c>
      <c r="DH190" s="23">
        <f>EXP(-LN(2)/2)*DH189+(1-EXP(-LN(2)/2))/(LN(2)/2)*DB190*DE190*VLOOKUP('Données projet'!$B$13,Paramètres!$A$1:$I$88,3,0)*0.475*44/12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54.989999999999796</v>
      </c>
      <c r="D191" s="12">
        <f t="shared" si="140"/>
        <v>15.895227919346958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547.18421551776453</v>
      </c>
      <c r="H191" s="70">
        <f t="shared" si="110"/>
        <v>416.79177195952894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projet'!$B$9,Paramètres!$A$1:$I$88,3,0)*VLOOKUP('Données projet'!$B$9,Paramètres!$A$1:$I$88,5,0)</f>
        <v>-5.7639226724859328E-14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167.90363814107491</v>
      </c>
      <c r="T191" s="62">
        <f t="shared" si="142"/>
        <v>174.92847878212234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projet'!$B$10,Paramètres!$A$1:$I$88,3,0)*VLOOKUP('Données projet'!$B$10,Paramètres!$A$1:$I$88,5,0)</f>
        <v>-6.1186256061773749E-14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179.61236179838011</v>
      </c>
      <c r="AO191" s="62">
        <f t="shared" si="144"/>
        <v>186.66130555850333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0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projet'!$B$11,Paramètres!$A$1:$I$88,3,0)*VLOOKUP('Données projet'!$B$11,Paramètres!$A$1:$I$88,5,0)</f>
        <v>-5.3205440053716299E-14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335.00873408144395</v>
      </c>
      <c r="BJ191" s="62">
        <f t="shared" si="146"/>
        <v>106.28577694955948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0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projet'!$B$12,Paramètres!$A$1:$I$88,3,0)*VLOOKUP('Données projet'!$B$12,Paramètres!$A$1:$I$88,5,0)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136.47709057888358</v>
      </c>
      <c r="CE191" s="62">
        <f t="shared" si="148"/>
        <v>99.705248792886493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0</v>
      </c>
      <c r="CL191" s="23">
        <f>EXP(-LN(2)/25)*CL190+(1-EXP(-LN(2)/25))/(LN(2)/25)*Calculateur!CG191*Calculateur!CI191*VLOOKUP('Données projet'!$B$12,Paramètres!$A$1:$I$88,3,0)*0.475*44/12</f>
        <v>0</v>
      </c>
      <c r="CM191" s="23">
        <f>EXP(-LN(2)/2)*CM190+(1-EXP(-LN(2)/2))/(LN(2)/2)*CG191*CJ191*VLOOKUP('Données projet'!$B$12,Paramètres!$A$1:$I$88,3,0)*0.475*44/12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projet'!$B$13,Paramètres!$A$1:$I$88,3,0)*VLOOKUP('Données projet'!$B$13,Paramètres!$A$1:$I$88,5,0)</f>
        <v>5.4683368944097308E-14</v>
      </c>
      <c r="CV191" s="14">
        <f t="shared" si="173"/>
        <v>8.8129432816788268E-13</v>
      </c>
      <c r="CW191" s="22">
        <f t="shared" si="174"/>
        <v>1.6301611558033651E-12</v>
      </c>
      <c r="CX191" s="62">
        <f t="shared" si="122"/>
        <v>293.33333333333496</v>
      </c>
      <c r="CY191" s="62">
        <f ca="1">AVERAGE(OFFSET($CX$3,0,0,'Données projet'!$E$13+1,1))-AVERAGE(OFFSET($H$3,0,0,'Données projet'!$E$13+1,1))</f>
        <v>205.01234521498333</v>
      </c>
      <c r="CZ191" s="62">
        <f t="shared" si="150"/>
        <v>100.26042113972852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projet'!$B$13,Paramètres!$A$1:$I$88,3,0)*0.475*44/12</f>
        <v>0</v>
      </c>
      <c r="DG191" s="23">
        <f>EXP(-LN(2)/25)*DG190+(1-EXP(-LN(2)/25))/(LN(2)/25)*Calculateur!DB191*Calculateur!DD191*VLOOKUP('Données projet'!$B$13,Paramètres!$A$1:$I$88,3,0)*0.475*44/12</f>
        <v>0</v>
      </c>
      <c r="DH191" s="23">
        <f>EXP(-LN(2)/2)*DH190+(1-EXP(-LN(2)/2))/(LN(2)/2)*DB191*DE191*VLOOKUP('Données projet'!$B$13,Paramètres!$A$1:$I$88,3,0)*0.475*44/12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55.282499999999793</v>
      </c>
      <c r="D192" s="12">
        <f t="shared" si="140"/>
        <v>15.969912408662294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550.01862210195293</v>
      </c>
      <c r="H192" s="70">
        <f t="shared" si="110"/>
        <v>417.43128494508642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projet'!$B$9,Paramètres!$A$1:$I$88,3,0)*VLOOKUP('Données projet'!$B$9,Paramètres!$A$1:$I$88,5,0)</f>
        <v>-5.7639226724859328E-14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167.90363814107491</v>
      </c>
      <c r="T192" s="62">
        <f t="shared" si="142"/>
        <v>174.92847878212234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projet'!$B$10,Paramètres!$A$1:$I$88,3,0)*VLOOKUP('Données projet'!$B$10,Paramètres!$A$1:$I$88,5,0)</f>
        <v>-6.1186256061773749E-14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179.61236179838011</v>
      </c>
      <c r="AO192" s="62">
        <f t="shared" si="144"/>
        <v>186.66130555850333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0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projet'!$B$11,Paramètres!$A$1:$I$88,3,0)*VLOOKUP('Données projet'!$B$11,Paramètres!$A$1:$I$88,5,0)</f>
        <v>-5.3205440053716299E-14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335.00873408144395</v>
      </c>
      <c r="BJ192" s="62">
        <f t="shared" si="146"/>
        <v>106.28577694955948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0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projet'!$B$12,Paramètres!$A$1:$I$88,3,0)*VLOOKUP('Données projet'!$B$12,Paramètres!$A$1:$I$88,5,0)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136.47709057888358</v>
      </c>
      <c r="CE192" s="62">
        <f t="shared" si="148"/>
        <v>99.705248792886493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0</v>
      </c>
      <c r="CL192" s="23">
        <f>EXP(-LN(2)/25)*CL191+(1-EXP(-LN(2)/25))/(LN(2)/25)*Calculateur!CG192*Calculateur!CI192*VLOOKUP('Données projet'!$B$12,Paramètres!$A$1:$I$88,3,0)*0.475*44/12</f>
        <v>0</v>
      </c>
      <c r="CM192" s="23">
        <f>EXP(-LN(2)/2)*CM191+(1-EXP(-LN(2)/2))/(LN(2)/2)*CG192*CJ192*VLOOKUP('Données projet'!$B$12,Paramètres!$A$1:$I$88,3,0)*0.475*44/12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projet'!$B$13,Paramètres!$A$1:$I$88,3,0)*VLOOKUP('Données projet'!$B$13,Paramètres!$A$1:$I$88,5,0)</f>
        <v>5.4683368944097308E-14</v>
      </c>
      <c r="CV192" s="14">
        <f t="shared" si="173"/>
        <v>8.8129432816788268E-13</v>
      </c>
      <c r="CW192" s="22">
        <f t="shared" si="174"/>
        <v>1.6301611558033651E-12</v>
      </c>
      <c r="CX192" s="62">
        <f t="shared" si="122"/>
        <v>293.33333333333496</v>
      </c>
      <c r="CY192" s="62">
        <f ca="1">AVERAGE(OFFSET($CX$3,0,0,'Données projet'!$E$13+1,1))-AVERAGE(OFFSET($H$3,0,0,'Données projet'!$E$13+1,1))</f>
        <v>205.01234521498333</v>
      </c>
      <c r="CZ192" s="62">
        <f t="shared" si="150"/>
        <v>100.26042113972852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projet'!$B$13,Paramètres!$A$1:$I$88,3,0)*0.475*44/12</f>
        <v>0</v>
      </c>
      <c r="DG192" s="23">
        <f>EXP(-LN(2)/25)*DG191+(1-EXP(-LN(2)/25))/(LN(2)/25)*Calculateur!DB192*Calculateur!DD192*VLOOKUP('Données projet'!$B$13,Paramètres!$A$1:$I$88,3,0)*0.475*44/12</f>
        <v>0</v>
      </c>
      <c r="DH192" s="23">
        <f>EXP(-LN(2)/2)*DH191+(1-EXP(-LN(2)/2))/(LN(2)/2)*DB192*DE192*VLOOKUP('Données projet'!$B$13,Paramètres!$A$1:$I$88,3,0)*0.475*44/12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55.57499999999979</v>
      </c>
      <c r="D193" s="12">
        <f t="shared" si="140"/>
        <v>16.04455091574998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552.85267373561226</v>
      </c>
      <c r="H193" s="70">
        <f t="shared" si="110"/>
        <v>418.07071784493081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projet'!$B$9,Paramètres!$A$1:$I$88,3,0)*VLOOKUP('Données projet'!$B$9,Paramètres!$A$1:$I$88,5,0)</f>
        <v>-5.7639226724859328E-14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167.90363814107491</v>
      </c>
      <c r="T193" s="62">
        <f t="shared" si="142"/>
        <v>174.92847878212234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projet'!$B$10,Paramètres!$A$1:$I$88,3,0)*VLOOKUP('Données projet'!$B$10,Paramètres!$A$1:$I$88,5,0)</f>
        <v>-6.1186256061773749E-14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179.61236179838011</v>
      </c>
      <c r="AO193" s="62">
        <f t="shared" si="144"/>
        <v>186.66130555850333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0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projet'!$B$11,Paramètres!$A$1:$I$88,3,0)*VLOOKUP('Données projet'!$B$11,Paramètres!$A$1:$I$88,5,0)</f>
        <v>-5.3205440053716299E-14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335.00873408144395</v>
      </c>
      <c r="BJ193" s="62">
        <f t="shared" si="146"/>
        <v>106.28577694955948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0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projet'!$B$12,Paramètres!$A$1:$I$88,3,0)*VLOOKUP('Données projet'!$B$12,Paramètres!$A$1:$I$88,5,0)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136.47709057888358</v>
      </c>
      <c r="CE193" s="62">
        <f t="shared" si="148"/>
        <v>99.705248792886493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0</v>
      </c>
      <c r="CL193" s="23">
        <f>EXP(-LN(2)/25)*CL192+(1-EXP(-LN(2)/25))/(LN(2)/25)*Calculateur!CG193*Calculateur!CI193*VLOOKUP('Données projet'!$B$12,Paramètres!$A$1:$I$88,3,0)*0.475*44/12</f>
        <v>0</v>
      </c>
      <c r="CM193" s="23">
        <f>EXP(-LN(2)/2)*CM192+(1-EXP(-LN(2)/2))/(LN(2)/2)*CG193*CJ193*VLOOKUP('Données projet'!$B$12,Paramètres!$A$1:$I$88,3,0)*0.475*44/12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projet'!$B$13,Paramètres!$A$1:$I$88,3,0)*VLOOKUP('Données projet'!$B$13,Paramètres!$A$1:$I$88,5,0)</f>
        <v>5.4683368944097308E-14</v>
      </c>
      <c r="CV193" s="14">
        <f t="shared" si="173"/>
        <v>8.8129432816788268E-13</v>
      </c>
      <c r="CW193" s="22">
        <f t="shared" si="174"/>
        <v>1.6301611558033651E-12</v>
      </c>
      <c r="CX193" s="62">
        <f t="shared" si="122"/>
        <v>293.33333333333496</v>
      </c>
      <c r="CY193" s="62">
        <f ca="1">AVERAGE(OFFSET($CX$3,0,0,'Données projet'!$E$13+1,1))-AVERAGE(OFFSET($H$3,0,0,'Données projet'!$E$13+1,1))</f>
        <v>205.01234521498333</v>
      </c>
      <c r="CZ193" s="62">
        <f t="shared" si="150"/>
        <v>100.26042113972852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projet'!$B$13,Paramètres!$A$1:$I$88,3,0)*0.475*44/12</f>
        <v>0</v>
      </c>
      <c r="DG193" s="23">
        <f>EXP(-LN(2)/25)*DG192+(1-EXP(-LN(2)/25))/(LN(2)/25)*Calculateur!DB193*Calculateur!DD193*VLOOKUP('Données projet'!$B$13,Paramètres!$A$1:$I$88,3,0)*0.475*44/12</f>
        <v>0</v>
      </c>
      <c r="DH193" s="23">
        <f>EXP(-LN(2)/2)*DH192+(1-EXP(-LN(2)/2))/(LN(2)/2)*DB193*DE193*VLOOKUP('Données projet'!$B$13,Paramètres!$A$1:$I$88,3,0)*0.475*44/12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55.867499999999787</v>
      </c>
      <c r="D194" s="12">
        <f t="shared" si="140"/>
        <v>16.119143710711672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555.68637250373774</v>
      </c>
      <c r="H194" s="70">
        <f t="shared" si="110"/>
        <v>418.71007112948911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projet'!$B$9,Paramètres!$A$1:$I$88,3,0)*VLOOKUP('Données projet'!$B$9,Paramètres!$A$1:$I$88,5,0)</f>
        <v>-5.7639226724859328E-14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167.90363814107491</v>
      </c>
      <c r="T194" s="62">
        <f t="shared" si="142"/>
        <v>174.92847878212234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projet'!$B$10,Paramètres!$A$1:$I$88,3,0)*VLOOKUP('Données projet'!$B$10,Paramètres!$A$1:$I$88,5,0)</f>
        <v>-6.1186256061773749E-14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179.61236179838011</v>
      </c>
      <c r="AO194" s="62">
        <f t="shared" si="144"/>
        <v>186.66130555850333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0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projet'!$B$11,Paramètres!$A$1:$I$88,3,0)*VLOOKUP('Données projet'!$B$11,Paramètres!$A$1:$I$88,5,0)</f>
        <v>-5.3205440053716299E-14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335.00873408144395</v>
      </c>
      <c r="BJ194" s="62">
        <f t="shared" si="146"/>
        <v>106.28577694955948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0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projet'!$B$12,Paramètres!$A$1:$I$88,3,0)*VLOOKUP('Données projet'!$B$12,Paramètres!$A$1:$I$88,5,0)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136.47709057888358</v>
      </c>
      <c r="CE194" s="62">
        <f t="shared" si="148"/>
        <v>99.705248792886493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0</v>
      </c>
      <c r="CL194" s="23">
        <f>EXP(-LN(2)/25)*CL193+(1-EXP(-LN(2)/25))/(LN(2)/25)*Calculateur!CG194*Calculateur!CI194*VLOOKUP('Données projet'!$B$12,Paramètres!$A$1:$I$88,3,0)*0.475*44/12</f>
        <v>0</v>
      </c>
      <c r="CM194" s="23">
        <f>EXP(-LN(2)/2)*CM193+(1-EXP(-LN(2)/2))/(LN(2)/2)*CG194*CJ194*VLOOKUP('Données projet'!$B$12,Paramètres!$A$1:$I$88,3,0)*0.475*44/12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projet'!$B$13,Paramètres!$A$1:$I$88,3,0)*VLOOKUP('Données projet'!$B$13,Paramètres!$A$1:$I$88,5,0)</f>
        <v>5.4683368944097308E-14</v>
      </c>
      <c r="CV194" s="14">
        <f t="shared" si="173"/>
        <v>8.8129432816788268E-13</v>
      </c>
      <c r="CW194" s="22">
        <f t="shared" si="174"/>
        <v>1.6301611558033651E-12</v>
      </c>
      <c r="CX194" s="62">
        <f t="shared" si="122"/>
        <v>293.33333333333496</v>
      </c>
      <c r="CY194" s="62">
        <f ca="1">AVERAGE(OFFSET($CX$3,0,0,'Données projet'!$E$13+1,1))-AVERAGE(OFFSET($H$3,0,0,'Données projet'!$E$13+1,1))</f>
        <v>205.01234521498333</v>
      </c>
      <c r="CZ194" s="62">
        <f t="shared" si="150"/>
        <v>100.26042113972852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projet'!$B$13,Paramètres!$A$1:$I$88,3,0)*0.475*44/12</f>
        <v>0</v>
      </c>
      <c r="DG194" s="23">
        <f>EXP(-LN(2)/25)*DG193+(1-EXP(-LN(2)/25))/(LN(2)/25)*Calculateur!DB194*Calculateur!DD194*VLOOKUP('Données projet'!$B$13,Paramètres!$A$1:$I$88,3,0)*0.475*44/12</f>
        <v>0</v>
      </c>
      <c r="DH194" s="23">
        <f>EXP(-LN(2)/2)*DH193+(1-EXP(-LN(2)/2))/(LN(2)/2)*DB194*DE194*VLOOKUP('Données projet'!$B$13,Paramètres!$A$1:$I$88,3,0)*0.475*44/12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56.159999999999783</v>
      </c>
      <c r="D195" s="12">
        <f t="shared" si="140"/>
        <v>16.193691060656981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558.51972046822766</v>
      </c>
      <c r="H195" s="70">
        <f t="shared" si="110"/>
        <v>419.34934526397717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projet'!$B$9,Paramètres!$A$1:$I$88,3,0)*VLOOKUP('Données projet'!$B$9,Paramètres!$A$1:$I$88,5,0)</f>
        <v>-5.7639226724859328E-14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167.90363814107491</v>
      </c>
      <c r="T195" s="62">
        <f t="shared" si="142"/>
        <v>174.92847878212234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projet'!$B$10,Paramètres!$A$1:$I$88,3,0)*VLOOKUP('Données projet'!$B$10,Paramètres!$A$1:$I$88,5,0)</f>
        <v>-6.1186256061773749E-14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179.61236179838011</v>
      </c>
      <c r="AO195" s="62">
        <f t="shared" si="144"/>
        <v>186.66130555850333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0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projet'!$B$11,Paramètres!$A$1:$I$88,3,0)*VLOOKUP('Données projet'!$B$11,Paramètres!$A$1:$I$88,5,0)</f>
        <v>-5.3205440053716299E-14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335.00873408144395</v>
      </c>
      <c r="BJ195" s="62">
        <f t="shared" si="146"/>
        <v>106.28577694955948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0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projet'!$B$12,Paramètres!$A$1:$I$88,3,0)*VLOOKUP('Données projet'!$B$12,Paramètres!$A$1:$I$88,5,0)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136.47709057888358</v>
      </c>
      <c r="CE195" s="62">
        <f t="shared" si="148"/>
        <v>99.705248792886493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0</v>
      </c>
      <c r="CL195" s="23">
        <f>EXP(-LN(2)/25)*CL194+(1-EXP(-LN(2)/25))/(LN(2)/25)*Calculateur!CG195*Calculateur!CI195*VLOOKUP('Données projet'!$B$12,Paramètres!$A$1:$I$88,3,0)*0.475*44/12</f>
        <v>0</v>
      </c>
      <c r="CM195" s="23">
        <f>EXP(-LN(2)/2)*CM194+(1-EXP(-LN(2)/2))/(LN(2)/2)*CG195*CJ195*VLOOKUP('Données projet'!$B$12,Paramètres!$A$1:$I$88,3,0)*0.475*44/12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projet'!$B$13,Paramètres!$A$1:$I$88,3,0)*VLOOKUP('Données projet'!$B$13,Paramètres!$A$1:$I$88,5,0)</f>
        <v>5.4683368944097308E-14</v>
      </c>
      <c r="CV195" s="14">
        <f t="shared" si="173"/>
        <v>8.8129432816788268E-13</v>
      </c>
      <c r="CW195" s="22">
        <f t="shared" si="174"/>
        <v>1.6301611558033651E-12</v>
      </c>
      <c r="CX195" s="62">
        <f t="shared" si="122"/>
        <v>293.33333333333496</v>
      </c>
      <c r="CY195" s="62">
        <f ca="1">AVERAGE(OFFSET($CX$3,0,0,'Données projet'!$E$13+1,1))-AVERAGE(OFFSET($H$3,0,0,'Données projet'!$E$13+1,1))</f>
        <v>205.01234521498333</v>
      </c>
      <c r="CZ195" s="62">
        <f t="shared" si="150"/>
        <v>100.26042113972852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projet'!$B$13,Paramètres!$A$1:$I$88,3,0)*0.475*44/12</f>
        <v>0</v>
      </c>
      <c r="DG195" s="23">
        <f>EXP(-LN(2)/25)*DG194+(1-EXP(-LN(2)/25))/(LN(2)/25)*Calculateur!DB195*Calculateur!DD195*VLOOKUP('Données projet'!$B$13,Paramètres!$A$1:$I$88,3,0)*0.475*44/12</f>
        <v>0</v>
      </c>
      <c r="DH195" s="23">
        <f>EXP(-LN(2)/2)*DH194+(1-EXP(-LN(2)/2))/(LN(2)/2)*DB195*DE195*VLOOKUP('Données projet'!$B$13,Paramètres!$A$1:$I$88,3,0)*0.475*44/12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56.45249999999978</v>
      </c>
      <c r="D196" s="12">
        <f t="shared" si="140"/>
        <v>16.268193229752054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561.35271966825974</v>
      </c>
      <c r="H196" s="70">
        <f t="shared" ref="H196:H203" si="192">(B196+E196+F196)*44/12+(C196+D196)*0.475*44/12</f>
        <v>419.98854070848438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projet'!$B$9,Paramètres!$A$1:$I$88,3,0)*VLOOKUP('Données projet'!$B$9,Paramètres!$A$1:$I$88,5,0)</f>
        <v>-5.7639226724859328E-14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167.90363814107491</v>
      </c>
      <c r="T196" s="62">
        <f t="shared" si="142"/>
        <v>174.92847878212234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projet'!$B$10,Paramètres!$A$1:$I$88,3,0)*VLOOKUP('Données projet'!$B$10,Paramètres!$A$1:$I$88,5,0)</f>
        <v>-6.1186256061773749E-14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179.61236179838011</v>
      </c>
      <c r="AO196" s="62">
        <f t="shared" si="144"/>
        <v>186.66130555850333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0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projet'!$B$11,Paramètres!$A$1:$I$88,3,0)*VLOOKUP('Données projet'!$B$11,Paramètres!$A$1:$I$88,5,0)</f>
        <v>-5.3205440053716299E-14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335.00873408144395</v>
      </c>
      <c r="BJ196" s="62">
        <f t="shared" si="146"/>
        <v>106.28577694955948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0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projet'!$B$12,Paramètres!$A$1:$I$88,3,0)*VLOOKUP('Données projet'!$B$12,Paramètres!$A$1:$I$88,5,0)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136.47709057888358</v>
      </c>
      <c r="CE196" s="62">
        <f t="shared" si="148"/>
        <v>99.705248792886493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0</v>
      </c>
      <c r="CL196" s="23">
        <f>EXP(-LN(2)/25)*CL195+(1-EXP(-LN(2)/25))/(LN(2)/25)*Calculateur!CG196*Calculateur!CI196*VLOOKUP('Données projet'!$B$12,Paramètres!$A$1:$I$88,3,0)*0.475*44/12</f>
        <v>0</v>
      </c>
      <c r="CM196" s="23">
        <f>EXP(-LN(2)/2)*CM195+(1-EXP(-LN(2)/2))/(LN(2)/2)*CG196*CJ196*VLOOKUP('Données projet'!$B$12,Paramètres!$A$1:$I$88,3,0)*0.475*44/12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projet'!$B$13,Paramètres!$A$1:$I$88,3,0)*VLOOKUP('Données projet'!$B$13,Paramètres!$A$1:$I$88,5,0)</f>
        <v>5.4683368944097308E-14</v>
      </c>
      <c r="CV196" s="14">
        <f t="shared" si="173"/>
        <v>8.8129432816788268E-13</v>
      </c>
      <c r="CW196" s="22">
        <f t="shared" si="174"/>
        <v>1.6301611558033651E-12</v>
      </c>
      <c r="CX196" s="62">
        <f t="shared" ref="CX196:CX203" si="196">CW196+(CO196+CP196)*44/12</f>
        <v>293.33333333333496</v>
      </c>
      <c r="CY196" s="62">
        <f ca="1">AVERAGE(OFFSET($CX$3,0,0,'Données projet'!$E$13+1,1))-AVERAGE(OFFSET($H$3,0,0,'Données projet'!$E$13+1,1))</f>
        <v>205.01234521498333</v>
      </c>
      <c r="CZ196" s="62">
        <f t="shared" si="150"/>
        <v>100.26042113972852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projet'!$B$13,Paramètres!$A$1:$I$88,3,0)*0.475*44/12</f>
        <v>0</v>
      </c>
      <c r="DG196" s="23">
        <f>EXP(-LN(2)/25)*DG195+(1-EXP(-LN(2)/25))/(LN(2)/25)*Calculateur!DB196*Calculateur!DD196*VLOOKUP('Données projet'!$B$13,Paramètres!$A$1:$I$88,3,0)*0.475*44/12</f>
        <v>0</v>
      </c>
      <c r="DH196" s="23">
        <f>EXP(-LN(2)/2)*DH195+(1-EXP(-LN(2)/2))/(LN(2)/2)*DB196*DE196*VLOOKUP('Données projet'!$B$13,Paramètres!$A$1:$I$88,3,0)*0.475*44/12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56.744999999999777</v>
      </c>
      <c r="D197" s="12">
        <f t="shared" ref="D197:D203" si="202">IFERROR(EXP(-1.0587+0.8836*LN(C197)+0.284),0)</f>
        <v>16.342650479267089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564.18537212065655</v>
      </c>
      <c r="H197" s="70">
        <f t="shared" si="192"/>
        <v>420.62765791805646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projet'!$B$9,Paramètres!$A$1:$I$88,3,0)*VLOOKUP('Données projet'!$B$9,Paramètres!$A$1:$I$88,5,0)</f>
        <v>-5.7639226724859328E-14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167.90363814107491</v>
      </c>
      <c r="T197" s="62">
        <f t="shared" ref="T197:T203" si="204">$T$3</f>
        <v>174.92847878212234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projet'!$B$10,Paramètres!$A$1:$I$88,3,0)*VLOOKUP('Données projet'!$B$10,Paramètres!$A$1:$I$88,5,0)</f>
        <v>-6.1186256061773749E-14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179.61236179838011</v>
      </c>
      <c r="AO197" s="62">
        <f t="shared" ref="AO197:AO203" si="205">$AO$3</f>
        <v>186.66130555850333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0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projet'!$B$11,Paramètres!$A$1:$I$88,3,0)*VLOOKUP('Données projet'!$B$11,Paramètres!$A$1:$I$88,5,0)</f>
        <v>-5.3205440053716299E-14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335.00873408144395</v>
      </c>
      <c r="BJ197" s="62">
        <f t="shared" ref="BJ197:BJ203" si="206">$BJ$3</f>
        <v>106.28577694955948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0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projet'!$B$12,Paramètres!$A$1:$I$88,3,0)*VLOOKUP('Données projet'!$B$12,Paramètres!$A$1:$I$88,5,0)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136.47709057888358</v>
      </c>
      <c r="CE197" s="62">
        <f t="shared" ref="CE197:CE203" si="207">$CE$3</f>
        <v>99.705248792886493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0</v>
      </c>
      <c r="CL197" s="23">
        <f>EXP(-LN(2)/25)*CL196+(1-EXP(-LN(2)/25))/(LN(2)/25)*Calculateur!CG197*Calculateur!CI197*VLOOKUP('Données projet'!$B$12,Paramètres!$A$1:$I$88,3,0)*0.475*44/12</f>
        <v>0</v>
      </c>
      <c r="CM197" s="23">
        <f>EXP(-LN(2)/2)*CM196+(1-EXP(-LN(2)/2))/(LN(2)/2)*CG197*CJ197*VLOOKUP('Données projet'!$B$12,Paramètres!$A$1:$I$88,3,0)*0.475*44/12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projet'!$B$13,Paramètres!$A$1:$I$88,3,0)*VLOOKUP('Données projet'!$B$13,Paramètres!$A$1:$I$88,5,0)</f>
        <v>5.4683368944097308E-14</v>
      </c>
      <c r="CV197" s="14">
        <f t="shared" si="173"/>
        <v>8.8129432816788268E-13</v>
      </c>
      <c r="CW197" s="22">
        <f t="shared" si="174"/>
        <v>1.6301611558033651E-12</v>
      </c>
      <c r="CX197" s="62">
        <f t="shared" si="196"/>
        <v>293.33333333333496</v>
      </c>
      <c r="CY197" s="62">
        <f ca="1">AVERAGE(OFFSET($CX$3,0,0,'Données projet'!$E$13+1,1))-AVERAGE(OFFSET($H$3,0,0,'Données projet'!$E$13+1,1))</f>
        <v>205.01234521498333</v>
      </c>
      <c r="CZ197" s="62">
        <f t="shared" ref="CZ197:CZ203" si="208">$CZ$3</f>
        <v>100.26042113972852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projet'!$B$13,Paramètres!$A$1:$I$88,3,0)*0.475*44/12</f>
        <v>0</v>
      </c>
      <c r="DG197" s="23">
        <f>EXP(-LN(2)/25)*DG196+(1-EXP(-LN(2)/25))/(LN(2)/25)*Calculateur!DB197*Calculateur!DD197*VLOOKUP('Données projet'!$B$13,Paramètres!$A$1:$I$88,3,0)*0.475*44/12</f>
        <v>0</v>
      </c>
      <c r="DH197" s="23">
        <f>EXP(-LN(2)/2)*DH196+(1-EXP(-LN(2)/2))/(LN(2)/2)*DB197*DE197*VLOOKUP('Données projet'!$B$13,Paramètres!$A$1:$I$88,3,0)*0.475*44/12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57.037499999999774</v>
      </c>
      <c r="D198" s="12">
        <f t="shared" si="202"/>
        <v>16.417063067622806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567.01767982024455</v>
      </c>
      <c r="H198" s="70">
        <f t="shared" si="192"/>
        <v>421.26669734277601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projet'!$B$9,Paramètres!$A$1:$I$88,3,0)*VLOOKUP('Données projet'!$B$9,Paramètres!$A$1:$I$88,5,0)</f>
        <v>-5.7639226724859328E-14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167.90363814107491</v>
      </c>
      <c r="T198" s="62">
        <f t="shared" si="204"/>
        <v>174.92847878212234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projet'!$B$10,Paramètres!$A$1:$I$88,3,0)*VLOOKUP('Données projet'!$B$10,Paramètres!$A$1:$I$88,5,0)</f>
        <v>-6.1186256061773749E-14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179.61236179838011</v>
      </c>
      <c r="AO198" s="62">
        <f t="shared" si="205"/>
        <v>186.66130555850333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0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projet'!$B$11,Paramètres!$A$1:$I$88,3,0)*VLOOKUP('Données projet'!$B$11,Paramètres!$A$1:$I$88,5,0)</f>
        <v>-5.3205440053716299E-14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335.00873408144395</v>
      </c>
      <c r="BJ198" s="62">
        <f t="shared" si="206"/>
        <v>106.28577694955948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0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projet'!$B$12,Paramètres!$A$1:$I$88,3,0)*VLOOKUP('Données projet'!$B$12,Paramètres!$A$1:$I$88,5,0)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136.47709057888358</v>
      </c>
      <c r="CE198" s="62">
        <f t="shared" si="207"/>
        <v>99.705248792886493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0</v>
      </c>
      <c r="CL198" s="23">
        <f>EXP(-LN(2)/25)*CL197+(1-EXP(-LN(2)/25))/(LN(2)/25)*Calculateur!CG198*Calculateur!CI198*VLOOKUP('Données projet'!$B$12,Paramètres!$A$1:$I$88,3,0)*0.475*44/12</f>
        <v>0</v>
      </c>
      <c r="CM198" s="23">
        <f>EXP(-LN(2)/2)*CM197+(1-EXP(-LN(2)/2))/(LN(2)/2)*CG198*CJ198*VLOOKUP('Données projet'!$B$12,Paramètres!$A$1:$I$88,3,0)*0.475*44/12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projet'!$B$13,Paramètres!$A$1:$I$88,3,0)*VLOOKUP('Données projet'!$B$13,Paramètres!$A$1:$I$88,5,0)</f>
        <v>5.4683368944097308E-14</v>
      </c>
      <c r="CV198" s="14">
        <f t="shared" si="173"/>
        <v>8.8129432816788268E-13</v>
      </c>
      <c r="CW198" s="22">
        <f t="shared" si="174"/>
        <v>1.6301611558033651E-12</v>
      </c>
      <c r="CX198" s="62">
        <f t="shared" si="196"/>
        <v>293.33333333333496</v>
      </c>
      <c r="CY198" s="62">
        <f ca="1">AVERAGE(OFFSET($CX$3,0,0,'Données projet'!$E$13+1,1))-AVERAGE(OFFSET($H$3,0,0,'Données projet'!$E$13+1,1))</f>
        <v>205.01234521498333</v>
      </c>
      <c r="CZ198" s="62">
        <f t="shared" si="208"/>
        <v>100.26042113972852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projet'!$B$13,Paramètres!$A$1:$I$88,3,0)*0.475*44/12</f>
        <v>0</v>
      </c>
      <c r="DG198" s="23">
        <f>EXP(-LN(2)/25)*DG197+(1-EXP(-LN(2)/25))/(LN(2)/25)*Calculateur!DB198*Calculateur!DD198*VLOOKUP('Données projet'!$B$13,Paramètres!$A$1:$I$88,3,0)*0.475*44/12</f>
        <v>0</v>
      </c>
      <c r="DH198" s="23">
        <f>EXP(-LN(2)/2)*DH197+(1-EXP(-LN(2)/2))/(LN(2)/2)*DB198*DE198*VLOOKUP('Données projet'!$B$13,Paramètres!$A$1:$I$88,3,0)*0.475*44/12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57.329999999999771</v>
      </c>
      <c r="D199" s="12">
        <f t="shared" si="202"/>
        <v>16.491431250436023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569.84964474020614</v>
      </c>
      <c r="H199" s="70">
        <f t="shared" si="192"/>
        <v>421.90565942784229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projet'!$B$9,Paramètres!$A$1:$I$88,3,0)*VLOOKUP('Données projet'!$B$9,Paramètres!$A$1:$I$88,5,0)</f>
        <v>-5.7639226724859328E-14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167.90363814107491</v>
      </c>
      <c r="T199" s="62">
        <f t="shared" si="204"/>
        <v>174.92847878212234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projet'!$B$10,Paramètres!$A$1:$I$88,3,0)*VLOOKUP('Données projet'!$B$10,Paramètres!$A$1:$I$88,5,0)</f>
        <v>-6.1186256061773749E-14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179.61236179838011</v>
      </c>
      <c r="AO199" s="62">
        <f t="shared" si="205"/>
        <v>186.66130555850333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0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projet'!$B$11,Paramètres!$A$1:$I$88,3,0)*VLOOKUP('Données projet'!$B$11,Paramètres!$A$1:$I$88,5,0)</f>
        <v>-5.3205440053716299E-14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335.00873408144395</v>
      </c>
      <c r="BJ199" s="62">
        <f t="shared" si="206"/>
        <v>106.28577694955948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0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projet'!$B$12,Paramètres!$A$1:$I$88,3,0)*VLOOKUP('Données projet'!$B$12,Paramètres!$A$1:$I$88,5,0)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136.47709057888358</v>
      </c>
      <c r="CE199" s="62">
        <f t="shared" si="207"/>
        <v>99.705248792886493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0</v>
      </c>
      <c r="CL199" s="23">
        <f>EXP(-LN(2)/25)*CL198+(1-EXP(-LN(2)/25))/(LN(2)/25)*Calculateur!CG199*Calculateur!CI199*VLOOKUP('Données projet'!$B$12,Paramètres!$A$1:$I$88,3,0)*0.475*44/12</f>
        <v>0</v>
      </c>
      <c r="CM199" s="23">
        <f>EXP(-LN(2)/2)*CM198+(1-EXP(-LN(2)/2))/(LN(2)/2)*CG199*CJ199*VLOOKUP('Données projet'!$B$12,Paramètres!$A$1:$I$88,3,0)*0.475*44/12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projet'!$B$13,Paramètres!$A$1:$I$88,3,0)*VLOOKUP('Données projet'!$B$13,Paramètres!$A$1:$I$88,5,0)</f>
        <v>5.4683368944097308E-14</v>
      </c>
      <c r="CV199" s="14">
        <f t="shared" si="173"/>
        <v>8.8129432816788268E-13</v>
      </c>
      <c r="CW199" s="22">
        <f t="shared" si="174"/>
        <v>1.6301611558033651E-12</v>
      </c>
      <c r="CX199" s="62">
        <f t="shared" si="196"/>
        <v>293.33333333333496</v>
      </c>
      <c r="CY199" s="62">
        <f ca="1">AVERAGE(OFFSET($CX$3,0,0,'Données projet'!$E$13+1,1))-AVERAGE(OFFSET($H$3,0,0,'Données projet'!$E$13+1,1))</f>
        <v>205.01234521498333</v>
      </c>
      <c r="CZ199" s="62">
        <f t="shared" si="208"/>
        <v>100.26042113972852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projet'!$B$13,Paramètres!$A$1:$I$88,3,0)*0.475*44/12</f>
        <v>0</v>
      </c>
      <c r="DG199" s="23">
        <f>EXP(-LN(2)/25)*DG198+(1-EXP(-LN(2)/25))/(LN(2)/25)*Calculateur!DB199*Calculateur!DD199*VLOOKUP('Données projet'!$B$13,Paramètres!$A$1:$I$88,3,0)*0.475*44/12</f>
        <v>0</v>
      </c>
      <c r="DH199" s="23">
        <f>EXP(-LN(2)/2)*DH198+(1-EXP(-LN(2)/2))/(LN(2)/2)*DB199*DE199*VLOOKUP('Données projet'!$B$13,Paramètres!$A$1:$I$88,3,0)*0.475*44/12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57.622499999999768</v>
      </c>
      <c r="D200" s="12">
        <f t="shared" si="202"/>
        <v>16.565755280564201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572.6812688324236</v>
      </c>
      <c r="H200" s="70">
        <f t="shared" si="192"/>
        <v>422.5445446136489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projet'!$B$9,Paramètres!$A$1:$I$88,3,0)*VLOOKUP('Données projet'!$B$9,Paramètres!$A$1:$I$88,5,0)</f>
        <v>-5.7639226724859328E-14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167.90363814107491</v>
      </c>
      <c r="T200" s="62">
        <f t="shared" si="204"/>
        <v>174.92847878212234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projet'!$B$10,Paramètres!$A$1:$I$88,3,0)*VLOOKUP('Données projet'!$B$10,Paramètres!$A$1:$I$88,5,0)</f>
        <v>-6.1186256061773749E-14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179.61236179838011</v>
      </c>
      <c r="AO200" s="62">
        <f t="shared" si="205"/>
        <v>186.66130555850333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0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projet'!$B$11,Paramètres!$A$1:$I$88,3,0)*VLOOKUP('Données projet'!$B$11,Paramètres!$A$1:$I$88,5,0)</f>
        <v>-5.3205440053716299E-14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335.00873408144395</v>
      </c>
      <c r="BJ200" s="62">
        <f t="shared" si="206"/>
        <v>106.28577694955948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0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projet'!$B$12,Paramètres!$A$1:$I$88,3,0)*VLOOKUP('Données projet'!$B$12,Paramètres!$A$1:$I$88,5,0)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136.47709057888358</v>
      </c>
      <c r="CE200" s="62">
        <f t="shared" si="207"/>
        <v>99.705248792886493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0</v>
      </c>
      <c r="CL200" s="23">
        <f>EXP(-LN(2)/25)*CL199+(1-EXP(-LN(2)/25))/(LN(2)/25)*Calculateur!CG200*Calculateur!CI200*VLOOKUP('Données projet'!$B$12,Paramètres!$A$1:$I$88,3,0)*0.475*44/12</f>
        <v>0</v>
      </c>
      <c r="CM200" s="23">
        <f>EXP(-LN(2)/2)*CM199+(1-EXP(-LN(2)/2))/(LN(2)/2)*CG200*CJ200*VLOOKUP('Données projet'!$B$12,Paramètres!$A$1:$I$88,3,0)*0.475*44/12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projet'!$B$13,Paramètres!$A$1:$I$88,3,0)*VLOOKUP('Données projet'!$B$13,Paramètres!$A$1:$I$88,5,0)</f>
        <v>5.4683368944097308E-14</v>
      </c>
      <c r="CV200" s="14">
        <f t="shared" si="173"/>
        <v>8.8129432816788268E-13</v>
      </c>
      <c r="CW200" s="22">
        <f t="shared" si="174"/>
        <v>1.6301611558033651E-12</v>
      </c>
      <c r="CX200" s="62">
        <f t="shared" si="196"/>
        <v>293.33333333333496</v>
      </c>
      <c r="CY200" s="62">
        <f ca="1">AVERAGE(OFFSET($CX$3,0,0,'Données projet'!$E$13+1,1))-AVERAGE(OFFSET($H$3,0,0,'Données projet'!$E$13+1,1))</f>
        <v>205.01234521498333</v>
      </c>
      <c r="CZ200" s="62">
        <f t="shared" si="208"/>
        <v>100.26042113972852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projet'!$B$13,Paramètres!$A$1:$I$88,3,0)*0.475*44/12</f>
        <v>0</v>
      </c>
      <c r="DG200" s="23">
        <f>EXP(-LN(2)/25)*DG199+(1-EXP(-LN(2)/25))/(LN(2)/25)*Calculateur!DB200*Calculateur!DD200*VLOOKUP('Données projet'!$B$13,Paramètres!$A$1:$I$88,3,0)*0.475*44/12</f>
        <v>0</v>
      </c>
      <c r="DH200" s="23">
        <f>EXP(-LN(2)/2)*DH199+(1-EXP(-LN(2)/2))/(LN(2)/2)*DB200*DE200*VLOOKUP('Données projet'!$B$13,Paramètres!$A$1:$I$88,3,0)*0.475*44/12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57.914999999999765</v>
      </c>
      <c r="D201" s="12">
        <f t="shared" si="202"/>
        <v>16.640035408149064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575.51255402781555</v>
      </c>
      <c r="H201" s="70">
        <f t="shared" si="192"/>
        <v>423.18335333585912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projet'!$B$9,Paramètres!$A$1:$I$88,3,0)*VLOOKUP('Données projet'!$B$9,Paramètres!$A$1:$I$88,5,0)</f>
        <v>-5.7639226724859328E-14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167.90363814107491</v>
      </c>
      <c r="T201" s="62">
        <f t="shared" si="204"/>
        <v>174.92847878212234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0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projet'!$B$10,Paramètres!$A$1:$I$88,3,0)*VLOOKUP('Données projet'!$B$10,Paramètres!$A$1:$I$88,5,0)</f>
        <v>-6.1186256061773749E-14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179.61236179838011</v>
      </c>
      <c r="AO201" s="62">
        <f t="shared" si="205"/>
        <v>186.66130555850333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0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projet'!$B$11,Paramètres!$A$1:$I$88,3,0)*VLOOKUP('Données projet'!$B$11,Paramètres!$A$1:$I$88,5,0)</f>
        <v>-5.3205440053716299E-14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335.00873408144395</v>
      </c>
      <c r="BJ201" s="62">
        <f t="shared" si="206"/>
        <v>106.28577694955948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0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projet'!$B$12,Paramètres!$A$1:$I$88,3,0)*VLOOKUP('Données projet'!$B$12,Paramètres!$A$1:$I$88,5,0)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136.47709057888358</v>
      </c>
      <c r="CE201" s="62">
        <f t="shared" si="207"/>
        <v>99.705248792886493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0</v>
      </c>
      <c r="CL201" s="23">
        <f>EXP(-LN(2)/25)*CL200+(1-EXP(-LN(2)/25))/(LN(2)/25)*Calculateur!CG201*Calculateur!CI201*VLOOKUP('Données projet'!$B$12,Paramètres!$A$1:$I$88,3,0)*0.475*44/12</f>
        <v>0</v>
      </c>
      <c r="CM201" s="23">
        <f>EXP(-LN(2)/2)*CM200+(1-EXP(-LN(2)/2))/(LN(2)/2)*CG201*CJ201*VLOOKUP('Données projet'!$B$12,Paramètres!$A$1:$I$88,3,0)*0.475*44/12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projet'!$B$13,Paramètres!$A$1:$I$88,3,0)*VLOOKUP('Données projet'!$B$13,Paramètres!$A$1:$I$88,5,0)</f>
        <v>5.4683368944097308E-14</v>
      </c>
      <c r="CV201" s="14">
        <f t="shared" si="173"/>
        <v>8.8129432816788268E-13</v>
      </c>
      <c r="CW201" s="22">
        <f t="shared" si="174"/>
        <v>1.6301611558033651E-12</v>
      </c>
      <c r="CX201" s="62">
        <f t="shared" si="196"/>
        <v>293.33333333333496</v>
      </c>
      <c r="CY201" s="62">
        <f ca="1">AVERAGE(OFFSET($CX$3,0,0,'Données projet'!$E$13+1,1))-AVERAGE(OFFSET($H$3,0,0,'Données projet'!$E$13+1,1))</f>
        <v>205.01234521498333</v>
      </c>
      <c r="CZ201" s="62">
        <f t="shared" si="208"/>
        <v>100.26042113972852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projet'!$B$13,Paramètres!$A$1:$I$88,3,0)*0.475*44/12</f>
        <v>0</v>
      </c>
      <c r="DG201" s="23">
        <f>EXP(-LN(2)/25)*DG200+(1-EXP(-LN(2)/25))/(LN(2)/25)*Calculateur!DB201*Calculateur!DD201*VLOOKUP('Données projet'!$B$13,Paramètres!$A$1:$I$88,3,0)*0.475*44/12</f>
        <v>0</v>
      </c>
      <c r="DH201" s="23">
        <f>EXP(-LN(2)/2)*DH200+(1-EXP(-LN(2)/2))/(LN(2)/2)*DB201*DE201*VLOOKUP('Données projet'!$B$13,Paramètres!$A$1:$I$88,3,0)*0.475*44/12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58.207499999999762</v>
      </c>
      <c r="D202" s="12">
        <f t="shared" si="202"/>
        <v>16.714271880659371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578.34350223666695</v>
      </c>
      <c r="H202" s="70">
        <f t="shared" si="192"/>
        <v>423.82208602548133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projet'!$B$9,Paramètres!$A$1:$I$88,3,0)*VLOOKUP('Données projet'!$B$9,Paramètres!$A$1:$I$88,5,0)</f>
        <v>-5.7639226724859328E-14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167.90363814107491</v>
      </c>
      <c r="T202" s="62">
        <f t="shared" si="204"/>
        <v>174.92847878212234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0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projet'!$B$10,Paramètres!$A$1:$I$88,3,0)*VLOOKUP('Données projet'!$B$10,Paramètres!$A$1:$I$88,5,0)</f>
        <v>-6.1186256061773749E-14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179.61236179838011</v>
      </c>
      <c r="AO202" s="62">
        <f t="shared" si="205"/>
        <v>186.66130555850333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0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projet'!$B$11,Paramètres!$A$1:$I$88,3,0)*VLOOKUP('Données projet'!$B$11,Paramètres!$A$1:$I$88,5,0)</f>
        <v>-5.3205440053716299E-14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335.00873408144395</v>
      </c>
      <c r="BJ202" s="62">
        <f t="shared" si="206"/>
        <v>106.28577694955948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0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projet'!$B$12,Paramètres!$A$1:$I$88,3,0)*VLOOKUP('Données projet'!$B$12,Paramètres!$A$1:$I$88,5,0)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136.47709057888358</v>
      </c>
      <c r="CE202" s="62">
        <f t="shared" si="207"/>
        <v>99.705248792886493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0</v>
      </c>
      <c r="CL202" s="23">
        <f>EXP(-LN(2)/25)*CL201+(1-EXP(-LN(2)/25))/(LN(2)/25)*Calculateur!CG202*Calculateur!CI202*VLOOKUP('Données projet'!$B$12,Paramètres!$A$1:$I$88,3,0)*0.475*44/12</f>
        <v>0</v>
      </c>
      <c r="CM202" s="23">
        <f>EXP(-LN(2)/2)*CM201+(1-EXP(-LN(2)/2))/(LN(2)/2)*CG202*CJ202*VLOOKUP('Données projet'!$B$12,Paramètres!$A$1:$I$88,3,0)*0.475*44/12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projet'!$B$13,Paramètres!$A$1:$I$88,3,0)*VLOOKUP('Données projet'!$B$13,Paramètres!$A$1:$I$88,5,0)</f>
        <v>5.4683368944097308E-14</v>
      </c>
      <c r="CV202" s="14">
        <f t="shared" si="173"/>
        <v>8.8129432816788268E-13</v>
      </c>
      <c r="CW202" s="22">
        <f t="shared" si="174"/>
        <v>1.6301611558033651E-12</v>
      </c>
      <c r="CX202" s="62">
        <f t="shared" si="196"/>
        <v>293.33333333333496</v>
      </c>
      <c r="CY202" s="62">
        <f ca="1">AVERAGE(OFFSET($CX$3,0,0,'Données projet'!$E$13+1,1))-AVERAGE(OFFSET($H$3,0,0,'Données projet'!$E$13+1,1))</f>
        <v>205.01234521498333</v>
      </c>
      <c r="CZ202" s="62">
        <f t="shared" si="208"/>
        <v>100.26042113972852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projet'!$B$13,Paramètres!$A$1:$I$88,3,0)*0.475*44/12</f>
        <v>0</v>
      </c>
      <c r="DG202" s="23">
        <f>EXP(-LN(2)/25)*DG201+(1-EXP(-LN(2)/25))/(LN(2)/25)*Calculateur!DB202*Calculateur!DD202*VLOOKUP('Données projet'!$B$13,Paramètres!$A$1:$I$88,3,0)*0.475*44/12</f>
        <v>0</v>
      </c>
      <c r="DH202" s="23">
        <f>EXP(-LN(2)/2)*DH201+(1-EXP(-LN(2)/2))/(LN(2)/2)*DB202*DE202*VLOOKUP('Données projet'!$B$13,Paramètres!$A$1:$I$88,3,0)*0.475*44/12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58.499999999999758</v>
      </c>
      <c r="D203" s="12">
        <f t="shared" si="202"/>
        <v>16.788464942932734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581.17411534895257</v>
      </c>
      <c r="H203" s="70">
        <f t="shared" si="192"/>
        <v>424.46074310894073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projet'!$B$9,Paramètres!$A$1:$I$88,3,0)*VLOOKUP('Données projet'!$B$9,Paramètres!$A$1:$I$88,5,0)</f>
        <v>-5.7639226724859328E-14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167.90363814107491</v>
      </c>
      <c r="T203" s="62">
        <f t="shared" si="204"/>
        <v>174.92847878212234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0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projet'!$B$10,Paramètres!$A$1:$I$88,3,0)*VLOOKUP('Données projet'!$B$10,Paramètres!$A$1:$I$88,5,0)</f>
        <v>-6.1186256061773749E-14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179.61236179838011</v>
      </c>
      <c r="AO203" s="62">
        <f t="shared" si="205"/>
        <v>186.66130555850333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0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projet'!$B$11,Paramètres!$A$1:$I$88,3,0)*VLOOKUP('Données projet'!$B$11,Paramètres!$A$1:$I$88,5,0)</f>
        <v>-5.3205440053716299E-14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335.00873408144395</v>
      </c>
      <c r="BJ203" s="62">
        <f t="shared" si="206"/>
        <v>106.28577694955948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0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projet'!$B$12,Paramètres!$A$1:$I$88,3,0)*VLOOKUP('Données projet'!$B$12,Paramètres!$A$1:$I$88,5,0)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136.47709057888358</v>
      </c>
      <c r="CE203" s="62">
        <f t="shared" si="207"/>
        <v>99.705248792886493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0</v>
      </c>
      <c r="CL203" s="23">
        <f>EXP(-LN(2)/25)*CL202+(1-EXP(-LN(2)/25))/(LN(2)/25)*Calculateur!CG203*Calculateur!CI203*VLOOKUP('Données projet'!$B$12,Paramètres!$A$1:$I$88,3,0)*0.475*44/12</f>
        <v>0</v>
      </c>
      <c r="CM203" s="23">
        <f>EXP(-LN(2)/2)*CM202+(1-EXP(-LN(2)/2))/(LN(2)/2)*CG203*CJ203*VLOOKUP('Données projet'!$B$12,Paramètres!$A$1:$I$88,3,0)*0.475*44/12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projet'!$B$13,Paramètres!$A$1:$I$88,3,0)*VLOOKUP('Données projet'!$B$13,Paramètres!$A$1:$I$88,5,0)</f>
        <v>5.4683368944097308E-14</v>
      </c>
      <c r="CV203" s="14">
        <f t="shared" si="173"/>
        <v>8.8129432816788268E-13</v>
      </c>
      <c r="CW203" s="22">
        <f t="shared" si="174"/>
        <v>1.6301611558033651E-12</v>
      </c>
      <c r="CX203" s="62">
        <f t="shared" si="196"/>
        <v>293.33333333333496</v>
      </c>
      <c r="CY203" s="62">
        <f ca="1">AVERAGE(OFFSET($CX$3,0,0,'Données projet'!$E$13+1,1))-AVERAGE(OFFSET($H$3,0,0,'Données projet'!$E$13+1,1))</f>
        <v>205.01234521498333</v>
      </c>
      <c r="CZ203" s="62">
        <f t="shared" si="208"/>
        <v>100.26042113972852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projet'!$B$13,Paramètres!$A$1:$I$88,3,0)*0.475*44/12</f>
        <v>0</v>
      </c>
      <c r="DG203" s="23">
        <f>EXP(-LN(2)/25)*DG202+(1-EXP(-LN(2)/25))/(LN(2)/25)*Calculateur!DB203*Calculateur!DD203*VLOOKUP('Données projet'!$B$13,Paramètres!$A$1:$I$88,3,0)*0.475*44/12</f>
        <v>0</v>
      </c>
      <c r="DH203" s="23">
        <f>EXP(-LN(2)/2)*DH202+(1-EXP(-LN(2)/2))/(LN(2)/2)*DB203*DE203*VLOOKUP('Données projet'!$B$13,Paramètres!$A$1:$I$88,3,0)*0.475*44/12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1.2229519710813024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1.2229519710813024</v>
      </c>
      <c r="BA205" s="88">
        <f>EXP(LN('Données projet'!B88)/'Données projet'!A88)</f>
        <v>1.1812937373976771</v>
      </c>
      <c r="BV205" s="88">
        <f>EXP(LN('Données projet'!B114)/'Données projet'!A114)</f>
        <v>1.1616814187717481</v>
      </c>
      <c r="CQ205" s="88">
        <f>EXP(LN('Données projet'!B140)/'Données projet'!A140)</f>
        <v>1.1703271155931456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A22" workbookViewId="0">
      <selection activeCell="D23" sqref="D23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3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5" t="s">
        <v>238</v>
      </c>
      <c r="P2" s="131">
        <v>0</v>
      </c>
    </row>
    <row r="3" spans="1:16" ht="15" thickBot="1" x14ac:dyDescent="0.35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6"/>
      <c r="P3" s="138">
        <v>0.2</v>
      </c>
    </row>
    <row r="4" spans="1:16" ht="15" thickBot="1" x14ac:dyDescent="0.35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3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5" t="s">
        <v>237</v>
      </c>
      <c r="P5" s="131">
        <v>0</v>
      </c>
    </row>
    <row r="6" spans="1:16" x14ac:dyDescent="0.3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7"/>
      <c r="P6" s="139">
        <v>0.05</v>
      </c>
    </row>
    <row r="7" spans="1:16" x14ac:dyDescent="0.3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7"/>
      <c r="P7" s="139">
        <v>0.1</v>
      </c>
    </row>
    <row r="8" spans="1:16" ht="15" thickBot="1" x14ac:dyDescent="0.35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6"/>
      <c r="P8" s="138">
        <v>0.15</v>
      </c>
    </row>
    <row r="9" spans="1:16" ht="15" thickBot="1" x14ac:dyDescent="0.35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3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5" t="s">
        <v>236</v>
      </c>
      <c r="P10" s="131">
        <v>0</v>
      </c>
    </row>
    <row r="11" spans="1:16" ht="15" thickBot="1" x14ac:dyDescent="0.35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6"/>
      <c r="P11" s="138">
        <v>0.1</v>
      </c>
    </row>
    <row r="12" spans="1:16" x14ac:dyDescent="0.3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3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3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3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3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3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3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3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3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3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3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3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3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3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3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3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3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3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3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3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3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3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3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3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3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3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3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3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3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3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3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3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3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3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3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3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3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3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3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3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3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3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3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3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3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3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3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3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3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3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3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3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3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3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3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3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3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3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3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3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3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3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3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3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3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3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3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3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3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3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3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3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3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3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3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3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" thickBot="1" x14ac:dyDescent="0.35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3">
      <c r="A92" s="132" t="s">
        <v>208</v>
      </c>
    </row>
    <row r="93" spans="1:14" x14ac:dyDescent="0.3">
      <c r="A93" s="132" t="s">
        <v>209</v>
      </c>
    </row>
    <row r="94" spans="1:14" x14ac:dyDescent="0.3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D19" sqref="D1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286" t="s">
        <v>272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5" t="str">
        <f>IF('Données projet'!$B$9="","",'Données projet'!$B$9)</f>
        <v>Chêne pubescent</v>
      </c>
      <c r="B6" s="156">
        <f>'Données projet'!D9</f>
        <v>0.39500000000000002</v>
      </c>
      <c r="C6" s="157">
        <f ca="1">IF(OR('Données projet'!B9="",'Données projet'!C9="",'Données projet'!C9=0%),0,Calculateur!S3)</f>
        <v>167.90363814107491</v>
      </c>
      <c r="D6" s="157">
        <f>IF(OR('Données projet'!B9="",'Données projet'!C9="",'Données projet'!C9=0%),0,Calculateur!T3)</f>
        <v>174.92847878212234</v>
      </c>
      <c r="E6" s="157">
        <f ca="1">MIN(C6,D6)</f>
        <v>167.90363814107491</v>
      </c>
      <c r="F6" s="157">
        <f ca="1">E6*B6</f>
        <v>66.321937065724597</v>
      </c>
      <c r="G6" s="157">
        <f ca="1">F6*(100%-'Données projet'!$C$24)*(100%-'Données projet'!$C$25)*(100%-'Données projet'!$C$26)*(100%-'Données projet'!$C$27)</f>
        <v>50.736281855279316</v>
      </c>
      <c r="H6" s="158">
        <f>IF(OR('Données projet'!B9="",'Données projet'!C9="",'Données projet'!C9=0%),0,AVERAGE(Calculateur!$AC$3:$AC$33)*B6)</f>
        <v>0</v>
      </c>
      <c r="I6" s="159">
        <f>H6*(100%-'Données projet'!$C$24)*(100%-'Données projet'!$C$25)*(100%-'Données projet'!$C$26)*(100%-'Données projet'!$C$27)</f>
        <v>0</v>
      </c>
      <c r="J6" s="160">
        <f>IF(OR('Données projet'!B9="",'Données projet'!C9="",'Données projet'!C9=0%),0,SUM(Calculateur!$V$3:$V$33)*VLOOKUP('Données projet'!$B$9,Paramètres!$A$1:$I$88,9,0)*B6)</f>
        <v>0</v>
      </c>
      <c r="K6" s="161">
        <f>J6*(100%-'Données projet'!$C$24)*(100%-'Données projet'!$C$25)*(100%-'Données projet'!$C$26)*(100%-'Données projet'!$C$27)</f>
        <v>0</v>
      </c>
      <c r="L6" s="162">
        <f ca="1">G6+I6+K6</f>
        <v>50.736281855279316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3" t="str">
        <f>IF('Données projet'!$B$10="","",'Données projet'!$B$10)</f>
        <v>Cormier</v>
      </c>
      <c r="B7" s="164">
        <f>'Données projet'!D10</f>
        <v>0.26250000000000001</v>
      </c>
      <c r="C7" s="157">
        <f ca="1">IF(OR('Données projet'!B10="",'Données projet'!C10="",'Données projet'!C10=0%),0,Calculateur!AN3)</f>
        <v>179.61236179838011</v>
      </c>
      <c r="D7" s="157">
        <f>IF(OR('Données projet'!B10="",'Données projet'!C10="",'Données projet'!C10=0%),0,Calculateur!AO3)</f>
        <v>186.66130555850333</v>
      </c>
      <c r="E7" s="157">
        <f t="shared" ref="E7:E15" ca="1" si="0">MIN(C7,D7)</f>
        <v>179.61236179838011</v>
      </c>
      <c r="F7" s="157">
        <f t="shared" ref="F7:F15" ca="1" si="1">E7*B7</f>
        <v>47.148244972074778</v>
      </c>
      <c r="G7" s="157">
        <f ca="1">F7*(100%-'Données projet'!$C$24)*(100%-'Données projet'!$C$25)*(100%-'Données projet'!$C$26)*(100%-'Données projet'!$C$27)</f>
        <v>36.06840740363721</v>
      </c>
      <c r="H7" s="165">
        <f>IF(OR('Données projet'!B10="",'Données projet'!C10="",'Données projet'!C10=0%),0,AVERAGE(Calculateur!$AX$3:$AX$33)*B7)</f>
        <v>0</v>
      </c>
      <c r="I7" s="159">
        <f>H7*(100%-'Données projet'!$C$24)*(100%-'Données projet'!$C$25)*(100%-'Données projet'!$C$26)*(100%-'Données projet'!$C$27)</f>
        <v>0</v>
      </c>
      <c r="J7" s="160">
        <f>IF(OR('Données projet'!B10="",'Données projet'!C10="",'Données projet'!C10=0%),0,SUM(Calculateur!$AQ$3:$AQ$33)*VLOOKUP('Données projet'!$B$10,Paramètres!$A$1:$I$88,9,0)*B7)</f>
        <v>0</v>
      </c>
      <c r="K7" s="161">
        <f>J7*(100%-'Données projet'!$C$24)*(100%-'Données projet'!$C$25)*(100%-'Données projet'!$C$26)*(100%-'Données projet'!$C$27)</f>
        <v>0</v>
      </c>
      <c r="L7" s="162">
        <f t="shared" ref="L7:L15" ca="1" si="2">G7+I7+K7</f>
        <v>36.06840740363721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3" t="str">
        <f>IF('Données projet'!$B$11="","",'Données projet'!$B$11)</f>
        <v>Cèdre de l'Atlas</v>
      </c>
      <c r="B8" s="164">
        <f>'Données projet'!D11</f>
        <v>0.52749999999999997</v>
      </c>
      <c r="C8" s="157">
        <f ca="1">IF(OR('Données projet'!B11="",'Données projet'!C11="",'Données projet'!C11=0%),0,Calculateur!BI3)</f>
        <v>335.00873408144395</v>
      </c>
      <c r="D8" s="157">
        <f>IF(OR('Données projet'!B11="",'Données projet'!C11="",'Données projet'!C11=0%),0,Calculateur!BJ3)</f>
        <v>106.28577694955948</v>
      </c>
      <c r="E8" s="157">
        <f t="shared" ca="1" si="0"/>
        <v>106.28577694955948</v>
      </c>
      <c r="F8" s="157">
        <f t="shared" ca="1" si="1"/>
        <v>56.065747340892621</v>
      </c>
      <c r="G8" s="157">
        <f ca="1">F8*(100%-'Données projet'!$C$24)*(100%-'Données projet'!$C$25)*(100%-'Données projet'!$C$26)*(100%-'Données projet'!$C$27)</f>
        <v>42.890296715782853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0</v>
      </c>
      <c r="K8" s="161">
        <f>J8*(100%-'Données projet'!$C$24)*(100%-'Données projet'!$C$25)*(100%-'Données projet'!$C$26)*(100%-'Données projet'!$C$27)</f>
        <v>0</v>
      </c>
      <c r="L8" s="162">
        <f t="shared" ca="1" si="2"/>
        <v>42.890296715782853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3" t="str">
        <f>IF('Données projet'!$B$12="","",'Données projet'!$B$12)</f>
        <v>Pin de Salzmann</v>
      </c>
      <c r="B9" s="164">
        <f>'Données projet'!D12</f>
        <v>0.39500000000000002</v>
      </c>
      <c r="C9" s="157">
        <f ca="1">IF(OR('Données projet'!B12="",'Données projet'!C12="",'Données projet'!C12=0%),0,Calculateur!CD3)</f>
        <v>136.47709057888358</v>
      </c>
      <c r="D9" s="157">
        <f>IF(OR('Données projet'!B12="",'Données projet'!C12="",'Données projet'!C12=0%),0,Calculateur!CE3)</f>
        <v>99.705248792886493</v>
      </c>
      <c r="E9" s="157">
        <f t="shared" ca="1" si="0"/>
        <v>99.705248792886493</v>
      </c>
      <c r="F9" s="157">
        <f t="shared" ca="1" si="1"/>
        <v>39.383573273190166</v>
      </c>
      <c r="G9" s="157">
        <f ca="1">F9*(100%-'Données projet'!$C$24)*(100%-'Données projet'!$C$25)*(100%-'Données projet'!$C$26)*(100%-'Données projet'!$C$27)</f>
        <v>30.128433553990476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0</v>
      </c>
      <c r="K9" s="161">
        <f>J9*(100%-'Données projet'!$C$24)*(100%-'Données projet'!$C$25)*(100%-'Données projet'!$C$26)*(100%-'Données projet'!$C$27)</f>
        <v>0</v>
      </c>
      <c r="L9" s="162">
        <f t="shared" ca="1" si="2"/>
        <v>30.128433553990476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3" t="str">
        <f>IF('Données projet'!$B$13="","",'Données projet'!$B$13)</f>
        <v>Sapin méditerranéen</v>
      </c>
      <c r="B10" s="164">
        <f>'Données projet'!D13</f>
        <v>0.21000000000000002</v>
      </c>
      <c r="C10" s="157">
        <f ca="1">IF(OR('Données projet'!B13="",'Données projet'!C13="",'Données projet'!C13=0%),0,Calculateur!CY3)</f>
        <v>205.01234521498333</v>
      </c>
      <c r="D10" s="157">
        <f>IF(OR('Données projet'!B13="",'Données projet'!C13="",'Données projet'!C13=0%),0,Calculateur!CZ3)</f>
        <v>100.26042113972852</v>
      </c>
      <c r="E10" s="157">
        <f t="shared" ca="1" si="0"/>
        <v>100.26042113972852</v>
      </c>
      <c r="F10" s="157">
        <f t="shared" ca="1" si="1"/>
        <v>21.054688439342993</v>
      </c>
      <c r="G10" s="157">
        <f ca="1">F10*(100%-'Données projet'!$C$24)*(100%-'Données projet'!$C$25)*(100%-'Données projet'!$C$26)*(100%-'Données projet'!$C$27)</f>
        <v>16.106836656097389</v>
      </c>
      <c r="H10" s="165">
        <f>IF(OR('Données projet'!B13="",'Données projet'!C13="",'Données projet'!C13=0%),0,AVERAGE(Calculateur!$DI$3:$DI$33)*B10)</f>
        <v>0</v>
      </c>
      <c r="I10" s="159">
        <f>H10*(100%-'Données projet'!$C$24)*(100%-'Données projet'!$C$25)*(100%-'Données projet'!$C$26)*(100%-'Données projet'!$C$27)</f>
        <v>0</v>
      </c>
      <c r="J10" s="160">
        <f>IF(OR('Données projet'!B13="",'Données projet'!C13="",'Données projet'!C13=0%),0,SUM(Calculateur!$DB$3:$DB$33)*VLOOKUP('Données projet'!$B$13,Paramètres!$A$1:$I$88,9,0)*B10)</f>
        <v>0</v>
      </c>
      <c r="K10" s="161">
        <f>J10*(100%-'Données projet'!$C$24)*(100%-'Données projet'!$C$25)*(100%-'Données projet'!$C$26)*(100%-'Données projet'!$C$27)</f>
        <v>0</v>
      </c>
      <c r="L10" s="162">
        <f t="shared" ca="1" si="2"/>
        <v>16.106836656097389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37"/>
      <c r="B16" s="247"/>
      <c r="C16" s="248"/>
      <c r="D16" s="25"/>
      <c r="E16" s="25"/>
      <c r="F16" s="175">
        <f t="shared" ref="F16:L16" ca="1" si="3">SUM(F6:F15)</f>
        <v>229.97419109122515</v>
      </c>
      <c r="G16" s="176">
        <f t="shared" ca="1" si="3"/>
        <v>175.93025618478723</v>
      </c>
      <c r="H16" s="177">
        <f t="shared" si="3"/>
        <v>0</v>
      </c>
      <c r="I16" s="177">
        <f t="shared" si="3"/>
        <v>0</v>
      </c>
      <c r="J16" s="178">
        <f t="shared" si="3"/>
        <v>0</v>
      </c>
      <c r="K16" s="178">
        <f t="shared" si="3"/>
        <v>0</v>
      </c>
      <c r="L16" s="179">
        <f t="shared" ca="1" si="3"/>
        <v>175.93025618478723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37"/>
      <c r="B17" s="247"/>
      <c r="C17" s="248"/>
      <c r="D17" s="244"/>
      <c r="E17" s="244"/>
      <c r="F17" s="298" t="s">
        <v>246</v>
      </c>
      <c r="G17" s="299"/>
      <c r="H17" s="299"/>
      <c r="I17" s="299"/>
      <c r="J17" s="299"/>
      <c r="K17" s="299"/>
      <c r="L17" s="29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37"/>
      <c r="B18" s="247"/>
      <c r="C18" s="248"/>
      <c r="D18" s="244"/>
      <c r="E18" s="244"/>
      <c r="F18" s="300"/>
      <c r="G18" s="300"/>
      <c r="H18" s="300"/>
      <c r="I18" s="300"/>
      <c r="J18" s="300"/>
      <c r="K18" s="300"/>
      <c r="L18" s="30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80" t="str">
        <f>A6</f>
        <v>Chêne pubescent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80" t="str">
        <f>A7</f>
        <v>Cormier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80" t="str">
        <f>A8</f>
        <v>Cèdre de l'Atlas</v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80" t="str">
        <f>A9</f>
        <v>Pin de Salzmann</v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80" t="str">
        <f>A10</f>
        <v>Sapin méditerranéen</v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topLeftCell="E13" zoomScale="85" zoomScaleNormal="85" workbookViewId="0">
      <selection activeCell="J10" sqref="J1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34" style="3" customWidth="1"/>
    <col min="7" max="7" width="11.44140625" style="3"/>
    <col min="8" max="8" width="11.44140625" style="1"/>
    <col min="9" max="9" width="33" style="1" customWidth="1"/>
    <col min="10" max="10" width="37" style="1" customWidth="1"/>
    <col min="11" max="15" width="11.44140625" style="1"/>
    <col min="16" max="16" width="21" style="1" customWidth="1"/>
    <col min="17" max="16384" width="11.44140625" style="1"/>
  </cols>
  <sheetData>
    <row r="1" spans="1:46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4" thickBot="1" x14ac:dyDescent="0.55000000000000004">
      <c r="A2" s="5"/>
      <c r="B2" s="286" t="s">
        <v>273</v>
      </c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8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3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3">
      <c r="A4" s="100"/>
      <c r="B4" s="100"/>
      <c r="C4" s="100"/>
      <c r="D4" s="100"/>
      <c r="E4" s="100"/>
      <c r="F4" s="181"/>
      <c r="G4" s="181"/>
      <c r="H4" s="100"/>
      <c r="I4" s="271" t="s">
        <v>190</v>
      </c>
      <c r="J4" s="271"/>
      <c r="K4" s="271"/>
      <c r="L4" s="271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3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5.8" x14ac:dyDescent="0.5">
      <c r="A6" s="100"/>
      <c r="B6" s="310" t="s">
        <v>192</v>
      </c>
      <c r="C6" s="310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10" t="s">
        <v>191</v>
      </c>
      <c r="P6" s="310"/>
      <c r="Q6" s="310"/>
      <c r="R6" s="31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3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">
      <c r="A9" s="25"/>
      <c r="B9" s="25"/>
      <c r="C9" s="25"/>
      <c r="D9" s="25"/>
      <c r="E9" s="25"/>
      <c r="F9" s="218"/>
      <c r="G9" s="230"/>
      <c r="H9" s="25"/>
      <c r="I9" s="207">
        <v>0</v>
      </c>
      <c r="J9" s="208">
        <v>-4105</v>
      </c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">
      <c r="A12" s="25"/>
      <c r="B12" s="25"/>
      <c r="C12" s="25"/>
      <c r="D12" s="25"/>
      <c r="E12" s="25"/>
      <c r="F12" s="234"/>
      <c r="G12" s="243"/>
      <c r="H12" s="25"/>
      <c r="I12" s="207">
        <v>0</v>
      </c>
      <c r="J12" s="208">
        <v>11531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">
      <c r="A13" s="25"/>
      <c r="B13" s="25"/>
      <c r="C13" s="25"/>
      <c r="D13" s="25"/>
      <c r="E13" s="25"/>
      <c r="F13" s="234"/>
      <c r="G13" s="243"/>
      <c r="H13" s="25"/>
      <c r="I13" s="207"/>
      <c r="J13" s="208"/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">
      <c r="A14" s="25"/>
      <c r="B14" s="25"/>
      <c r="C14" s="25"/>
      <c r="D14" s="25"/>
      <c r="E14" s="25"/>
      <c r="F14" s="234"/>
      <c r="G14" s="243"/>
      <c r="H14" s="25"/>
      <c r="I14" s="207"/>
      <c r="J14" s="208"/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">
      <c r="A15" s="25"/>
      <c r="B15" s="25"/>
      <c r="C15" s="25"/>
      <c r="D15" s="25"/>
      <c r="E15" s="25"/>
      <c r="F15" s="234"/>
      <c r="G15" s="243"/>
      <c r="H15" s="25"/>
      <c r="I15" s="207"/>
      <c r="J15" s="208"/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">
      <c r="A16" s="25"/>
      <c r="B16" s="25"/>
      <c r="C16" s="25"/>
      <c r="D16" s="25"/>
      <c r="E16" s="25"/>
      <c r="F16" s="234"/>
      <c r="G16" s="243"/>
      <c r="H16" s="25"/>
      <c r="I16" s="207"/>
      <c r="J16" s="208"/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">
      <c r="A17" s="235"/>
      <c r="B17" s="235"/>
      <c r="C17" s="25"/>
      <c r="D17" s="25"/>
      <c r="E17" s="25"/>
      <c r="F17" s="218"/>
      <c r="G17" s="230"/>
      <c r="H17" s="25"/>
      <c r="I17" s="301" t="s">
        <v>292</v>
      </c>
      <c r="J17" s="301"/>
      <c r="K17" s="301"/>
      <c r="L17" s="301"/>
      <c r="M17" s="5"/>
      <c r="N17" s="186"/>
      <c r="O17" s="311" t="s">
        <v>254</v>
      </c>
      <c r="P17" s="311"/>
      <c r="Q17" s="2">
        <v>55</v>
      </c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">
      <c r="A18" s="49" t="s">
        <v>165</v>
      </c>
      <c r="B18" s="189" t="str">
        <f>IF('Données projet'!$B$9="","",'Données projet'!$B$9)</f>
        <v>Chêne pubescent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2" t="s">
        <v>291</v>
      </c>
      <c r="P18" s="272"/>
      <c r="Q18" s="190">
        <f>VLOOKUP(Q17,Calculateur!$A$2:$H$153,3,0)/VLOOKUP('Scénario référence'!$G$15,Paramètres!A1:I88,3,0)/VLOOKUP('Scénario référence'!$G$15,Paramètres!A1:I88,5,0)</f>
        <v>27.500000000000025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2" t="s">
        <v>255</v>
      </c>
      <c r="P19" s="272"/>
      <c r="Q19" s="209">
        <v>10</v>
      </c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Chêne pubescent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174.64115910229452</v>
      </c>
      <c r="K20" s="193">
        <f>'Données projet'!D9</f>
        <v>0.39500000000000002</v>
      </c>
      <c r="L20" s="192">
        <f>K20*J20</f>
        <v>68.983257845406342</v>
      </c>
      <c r="M20" s="25"/>
      <c r="N20" s="186"/>
      <c r="O20" s="272" t="s">
        <v>290</v>
      </c>
      <c r="P20" s="272"/>
      <c r="Q20" s="194">
        <f>Q18*Q19</f>
        <v>275.00000000000023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3">
      <c r="A21" s="214">
        <v>0</v>
      </c>
      <c r="B21" s="217" t="s">
        <v>132</v>
      </c>
      <c r="C21" s="216" t="s">
        <v>132</v>
      </c>
      <c r="D21" s="215" t="s">
        <v>132</v>
      </c>
      <c r="E21" s="210"/>
      <c r="F21" s="218"/>
      <c r="G21" s="231"/>
      <c r="H21" s="25"/>
      <c r="I21" s="188" t="str">
        <f>B44</f>
        <v>Cormier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174.64115910229452</v>
      </c>
      <c r="K21" s="193">
        <f>'Données projet'!D10</f>
        <v>0.26250000000000001</v>
      </c>
      <c r="L21" s="192">
        <f t="shared" ref="L21:L29" si="0">K21*J21</f>
        <v>45.843304264352312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">
      <c r="A22" s="195">
        <f>'Données projet'!A36</f>
        <v>20</v>
      </c>
      <c r="B22" s="196">
        <f>'Données projet'!D36</f>
        <v>0</v>
      </c>
      <c r="C22" s="210"/>
      <c r="D22" s="197">
        <f>B22*C22</f>
        <v>0</v>
      </c>
      <c r="E22" s="210"/>
      <c r="F22" s="218"/>
      <c r="G22" s="227"/>
      <c r="H22" s="25"/>
      <c r="I22" s="188" t="str">
        <f>B70</f>
        <v>Cèdre de l'Atlas</v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1741.8292141683037</v>
      </c>
      <c r="K22" s="193">
        <f>'Données projet'!D11</f>
        <v>0.52749999999999997</v>
      </c>
      <c r="L22" s="192">
        <f t="shared" si="0"/>
        <v>918.81491047378017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">
      <c r="A23" s="195">
        <f>'Données projet'!A37</f>
        <v>25</v>
      </c>
      <c r="B23" s="196">
        <f>'Données projet'!D37</f>
        <v>0</v>
      </c>
      <c r="C23" s="210"/>
      <c r="D23" s="197">
        <f t="shared" ref="D23:D41" si="1">B23*C23</f>
        <v>0</v>
      </c>
      <c r="E23" s="210"/>
      <c r="F23" s="219"/>
      <c r="G23" s="227"/>
      <c r="H23" s="25"/>
      <c r="I23" s="188" t="str">
        <f>B96</f>
        <v>Pin de Salzmann</v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905.30850148966942</v>
      </c>
      <c r="K23" s="193">
        <f>'Données projet'!D12</f>
        <v>0.39500000000000002</v>
      </c>
      <c r="L23" s="192">
        <f t="shared" si="0"/>
        <v>357.59685808841942</v>
      </c>
      <c r="M23" s="226"/>
      <c r="N23" s="198"/>
      <c r="O23" s="314" t="s">
        <v>261</v>
      </c>
      <c r="P23" s="314"/>
      <c r="Q23" s="31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3">
      <c r="A24" s="195">
        <f>'Données projet'!A38</f>
        <v>30</v>
      </c>
      <c r="B24" s="196">
        <f>'Données projet'!D38</f>
        <v>0</v>
      </c>
      <c r="C24" s="210"/>
      <c r="D24" s="197">
        <f t="shared" si="1"/>
        <v>0</v>
      </c>
      <c r="E24" s="210"/>
      <c r="F24" s="219"/>
      <c r="G24" s="227"/>
      <c r="H24" s="25"/>
      <c r="I24" s="188" t="str">
        <f>B122</f>
        <v>Sapin méditerranéen</v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624.11165657527624</v>
      </c>
      <c r="K24" s="193">
        <f>'Données projet'!D13</f>
        <v>0.21000000000000002</v>
      </c>
      <c r="L24" s="192">
        <f t="shared" si="0"/>
        <v>131.06344788080801</v>
      </c>
      <c r="M24" s="25"/>
      <c r="N24" s="186"/>
      <c r="O24" s="312" t="s">
        <v>286</v>
      </c>
      <c r="P24" s="312"/>
      <c r="Q24" s="312"/>
      <c r="R24" s="312"/>
      <c r="S24" s="312"/>
      <c r="T24" s="209">
        <v>400</v>
      </c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3">
      <c r="A25" s="195">
        <f>'Données projet'!A39</f>
        <v>35</v>
      </c>
      <c r="B25" s="196">
        <f>'Données projet'!D39</f>
        <v>0</v>
      </c>
      <c r="C25" s="210"/>
      <c r="D25" s="197">
        <f t="shared" si="1"/>
        <v>0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13" t="s">
        <v>258</v>
      </c>
      <c r="P25" s="313"/>
      <c r="Q25" s="313"/>
      <c r="R25" s="313"/>
      <c r="S25" s="313"/>
      <c r="T25" s="313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">
      <c r="A26" s="195">
        <f>'Données projet'!A40</f>
        <v>40</v>
      </c>
      <c r="B26" s="196">
        <f>'Données projet'!D40</f>
        <v>0</v>
      </c>
      <c r="C26" s="210"/>
      <c r="D26" s="197">
        <f t="shared" si="1"/>
        <v>0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13"/>
      <c r="P26" s="313"/>
      <c r="Q26" s="313"/>
      <c r="R26" s="313"/>
      <c r="S26" s="313"/>
      <c r="T26" s="313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3">
      <c r="A27" s="195">
        <f>'Données projet'!A41</f>
        <v>45</v>
      </c>
      <c r="B27" s="196">
        <f>'Données projet'!D41</f>
        <v>0</v>
      </c>
      <c r="C27" s="210"/>
      <c r="D27" s="197">
        <f t="shared" si="1"/>
        <v>0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3">
      <c r="A28" s="195">
        <f>'Données projet'!A42</f>
        <v>50</v>
      </c>
      <c r="B28" s="196">
        <f>'Données projet'!D42</f>
        <v>40</v>
      </c>
      <c r="C28" s="210">
        <v>10</v>
      </c>
      <c r="D28" s="197">
        <f t="shared" si="1"/>
        <v>400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9026.1379710435431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">
      <c r="A29" s="195">
        <f>'Données projet'!A43</f>
        <v>55</v>
      </c>
      <c r="B29" s="196">
        <f>'Données projet'!D43</f>
        <v>0</v>
      </c>
      <c r="C29" s="210"/>
      <c r="D29" s="197">
        <f t="shared" si="1"/>
        <v>0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400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">
      <c r="A30" s="195">
        <f>'Données projet'!A44</f>
        <v>60</v>
      </c>
      <c r="B30" s="196">
        <f>'Données projet'!D44</f>
        <v>0</v>
      </c>
      <c r="C30" s="210"/>
      <c r="D30" s="197">
        <f t="shared" si="1"/>
        <v>0</v>
      </c>
      <c r="E30" s="210"/>
      <c r="F30" s="219"/>
      <c r="G30" s="227"/>
      <c r="H30" s="25"/>
      <c r="M30" s="5"/>
      <c r="N30" s="186"/>
      <c r="O30" s="308" t="s">
        <v>260</v>
      </c>
      <c r="P30" s="308"/>
      <c r="Q30" s="309"/>
      <c r="R30" s="211">
        <f>IF(R29+1&lt;=MIN('Données projet'!$E$9:$E$18),R29+1,"STOP")</f>
        <v>1</v>
      </c>
      <c r="S30" s="201">
        <f t="shared" ref="S30:S46" si="2">$T$24/(1+$J$6)^R30</f>
        <v>382.7751196172249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">
      <c r="A31" s="195">
        <f>'Données projet'!A45</f>
        <v>65</v>
      </c>
      <c r="B31" s="196">
        <f>'Données projet'!D45</f>
        <v>0</v>
      </c>
      <c r="C31" s="210"/>
      <c r="D31" s="197">
        <f t="shared" si="1"/>
        <v>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8" t="s">
        <v>297</v>
      </c>
      <c r="P31" s="308"/>
      <c r="Q31" s="309"/>
      <c r="R31" s="211">
        <f>IF(R30+1&lt;=MIN('Données projet'!$E$9:$E$18),R30+1,"STOP")</f>
        <v>2</v>
      </c>
      <c r="S31" s="201">
        <f t="shared" si="2"/>
        <v>366.2919804949521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">
      <c r="A32" s="195">
        <f>'Données projet'!A46</f>
        <v>70</v>
      </c>
      <c r="B32" s="196">
        <f>'Données projet'!D46</f>
        <v>0</v>
      </c>
      <c r="C32" s="210"/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350.51864162196375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">
      <c r="A33" s="195">
        <f>'Données projet'!A47</f>
        <v>75</v>
      </c>
      <c r="B33" s="196">
        <f>'Données projet'!D47</f>
        <v>0</v>
      </c>
      <c r="C33" s="210"/>
      <c r="D33" s="197">
        <f t="shared" si="1"/>
        <v>0</v>
      </c>
      <c r="E33" s="210"/>
      <c r="F33" s="219"/>
      <c r="G33" s="227"/>
      <c r="H33" s="25"/>
      <c r="I33" s="188" t="s">
        <v>265</v>
      </c>
      <c r="J33" s="304">
        <f>SUM(L20:L29) - (J12/(1+J6)^I12 + J13/(1+J6)^I13 + J14/(1+J6)^I14 + J15/(1+J6)^I15 + J16/(1+J6)^I16 + J9/(1+J6)^I9)*'Données projet'!C5</f>
        <v>-17042.698221447234</v>
      </c>
      <c r="K33" s="304"/>
      <c r="L33" s="304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335.42453743728595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">
      <c r="A34" s="195">
        <f>'Données projet'!A48</f>
        <v>80</v>
      </c>
      <c r="B34" s="196">
        <f>'Données projet'!D48</f>
        <v>147</v>
      </c>
      <c r="C34" s="210">
        <v>30</v>
      </c>
      <c r="D34" s="197">
        <f t="shared" si="1"/>
        <v>4410</v>
      </c>
      <c r="E34" s="210"/>
      <c r="F34" s="219"/>
      <c r="G34" s="227"/>
      <c r="H34" s="25"/>
      <c r="I34" s="188" t="s">
        <v>262</v>
      </c>
      <c r="J34" s="305">
        <f ca="1">'Scénario référence'!$B$8*$P$28*'Données projet'!$C$5+('Scénario référence'!B9+'Scénario référence'!B10+'Scénario référence'!F8+'Scénario référence'!F9)*$Q$20/(1+J6)^Q17*'Données projet'!$C$5</f>
        <v>61.076863699955169</v>
      </c>
      <c r="K34" s="305"/>
      <c r="L34" s="305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320.98041860027365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">
      <c r="A35" s="195">
        <f>'Données projet'!A49</f>
        <v>0</v>
      </c>
      <c r="B35" s="196">
        <f>'Données projet'!D49</f>
        <v>0</v>
      </c>
      <c r="C35" s="210"/>
      <c r="D35" s="197">
        <f t="shared" si="1"/>
        <v>0</v>
      </c>
      <c r="E35" s="210"/>
      <c r="F35" s="219"/>
      <c r="G35" s="227"/>
      <c r="H35" s="25"/>
      <c r="I35" s="202" t="s">
        <v>267</v>
      </c>
      <c r="J35" s="306">
        <f ca="1">J33-J34</f>
        <v>-17103.77508514719</v>
      </c>
      <c r="K35" s="306"/>
      <c r="L35" s="306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307.15829531126673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">
      <c r="A36" s="195">
        <f>'Données projet'!A50</f>
        <v>0</v>
      </c>
      <c r="B36" s="196">
        <f>'Données projet'!D50</f>
        <v>0</v>
      </c>
      <c r="C36" s="210"/>
      <c r="D36" s="197">
        <f t="shared" si="1"/>
        <v>0</v>
      </c>
      <c r="E36" s="210"/>
      <c r="F36" s="219"/>
      <c r="G36" s="227"/>
      <c r="H36" s="25"/>
      <c r="I36" s="202" t="s">
        <v>266</v>
      </c>
      <c r="J36" s="303" t="str">
        <f ca="1">IF(J35&lt;0,"Votre projet est additionnel","Votre projet n'est pas additionnel")</f>
        <v>Votre projet est additionnel</v>
      </c>
      <c r="K36" s="303"/>
      <c r="L36" s="303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293.9313830729825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">
      <c r="A37" s="195">
        <f>'Données projet'!A51</f>
        <v>0</v>
      </c>
      <c r="B37" s="196">
        <f>'Données projet'!D51</f>
        <v>0</v>
      </c>
      <c r="C37" s="210"/>
      <c r="D37" s="197">
        <f t="shared" si="1"/>
        <v>0</v>
      </c>
      <c r="E37" s="210"/>
      <c r="F37" s="219"/>
      <c r="G37" s="227"/>
      <c r="H37" s="25"/>
      <c r="I37" s="307" t="s">
        <v>268</v>
      </c>
      <c r="J37" s="307"/>
      <c r="K37" s="307"/>
      <c r="L37" s="307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281.27405078754316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">
      <c r="A38" s="195">
        <f>'Données projet'!A52</f>
        <v>0</v>
      </c>
      <c r="B38" s="196">
        <f>'Données projet'!D52</f>
        <v>0</v>
      </c>
      <c r="C38" s="210"/>
      <c r="D38" s="197">
        <f t="shared" si="1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269.16177108855805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">
      <c r="A39" s="195">
        <f>'Données projet'!A53</f>
        <v>0</v>
      </c>
      <c r="B39" s="196">
        <f>'Données projet'!D53</f>
        <v>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257.57107281201729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">
      <c r="A40" s="195">
        <f>'Données projet'!A54</f>
        <v>0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246.47949551389218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3">
      <c r="A41" s="195">
        <f>'Données projet'!A55</f>
        <v>0</v>
      </c>
      <c r="B41" s="196">
        <f>'Données projet'!D55</f>
        <v>0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235.86554594630834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3">
      <c r="A42" s="203"/>
      <c r="B42" s="203"/>
      <c r="C42" s="203"/>
      <c r="D42" s="203"/>
      <c r="E42" s="301" t="s">
        <v>293</v>
      </c>
      <c r="F42" s="302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225.70865640795054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3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215.98914488799102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">
      <c r="A44" s="49" t="s">
        <v>166</v>
      </c>
      <c r="B44" s="189" t="str">
        <f>IF('Données projet'!$B$10="","",'Données projet'!$B$10)</f>
        <v>Cormier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206.68817692630716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3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197.78772911608351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3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189.27055417807034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3">
      <c r="A47" s="214">
        <v>0</v>
      </c>
      <c r="B47" s="217" t="s">
        <v>132</v>
      </c>
      <c r="C47" s="216" t="s">
        <v>132</v>
      </c>
      <c r="D47" s="215" t="s">
        <v>132</v>
      </c>
      <c r="E47" s="210"/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181.12014753882332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">
      <c r="A48" s="195">
        <f>'Données projet'!A62</f>
        <v>20</v>
      </c>
      <c r="B48" s="196">
        <f>'Données projet'!D62</f>
        <v>0</v>
      </c>
      <c r="C48" s="208"/>
      <c r="D48" s="194">
        <f>B48*C48</f>
        <v>0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173.32071534815628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">
      <c r="A49" s="195">
        <f>'Données projet'!A63</f>
        <v>25</v>
      </c>
      <c r="B49" s="196">
        <f>'Données projet'!D63</f>
        <v>0</v>
      </c>
      <c r="C49" s="208"/>
      <c r="D49" s="194">
        <f t="shared" ref="D49:D67" si="4">B49*C49</f>
        <v>0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165.85714387383382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">
      <c r="A50" s="195">
        <f>'Données projet'!A64</f>
        <v>30</v>
      </c>
      <c r="B50" s="196">
        <f>'Données projet'!D64</f>
        <v>0</v>
      </c>
      <c r="C50" s="208"/>
      <c r="D50" s="194">
        <f t="shared" si="4"/>
        <v>0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158.71497021419503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">
      <c r="A51" s="195">
        <f>'Données projet'!A65</f>
        <v>35</v>
      </c>
      <c r="B51" s="196">
        <f>'Données projet'!D65</f>
        <v>0</v>
      </c>
      <c r="C51" s="208"/>
      <c r="D51" s="194">
        <f t="shared" si="4"/>
        <v>0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151.880354271957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">
      <c r="A52" s="195">
        <f>'Données projet'!A66</f>
        <v>40</v>
      </c>
      <c r="B52" s="196">
        <f>'Données projet'!D66</f>
        <v>0</v>
      </c>
      <c r="C52" s="208"/>
      <c r="D52" s="194">
        <f t="shared" si="4"/>
        <v>0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145.3400519348871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">
      <c r="A53" s="195">
        <f>'Données projet'!A67</f>
        <v>45</v>
      </c>
      <c r="B53" s="196">
        <f>'Données projet'!D67</f>
        <v>0</v>
      </c>
      <c r="C53" s="208"/>
      <c r="D53" s="194">
        <f t="shared" si="4"/>
        <v>0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139.08138941137523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">
      <c r="A54" s="195">
        <f>'Données projet'!A68</f>
        <v>50</v>
      </c>
      <c r="B54" s="196">
        <f>'Données projet'!D68</f>
        <v>40</v>
      </c>
      <c r="C54" s="208">
        <v>10</v>
      </c>
      <c r="D54" s="194">
        <f t="shared" si="4"/>
        <v>400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133.09223867117248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">
      <c r="A55" s="195">
        <f>'Données projet'!A69</f>
        <v>55</v>
      </c>
      <c r="B55" s="196">
        <f>'Données projet'!D69</f>
        <v>0</v>
      </c>
      <c r="C55" s="208"/>
      <c r="D55" s="194">
        <f t="shared" si="4"/>
        <v>0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127.36099394370575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">
      <c r="A56" s="195">
        <f>'Données projet'!A70</f>
        <v>60</v>
      </c>
      <c r="B56" s="196">
        <f>'Données projet'!D70</f>
        <v>0</v>
      </c>
      <c r="C56" s="208"/>
      <c r="D56" s="194">
        <f t="shared" si="4"/>
        <v>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121.87654922842655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">
      <c r="A57" s="195">
        <f>'Données projet'!A71</f>
        <v>65</v>
      </c>
      <c r="B57" s="196">
        <f>'Données projet'!D71</f>
        <v>0</v>
      </c>
      <c r="C57" s="208"/>
      <c r="D57" s="194">
        <f t="shared" si="4"/>
        <v>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116.62827677361396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">
      <c r="A58" s="195">
        <f>'Données projet'!A72</f>
        <v>70</v>
      </c>
      <c r="B58" s="196">
        <f>'Données projet'!D72</f>
        <v>0</v>
      </c>
      <c r="C58" s="208"/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111.60600648192721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">
      <c r="A59" s="195">
        <f>'Données projet'!A73</f>
        <v>75</v>
      </c>
      <c r="B59" s="196">
        <f>'Données projet'!D73</f>
        <v>0</v>
      </c>
      <c r="C59" s="208"/>
      <c r="D59" s="194">
        <f t="shared" si="4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106.8000062028012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">
      <c r="A60" s="195">
        <f>'Données projet'!A74</f>
        <v>80</v>
      </c>
      <c r="B60" s="196">
        <f>'Données projet'!D74</f>
        <v>147</v>
      </c>
      <c r="C60" s="208">
        <v>30</v>
      </c>
      <c r="D60" s="194">
        <f t="shared" si="4"/>
        <v>4410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3"/>
        <v>102.20096287349395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">
      <c r="A61" s="195">
        <f>'Données projet'!A75</f>
        <v>0</v>
      </c>
      <c r="B61" s="196">
        <f>'Données projet'!D75</f>
        <v>0</v>
      </c>
      <c r="C61" s="208"/>
      <c r="D61" s="194">
        <f t="shared" si="4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5">$T$24/(1+$J$6)^R61</f>
        <v>97.799964472243076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">
      <c r="A62" s="195">
        <f>'Données projet'!A76</f>
        <v>0</v>
      </c>
      <c r="B62" s="196">
        <f>'Données projet'!D76</f>
        <v>0</v>
      </c>
      <c r="C62" s="208"/>
      <c r="D62" s="194">
        <f t="shared" si="4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5"/>
        <v>93.588482748557979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">
      <c r="A63" s="195">
        <f>'Données projet'!A77</f>
        <v>0</v>
      </c>
      <c r="B63" s="196">
        <f>'Données projet'!D77</f>
        <v>0</v>
      </c>
      <c r="C63" s="208"/>
      <c r="D63" s="194">
        <f t="shared" si="4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5"/>
        <v>89.558356697184678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">
      <c r="A64" s="195">
        <f>'Données projet'!A78</f>
        <v>0</v>
      </c>
      <c r="B64" s="196">
        <f>'Données projet'!D78</f>
        <v>0</v>
      </c>
      <c r="C64" s="208"/>
      <c r="D64" s="194">
        <f t="shared" si="4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5"/>
        <v>85.701776743717389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">
      <c r="A65" s="195">
        <f>'Données projet'!A79</f>
        <v>0</v>
      </c>
      <c r="B65" s="196">
        <f>'Données projet'!D79</f>
        <v>0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5"/>
        <v>82.011269611212839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">
      <c r="A66" s="195">
        <f>'Données projet'!A80</f>
        <v>0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5"/>
        <v>78.479683838481179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">
      <c r="A67" s="195">
        <f>'Données projet'!A81</f>
        <v>0</v>
      </c>
      <c r="B67" s="196">
        <f>'Données projet'!D81</f>
        <v>0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5"/>
        <v>75.100175921991578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5"/>
        <v>71.866197054537395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5"/>
        <v>68.771480434964033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3">
      <c r="A70" s="49" t="s">
        <v>167</v>
      </c>
      <c r="B70" s="189" t="str">
        <f>IF('Données projet'!B11="","",'Données projet'!B11)</f>
        <v>Cèdre de l'Atlas</v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5"/>
        <v>65.810029124367503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5"/>
        <v>62.976104425232066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3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5"/>
        <v>60.264214760987628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3">
      <c r="A73" s="214">
        <v>0</v>
      </c>
      <c r="B73" s="217" t="s">
        <v>132</v>
      </c>
      <c r="C73" s="216" t="s">
        <v>132</v>
      </c>
      <c r="D73" s="215" t="s">
        <v>132</v>
      </c>
      <c r="E73" s="210"/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6">$T$24/(1+$J$6)^R73</f>
        <v>57.669105034437926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">
      <c r="A74" s="195">
        <f>'Données projet'!A88</f>
        <v>20</v>
      </c>
      <c r="B74" s="196">
        <f>'Données projet'!D88</f>
        <v>0</v>
      </c>
      <c r="C74" s="208"/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6"/>
        <v>55.185746444438202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">
      <c r="A75" s="195">
        <f>'Données projet'!A89</f>
        <v>30</v>
      </c>
      <c r="B75" s="196">
        <f>'Données projet'!D89</f>
        <v>0</v>
      </c>
      <c r="C75" s="208"/>
      <c r="D75" s="194">
        <f t="shared" ref="D75:D93" si="7">B75*C75</f>
        <v>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>
        <f>IF(R74+1&lt;=MIN('Données projet'!$E$9:$E$18),R74+1,"STOP")</f>
        <v>46</v>
      </c>
      <c r="S75" s="201">
        <f t="shared" si="6"/>
        <v>52.809326741089201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">
      <c r="A76" s="195">
        <f>'Données projet'!A90</f>
        <v>40</v>
      </c>
      <c r="B76" s="196">
        <f>'Données projet'!D90</f>
        <v>91</v>
      </c>
      <c r="C76" s="208">
        <v>15</v>
      </c>
      <c r="D76" s="194">
        <f t="shared" si="7"/>
        <v>1365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>
        <f>IF(R75+1&lt;=MIN('Données projet'!$E$9:$E$18),R75+1,"STOP")</f>
        <v>47</v>
      </c>
      <c r="S76" s="201">
        <f t="shared" si="6"/>
        <v>50.535240900563828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">
      <c r="A77" s="195">
        <f>'Données projet'!A91</f>
        <v>50</v>
      </c>
      <c r="B77" s="196">
        <f>'Données projet'!D91</f>
        <v>91</v>
      </c>
      <c r="C77" s="208">
        <v>20</v>
      </c>
      <c r="D77" s="194">
        <f t="shared" si="7"/>
        <v>1820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>
        <f>IF(R76+1&lt;=MIN('Données projet'!$E$9:$E$18),R76+1,"STOP")</f>
        <v>48</v>
      </c>
      <c r="S77" s="201">
        <f t="shared" si="6"/>
        <v>48.359082201496506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">
      <c r="A78" s="195">
        <f>'Données projet'!A92</f>
        <v>60</v>
      </c>
      <c r="B78" s="196">
        <f>'Données projet'!D92</f>
        <v>112</v>
      </c>
      <c r="C78" s="208">
        <v>25</v>
      </c>
      <c r="D78" s="194">
        <f t="shared" si="7"/>
        <v>2800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>
        <f>IF(R77+1&lt;=MIN('Données projet'!$E$9:$E$18),R77+1,"STOP")</f>
        <v>49</v>
      </c>
      <c r="S78" s="201">
        <f t="shared" si="6"/>
        <v>46.276633685642587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">
      <c r="A79" s="195">
        <f>'Données projet'!A93</f>
        <v>70</v>
      </c>
      <c r="B79" s="196">
        <f>'Données projet'!D93</f>
        <v>109</v>
      </c>
      <c r="C79" s="208">
        <v>30</v>
      </c>
      <c r="D79" s="194">
        <f t="shared" si="7"/>
        <v>3270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>
        <f>IF(R78+1&lt;=MIN('Données projet'!$E$9:$E$18),R78+1,"STOP")</f>
        <v>50</v>
      </c>
      <c r="S79" s="201">
        <f t="shared" si="6"/>
        <v>44.283859986260858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">
      <c r="A80" s="195">
        <f>'Données projet'!A94</f>
        <v>80</v>
      </c>
      <c r="B80" s="196">
        <f>'Données projet'!D94</f>
        <v>110</v>
      </c>
      <c r="C80" s="208">
        <v>40</v>
      </c>
      <c r="D80" s="194">
        <f t="shared" si="7"/>
        <v>4400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>
        <f>IF(R79+1&lt;=MIN('Données projet'!$E$9:$E$18),R79+1,"STOP")</f>
        <v>51</v>
      </c>
      <c r="S80" s="201">
        <f t="shared" si="6"/>
        <v>42.376899508383602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">
      <c r="A81" s="195">
        <f>'Données projet'!A95</f>
        <v>90</v>
      </c>
      <c r="B81" s="196">
        <f>'Données projet'!D95</f>
        <v>97</v>
      </c>
      <c r="C81" s="208">
        <v>50</v>
      </c>
      <c r="D81" s="194">
        <f t="shared" si="7"/>
        <v>4850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>
        <f>IF(R80+1&lt;=MIN('Données projet'!$E$9:$E$18),R80+1,"STOP")</f>
        <v>52</v>
      </c>
      <c r="S81" s="201">
        <f t="shared" si="6"/>
        <v>40.552056945821633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">
      <c r="A82" s="195">
        <f>'Données projet'!A96</f>
        <v>100</v>
      </c>
      <c r="B82" s="196">
        <f>'Données projet'!D96</f>
        <v>855</v>
      </c>
      <c r="C82" s="208">
        <v>70</v>
      </c>
      <c r="D82" s="194">
        <f t="shared" si="7"/>
        <v>59850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>
        <f>IF(R81+1&lt;=MIN('Données projet'!$E$9:$E$18),R81+1,"STOP")</f>
        <v>53</v>
      </c>
      <c r="S82" s="201">
        <f t="shared" si="6"/>
        <v>38.805796120403478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">
      <c r="A83" s="195">
        <f>'Données projet'!A97</f>
        <v>0</v>
      </c>
      <c r="B83" s="196">
        <f>'Données projet'!D97</f>
        <v>0</v>
      </c>
      <c r="C83" s="208"/>
      <c r="D83" s="194">
        <f t="shared" si="7"/>
        <v>0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>
        <f>IF(R82+1&lt;=MIN('Données projet'!$E$9:$E$18),R82+1,"STOP")</f>
        <v>54</v>
      </c>
      <c r="S83" s="201">
        <f t="shared" si="6"/>
        <v>37.134733129572716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">
      <c r="A84" s="195">
        <f>'Données projet'!A98</f>
        <v>0</v>
      </c>
      <c r="B84" s="196">
        <f>'Données projet'!D98</f>
        <v>0</v>
      </c>
      <c r="C84" s="208"/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>
        <f>IF(R83+1&lt;=MIN('Données projet'!$E$9:$E$18),R83+1,"STOP")</f>
        <v>55</v>
      </c>
      <c r="S84" s="201">
        <f t="shared" si="6"/>
        <v>35.535629789064799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">
      <c r="A85" s="195">
        <f>'Données projet'!A99</f>
        <v>0</v>
      </c>
      <c r="B85" s="196">
        <f>'Données projet'!D99</f>
        <v>0</v>
      </c>
      <c r="C85" s="208"/>
      <c r="D85" s="194">
        <f t="shared" si="7"/>
        <v>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>
        <f>IF(R84+1&lt;=MIN('Données projet'!$E$9:$E$18),R84+1,"STOP")</f>
        <v>56</v>
      </c>
      <c r="S85" s="201">
        <f t="shared" si="6"/>
        <v>34.005387357956749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">
      <c r="A86" s="195">
        <f>'Données projet'!A100</f>
        <v>0</v>
      </c>
      <c r="B86" s="196">
        <f>'Données projet'!D100</f>
        <v>0</v>
      </c>
      <c r="C86" s="208"/>
      <c r="D86" s="194">
        <f t="shared" si="7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>
        <f>IF(R85+1&lt;=MIN('Données projet'!$E$9:$E$18),R85+1,"STOP")</f>
        <v>57</v>
      </c>
      <c r="S86" s="201">
        <f t="shared" si="6"/>
        <v>32.541040533929909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">
      <c r="A87" s="195">
        <f>'Données projet'!A101</f>
        <v>0</v>
      </c>
      <c r="B87" s="196">
        <f>'Données projet'!D101</f>
        <v>0</v>
      </c>
      <c r="C87" s="208"/>
      <c r="D87" s="194">
        <f t="shared" si="7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>
        <f>IF(R86+1&lt;=MIN('Données projet'!$E$9:$E$18),R86+1,"STOP")</f>
        <v>58</v>
      </c>
      <c r="S87" s="201">
        <f t="shared" si="6"/>
        <v>31.139751707109969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">
      <c r="A88" s="195">
        <f>'Données projet'!A102</f>
        <v>0</v>
      </c>
      <c r="B88" s="196">
        <f>'Données projet'!D102</f>
        <v>0</v>
      </c>
      <c r="C88" s="208"/>
      <c r="D88" s="194">
        <f t="shared" si="7"/>
        <v>0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>
        <f>IF(R87+1&lt;=MIN('Données projet'!$E$9:$E$18),R87+1,"STOP")</f>
        <v>59</v>
      </c>
      <c r="S88" s="201">
        <f t="shared" si="6"/>
        <v>29.798805461349254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">
      <c r="A89" s="195">
        <f>'Données projet'!A103</f>
        <v>0</v>
      </c>
      <c r="B89" s="196">
        <f>'Données projet'!D103</f>
        <v>0</v>
      </c>
      <c r="C89" s="208"/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>
        <f>IF(R88+1&lt;=MIN('Données projet'!$E$9:$E$18),R88+1,"STOP")</f>
        <v>60</v>
      </c>
      <c r="S89" s="201">
        <f t="shared" si="6"/>
        <v>28.515603312295941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">
      <c r="A90" s="195">
        <f>'Données projet'!A104</f>
        <v>0</v>
      </c>
      <c r="B90" s="196">
        <f>'Données projet'!D104</f>
        <v>0</v>
      </c>
      <c r="C90" s="208"/>
      <c r="D90" s="194">
        <f t="shared" si="7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>
        <f>IF(R89+1&lt;=MIN('Données projet'!$E$9:$E$18),R89+1,"STOP")</f>
        <v>61</v>
      </c>
      <c r="S90" s="201">
        <f t="shared" si="6"/>
        <v>27.287658672053528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">
      <c r="A91" s="195">
        <f>'Données projet'!A105</f>
        <v>0</v>
      </c>
      <c r="B91" s="196">
        <f>'Données projet'!D105</f>
        <v>0</v>
      </c>
      <c r="C91" s="208"/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>
        <f>IF(R90+1&lt;=MIN('Données projet'!$E$9:$E$18),R90+1,"STOP")</f>
        <v>62</v>
      </c>
      <c r="S91" s="201">
        <f t="shared" si="6"/>
        <v>26.112592030673245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">
      <c r="A92" s="195">
        <f>'Données projet'!A106</f>
        <v>0</v>
      </c>
      <c r="B92" s="196">
        <f>'Données projet'!D106</f>
        <v>0</v>
      </c>
      <c r="C92" s="208"/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>
        <f>IF(R91+1&lt;=MIN('Données projet'!$E$9:$E$18),R91+1,"STOP")</f>
        <v>63</v>
      </c>
      <c r="S92" s="201">
        <f t="shared" si="6"/>
        <v>24.988126345141854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">
      <c r="A93" s="195">
        <f>'Données projet'!A107</f>
        <v>0</v>
      </c>
      <c r="B93" s="196">
        <f>'Données projet'!D107</f>
        <v>0</v>
      </c>
      <c r="C93" s="208"/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>
        <f>IF(R92+1&lt;=MIN('Données projet'!$E$9:$E$18),R92+1,"STOP")</f>
        <v>64</v>
      </c>
      <c r="S93" s="201">
        <f t="shared" ref="S93:S98" si="8">$T$24/(1+$J$6)^R93</f>
        <v>23.912082626930019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>
        <f>IF(R93+1&lt;=MIN('Données projet'!$E$9:$E$18),R93+1,"STOP")</f>
        <v>65</v>
      </c>
      <c r="S94" s="201">
        <f t="shared" si="8"/>
        <v>22.882375719550257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3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>
        <f>IF(R94+1&lt;=MIN('Données projet'!$E$9:$E$18),R94+1,"STOP")</f>
        <v>66</v>
      </c>
      <c r="S95" s="201">
        <f t="shared" si="8"/>
        <v>21.897010257942835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">
      <c r="A96" s="49" t="s">
        <v>168</v>
      </c>
      <c r="B96" s="189" t="str">
        <f>IF('Données projet'!B12="","",'Données projet'!B12)</f>
        <v>Pin de Salzmann</v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>
        <f>IF(R95+1&lt;=MIN('Données projet'!$E$9:$E$18),R95+1,"STOP")</f>
        <v>67</v>
      </c>
      <c r="S96" s="201">
        <f t="shared" si="8"/>
        <v>20.95407680185917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>
        <f>IF(R96+1&lt;=MIN('Données projet'!$E$9:$E$18),R96+1,"STOP")</f>
        <v>68</v>
      </c>
      <c r="S97" s="201">
        <f t="shared" si="8"/>
        <v>20.051748135750405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3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>
        <f>IF(R97+1&lt;=MIN('Données projet'!$E$9:$E$18),R97+1,"STOP")</f>
        <v>69</v>
      </c>
      <c r="S98" s="201">
        <f t="shared" si="8"/>
        <v>19.18827572799082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3">
      <c r="A99" s="214">
        <v>0</v>
      </c>
      <c r="B99" s="217" t="s">
        <v>132</v>
      </c>
      <c r="C99" s="216" t="s">
        <v>132</v>
      </c>
      <c r="D99" s="215" t="s">
        <v>132</v>
      </c>
      <c r="E99" s="210"/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>
        <f>IF(R98+1&lt;=MIN('Données projet'!$E$9:$E$18),R98+1,"STOP")</f>
        <v>70</v>
      </c>
      <c r="S99" s="201">
        <f t="shared" ref="S99:S128" si="9">$T$24/(1+$J$6)^R99</f>
        <v>18.361986342574951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">
      <c r="A100" s="195">
        <f>'Données projet'!A114</f>
        <v>32</v>
      </c>
      <c r="B100" s="196">
        <f>'Données projet'!D114</f>
        <v>46</v>
      </c>
      <c r="C100" s="208">
        <v>10</v>
      </c>
      <c r="D100" s="194">
        <f>B100*C100</f>
        <v>460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>
        <f>IF(R99+1&lt;=MIN('Données projet'!$E$9:$E$18),R99+1,"STOP")</f>
        <v>71</v>
      </c>
      <c r="S100" s="201">
        <f t="shared" si="9"/>
        <v>17.571278796722442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">
      <c r="A101" s="195">
        <f>'Données projet'!A115</f>
        <v>40</v>
      </c>
      <c r="B101" s="196">
        <f>'Données projet'!D115</f>
        <v>56</v>
      </c>
      <c r="C101" s="208">
        <v>15</v>
      </c>
      <c r="D101" s="194">
        <f t="shared" ref="D101:D119" si="10">B101*C101</f>
        <v>840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>
        <f>IF(R100+1&lt;=MIN('Données projet'!$E$9:$E$18),R100+1,"STOP")</f>
        <v>72</v>
      </c>
      <c r="S101" s="201">
        <f t="shared" si="9"/>
        <v>16.814620858107606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">
      <c r="A102" s="195">
        <f>'Données projet'!A116</f>
        <v>49</v>
      </c>
      <c r="B102" s="196">
        <f>'Données projet'!D116</f>
        <v>64</v>
      </c>
      <c r="C102" s="208">
        <v>20</v>
      </c>
      <c r="D102" s="194">
        <f t="shared" si="10"/>
        <v>1280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>
        <f>IF(R101+1&lt;=MIN('Données projet'!$E$9:$E$18),R101+1,"STOP")</f>
        <v>73</v>
      </c>
      <c r="S102" s="201">
        <f t="shared" si="9"/>
        <v>16.090546275701058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">
      <c r="A103" s="195">
        <f>'Données projet'!A117</f>
        <v>60</v>
      </c>
      <c r="B103" s="196">
        <f>'Données projet'!D117</f>
        <v>71</v>
      </c>
      <c r="C103" s="208">
        <v>25</v>
      </c>
      <c r="D103" s="194">
        <f t="shared" si="10"/>
        <v>1775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>
        <f>IF(R102+1&lt;=MIN('Données projet'!$E$9:$E$18),R102+1,"STOP")</f>
        <v>74</v>
      </c>
      <c r="S103" s="201">
        <f t="shared" si="9"/>
        <v>15.397651938469913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">
      <c r="A104" s="195">
        <f>'Données projet'!A118</f>
        <v>73</v>
      </c>
      <c r="B104" s="196">
        <f>'Données projet'!D118</f>
        <v>67</v>
      </c>
      <c r="C104" s="208">
        <v>35</v>
      </c>
      <c r="D104" s="194">
        <f t="shared" si="10"/>
        <v>2345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>
        <f>IF(R103+1&lt;=MIN('Données projet'!$E$9:$E$18),R103+1,"STOP")</f>
        <v>75</v>
      </c>
      <c r="S104" s="201">
        <f t="shared" si="9"/>
        <v>14.73459515643054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">
      <c r="A105" s="195">
        <f>'Données projet'!A119</f>
        <v>89</v>
      </c>
      <c r="B105" s="196">
        <f>'Données projet'!D119</f>
        <v>281</v>
      </c>
      <c r="C105" s="208">
        <v>50</v>
      </c>
      <c r="D105" s="194">
        <f t="shared" si="10"/>
        <v>14050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>
        <f>IF(R104+1&lt;=MIN('Données projet'!$E$9:$E$18),R104+1,"STOP")</f>
        <v>76</v>
      </c>
      <c r="S105" s="201">
        <f t="shared" si="9"/>
        <v>14.100091058785209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">
      <c r="A106" s="195">
        <f>'Données projet'!A120</f>
        <v>0</v>
      </c>
      <c r="B106" s="196">
        <f>'Données projet'!D120</f>
        <v>0</v>
      </c>
      <c r="C106" s="208"/>
      <c r="D106" s="194">
        <f t="shared" si="10"/>
        <v>0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>
        <f>IF(R105+1&lt;=MIN('Données projet'!$E$9:$E$18),R105+1,"STOP")</f>
        <v>77</v>
      </c>
      <c r="S106" s="201">
        <f t="shared" si="9"/>
        <v>13.492910104100678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">
      <c r="A107" s="195">
        <f>'Données projet'!A121</f>
        <v>0</v>
      </c>
      <c r="B107" s="196">
        <f>'Données projet'!D121</f>
        <v>0</v>
      </c>
      <c r="C107" s="208"/>
      <c r="D107" s="194">
        <f t="shared" si="10"/>
        <v>0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>
        <f>IF(R106+1&lt;=MIN('Données projet'!$E$9:$E$18),R106+1,"STOP")</f>
        <v>78</v>
      </c>
      <c r="S107" s="201">
        <f t="shared" si="9"/>
        <v>12.911875697704001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">
      <c r="A108" s="195">
        <f>'Données projet'!A122</f>
        <v>0</v>
      </c>
      <c r="B108" s="196">
        <f>'Données projet'!D122</f>
        <v>0</v>
      </c>
      <c r="C108" s="208"/>
      <c r="D108" s="194">
        <f t="shared" si="10"/>
        <v>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>
        <f>IF(R107+1&lt;=MIN('Données projet'!$E$9:$E$18),R107+1,"STOP")</f>
        <v>79</v>
      </c>
      <c r="S108" s="201">
        <f t="shared" si="9"/>
        <v>12.355861911678469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">
      <c r="A109" s="195">
        <f>'Données projet'!A123</f>
        <v>0</v>
      </c>
      <c r="B109" s="196">
        <f>'Données projet'!D123</f>
        <v>0</v>
      </c>
      <c r="C109" s="208"/>
      <c r="D109" s="194">
        <f t="shared" si="10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>
        <f>IF(R108+1&lt;=MIN('Données projet'!$E$9:$E$18),R108+1,"STOP")</f>
        <v>80</v>
      </c>
      <c r="S109" s="201">
        <f t="shared" si="9"/>
        <v>11.823791303041601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">
      <c r="A110" s="195">
        <f>'Données projet'!A124</f>
        <v>0</v>
      </c>
      <c r="B110" s="196">
        <f>'Données projet'!D124</f>
        <v>0</v>
      </c>
      <c r="C110" s="208"/>
      <c r="D110" s="194">
        <f t="shared" si="10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str">
        <f>IF(R109+1&lt;=MIN('Données projet'!$E$9:$E$18),R109+1,"STOP")</f>
        <v>STOP</v>
      </c>
      <c r="S110" s="201" t="e">
        <f t="shared" si="9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">
      <c r="A111" s="195">
        <f>'Données projet'!A125</f>
        <v>0</v>
      </c>
      <c r="B111" s="196">
        <f>'Données projet'!D125</f>
        <v>0</v>
      </c>
      <c r="C111" s="208"/>
      <c r="D111" s="194">
        <f t="shared" si="10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9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">
      <c r="A112" s="195">
        <f>'Données projet'!A126</f>
        <v>0</v>
      </c>
      <c r="B112" s="196">
        <f>'Données projet'!D126</f>
        <v>0</v>
      </c>
      <c r="C112" s="208"/>
      <c r="D112" s="194">
        <f t="shared" si="10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9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3">
      <c r="A113" s="195">
        <f>'Données projet'!A127</f>
        <v>0</v>
      </c>
      <c r="B113" s="196">
        <f>'Données projet'!D127</f>
        <v>0</v>
      </c>
      <c r="C113" s="208"/>
      <c r="D113" s="194">
        <f t="shared" si="10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400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3">
      <c r="A114" s="195">
        <f>'Données projet'!A128</f>
        <v>0</v>
      </c>
      <c r="B114" s="196">
        <f>'Données projet'!D128</f>
        <v>0</v>
      </c>
      <c r="C114" s="208"/>
      <c r="D114" s="194">
        <f t="shared" si="10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400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3">
      <c r="A115" s="195">
        <f>'Données projet'!A129</f>
        <v>0</v>
      </c>
      <c r="B115" s="196">
        <f>'Données projet'!D129</f>
        <v>0</v>
      </c>
      <c r="C115" s="208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400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3">
      <c r="A116" s="195">
        <f>'Données projet'!A130</f>
        <v>0</v>
      </c>
      <c r="B116" s="196">
        <f>'Données projet'!D130</f>
        <v>0</v>
      </c>
      <c r="C116" s="208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400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3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400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3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400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3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400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3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400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3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400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3">
      <c r="A122" s="49" t="s">
        <v>169</v>
      </c>
      <c r="B122" s="189" t="str">
        <f>IF('Données projet'!B13="","",'Données projet'!B13)</f>
        <v>Sapin méditerranéen</v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400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3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400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3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400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3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400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3">
      <c r="A126" s="45">
        <f>'Données projet'!A140</f>
        <v>30</v>
      </c>
      <c r="B126" s="190">
        <f>'Données projet'!D140</f>
        <v>0</v>
      </c>
      <c r="C126" s="208"/>
      <c r="D126" s="197">
        <f>B126*C126</f>
        <v>0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400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3">
      <c r="A127" s="45">
        <f>'Données projet'!A141</f>
        <v>40</v>
      </c>
      <c r="B127" s="190">
        <f>'Données projet'!D141</f>
        <v>66</v>
      </c>
      <c r="C127" s="208">
        <v>10</v>
      </c>
      <c r="D127" s="197">
        <f t="shared" ref="D127:D145" si="11">B127*C127</f>
        <v>660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400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3">
      <c r="A128" s="45">
        <f>'Données projet'!A142</f>
        <v>50</v>
      </c>
      <c r="B128" s="190">
        <f>'Données projet'!D142</f>
        <v>58</v>
      </c>
      <c r="C128" s="208">
        <v>10</v>
      </c>
      <c r="D128" s="197">
        <f t="shared" si="11"/>
        <v>580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400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3">
      <c r="A129" s="45">
        <f>'Données projet'!A143</f>
        <v>60</v>
      </c>
      <c r="B129" s="190">
        <f>'Données projet'!D143</f>
        <v>58</v>
      </c>
      <c r="C129" s="208">
        <v>15</v>
      </c>
      <c r="D129" s="197">
        <f t="shared" si="11"/>
        <v>870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3">
      <c r="A130" s="45">
        <f>'Données projet'!A144</f>
        <v>70</v>
      </c>
      <c r="B130" s="190">
        <f>'Données projet'!D144</f>
        <v>62</v>
      </c>
      <c r="C130" s="208">
        <v>20</v>
      </c>
      <c r="D130" s="197">
        <f t="shared" si="11"/>
        <v>1240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3">
      <c r="A131" s="45">
        <f>'Données projet'!A145</f>
        <v>80</v>
      </c>
      <c r="B131" s="190">
        <f>'Données projet'!D145</f>
        <v>58</v>
      </c>
      <c r="C131" s="208">
        <v>25</v>
      </c>
      <c r="D131" s="197">
        <f t="shared" si="11"/>
        <v>1450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3">
      <c r="A132" s="45">
        <f>'Données projet'!A146</f>
        <v>90</v>
      </c>
      <c r="B132" s="190">
        <f>'Données projet'!D146</f>
        <v>50</v>
      </c>
      <c r="C132" s="208">
        <v>30</v>
      </c>
      <c r="D132" s="197">
        <f t="shared" si="11"/>
        <v>1500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3">
      <c r="A133" s="45">
        <f>'Données projet'!A147</f>
        <v>100</v>
      </c>
      <c r="B133" s="190">
        <f>'Données projet'!D147</f>
        <v>45</v>
      </c>
      <c r="C133" s="208">
        <v>40</v>
      </c>
      <c r="D133" s="197">
        <f t="shared" si="11"/>
        <v>1800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">
      <c r="A134" s="45">
        <f>'Données projet'!A148</f>
        <v>110</v>
      </c>
      <c r="B134" s="190">
        <f>'Données projet'!D148</f>
        <v>593</v>
      </c>
      <c r="C134" s="208">
        <v>50</v>
      </c>
      <c r="D134" s="197">
        <f t="shared" si="11"/>
        <v>29650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">
      <c r="A135" s="45">
        <f>'Données projet'!A149</f>
        <v>0</v>
      </c>
      <c r="B135" s="190">
        <f>'Données projet'!D149</f>
        <v>0</v>
      </c>
      <c r="C135" s="208"/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">
      <c r="A136" s="45">
        <f>'Données projet'!A150</f>
        <v>0</v>
      </c>
      <c r="B136" s="190">
        <f>'Données projet'!D150</f>
        <v>0</v>
      </c>
      <c r="C136" s="208"/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">
      <c r="A137" s="45">
        <f>'Données projet'!A151</f>
        <v>0</v>
      </c>
      <c r="B137" s="190">
        <f>'Données projet'!D151</f>
        <v>0</v>
      </c>
      <c r="C137" s="208"/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">
      <c r="A138" s="45">
        <f>'Données projet'!A152</f>
        <v>0</v>
      </c>
      <c r="B138" s="190">
        <f>'Données projet'!D152</f>
        <v>0</v>
      </c>
      <c r="C138" s="208"/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">
      <c r="A139" s="45">
        <f>'Données projet'!A153</f>
        <v>0</v>
      </c>
      <c r="B139" s="190">
        <f>'Données projet'!D153</f>
        <v>0</v>
      </c>
      <c r="C139" s="208"/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">
      <c r="A140" s="45">
        <f>'Données projet'!A154</f>
        <v>0</v>
      </c>
      <c r="B140" s="190">
        <f>'Données projet'!D154</f>
        <v>0</v>
      </c>
      <c r="C140" s="208"/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">
      <c r="A141" s="45">
        <f>'Données projet'!A155</f>
        <v>0</v>
      </c>
      <c r="B141" s="190">
        <f>'Données projet'!D155</f>
        <v>0</v>
      </c>
      <c r="C141" s="208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">
      <c r="A142" s="45">
        <f>'Données projet'!A156</f>
        <v>0</v>
      </c>
      <c r="B142" s="190">
        <f>'Données projet'!D156</f>
        <v>0</v>
      </c>
      <c r="C142" s="208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">
      <c r="A152" s="195">
        <f>'Données projet'!A166</f>
        <v>0</v>
      </c>
      <c r="B152" s="196">
        <f>'Données projet'!D166</f>
        <v>0</v>
      </c>
      <c r="C152" s="210"/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">
      <c r="A153" s="195">
        <f>'Données projet'!A167</f>
        <v>0</v>
      </c>
      <c r="B153" s="196">
        <f>'Données projet'!D167</f>
        <v>0</v>
      </c>
      <c r="C153" s="210"/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">
      <c r="A154" s="195">
        <f>'Données projet'!A168</f>
        <v>0</v>
      </c>
      <c r="B154" s="196">
        <f>'Données projet'!D168</f>
        <v>0</v>
      </c>
      <c r="C154" s="210"/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">
      <c r="A155" s="195">
        <f>'Données projet'!A169</f>
        <v>0</v>
      </c>
      <c r="B155" s="196">
        <f>'Données projet'!D169</f>
        <v>0</v>
      </c>
      <c r="C155" s="210"/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3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3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3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3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3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3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3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3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3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3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3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3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3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3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3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3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3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3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3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3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3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3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3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3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3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3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3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3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3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3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3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3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3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3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3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3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3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3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3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3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3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3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  <mergeCell ref="E42:F42"/>
    <mergeCell ref="J36:L36"/>
    <mergeCell ref="J33:L33"/>
    <mergeCell ref="J34:L34"/>
    <mergeCell ref="J35:L35"/>
    <mergeCell ref="I37:L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2021-10-11T07:29:27Z</dcterms:modified>
</cp:coreProperties>
</file>