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Hanes France\71 - Pierreclos\Dossier labellisation\"/>
    </mc:Choice>
  </mc:AlternateContent>
  <bookViews>
    <workbookView xWindow="0" yWindow="0" windowWidth="20490" windowHeight="774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3" i="1" l="1"/>
  <c r="D100" i="1"/>
  <c r="B100" i="1"/>
  <c r="D98" i="1"/>
  <c r="B98" i="1"/>
  <c r="D96" i="1"/>
  <c r="B96" i="1"/>
  <c r="D94" i="1"/>
  <c r="B94" i="1"/>
  <c r="D92" i="1"/>
  <c r="B92" i="1"/>
  <c r="D90" i="1"/>
  <c r="B90" i="1"/>
  <c r="D44" i="1"/>
  <c r="F14" i="1" l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FY202" i="2" s="1" a="1"/>
  <c r="FY202" i="2" s="1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I199" i="2" s="1" a="1"/>
  <c r="EI199" i="2" s="1"/>
  <c r="EQ199" i="2"/>
  <c r="ER199" i="2"/>
  <c r="ES199" i="2"/>
  <c r="ET199" i="2"/>
  <c r="EU199" i="2"/>
  <c r="EG200" i="2"/>
  <c r="EH200" i="2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I202" i="2" s="1" a="1"/>
  <c r="EI202" i="2" s="1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V198" i="2"/>
  <c r="DW198" i="2"/>
  <c r="DX198" i="2"/>
  <c r="DY198" i="2"/>
  <c r="DZ198" i="2"/>
  <c r="DL199" i="2"/>
  <c r="DM199" i="2"/>
  <c r="DV199" i="2"/>
  <c r="DW199" i="2"/>
  <c r="DX199" i="2"/>
  <c r="DY199" i="2"/>
  <c r="DZ199" i="2"/>
  <c r="DL200" i="2"/>
  <c r="DM200" i="2"/>
  <c r="DN199" i="2" s="1" a="1"/>
  <c r="DN199" i="2" s="1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N202" i="2" s="1" a="1"/>
  <c r="DN202" i="2" s="1"/>
  <c r="DV202" i="2"/>
  <c r="DW202" i="2"/>
  <c r="DX202" i="2"/>
  <c r="DY202" i="2"/>
  <c r="DZ202" i="2"/>
  <c r="DL203" i="2"/>
  <c r="DM203" i="2"/>
  <c r="DN203" i="2" a="1"/>
  <c r="DN203" i="2" s="1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CS202" i="2" s="1" a="1"/>
  <c r="CS202" i="2" s="1"/>
  <c r="DA202" i="2"/>
  <c r="DB202" i="2"/>
  <c r="DC202" i="2"/>
  <c r="DD202" i="2"/>
  <c r="DE202" i="2"/>
  <c r="CQ203" i="2"/>
  <c r="CR203" i="2"/>
  <c r="CS203" i="2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H202" i="2" s="1" a="1"/>
  <c r="AH202" i="2" s="1"/>
  <c r="AF203" i="2"/>
  <c r="AG203" i="2"/>
  <c r="AH203" i="2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M200" i="2" s="1" a="1"/>
  <c r="M200" i="2" s="1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DN196" i="2" l="1" a="1"/>
  <c r="DN196" i="2" s="1"/>
  <c r="EI200" i="2" a="1"/>
  <c r="EI200" i="2" s="1"/>
  <c r="EI201" i="2" a="1"/>
  <c r="EI201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DN198" i="2" a="1"/>
  <c r="DN198" i="2" s="1"/>
  <c r="DN189" i="2" a="1"/>
  <c r="DN189" i="2" s="1"/>
  <c r="DN201" i="2" a="1"/>
  <c r="DN201" i="2" s="1"/>
  <c r="DN182" i="2" a="1"/>
  <c r="DN182" i="2" s="1"/>
  <c r="DN194" i="2" a="1"/>
  <c r="DN194" i="2" s="1"/>
  <c r="DN176" i="2" a="1"/>
  <c r="DN17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M197" i="2" a="1"/>
  <c r="M197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13" i="2"/>
  <c r="GE125" i="2"/>
  <c r="GE21" i="2"/>
  <c r="GE29" i="2"/>
  <c r="GE45" i="2"/>
  <c r="GE93" i="2"/>
  <c r="GE149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5" i="2"/>
  <c r="GE133" i="2"/>
  <c r="GE173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69" i="2"/>
  <c r="GE117" i="2"/>
  <c r="GE165" i="2"/>
  <c r="GE197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86" i="2"/>
  <c r="GE194" i="2"/>
  <c r="GE202" i="2"/>
  <c r="GE61" i="2"/>
  <c r="GE109" i="2"/>
  <c r="GE157" i="2"/>
  <c r="GE189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5" i="2"/>
  <c r="GE37" i="2"/>
  <c r="GE53" i="2"/>
  <c r="GE77" i="2"/>
  <c r="GE101" i="2"/>
  <c r="GE141" i="2"/>
  <c r="GE181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57" i="2"/>
  <c r="GZ165" i="2"/>
  <c r="GZ189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73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8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97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GZ149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CU4" i="2"/>
  <c r="CV4" i="2" s="1"/>
  <c r="CW4" i="2" s="1"/>
  <c r="CX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BZ4" i="2"/>
  <c r="CA4" i="2" s="1"/>
  <c r="CB4" i="2" s="1"/>
  <c r="CC4" i="2" s="1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J7" i="2" s="1"/>
  <c r="EJ8" i="2" s="1"/>
  <c r="EJ9" i="2" s="1"/>
  <c r="EJ10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FZ5" i="2" l="1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9" i="2"/>
  <c r="FE10" i="2" s="1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11" i="2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D21" i="2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BE4" i="2"/>
  <c r="BF4" i="2" s="1"/>
  <c r="BG4" i="2" s="1"/>
  <c r="BH4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FJ4" i="2" l="1"/>
  <c r="FJ12" i="2"/>
  <c r="FJ20" i="2"/>
  <c r="FJ28" i="2"/>
  <c r="FJ36" i="2"/>
  <c r="FJ44" i="2"/>
  <c r="FJ52" i="2"/>
  <c r="FJ60" i="2"/>
  <c r="FJ68" i="2"/>
  <c r="FJ76" i="2"/>
  <c r="FJ84" i="2"/>
  <c r="FJ92" i="2"/>
  <c r="FJ100" i="2"/>
  <c r="FJ108" i="2"/>
  <c r="FJ116" i="2"/>
  <c r="FJ124" i="2"/>
  <c r="FJ132" i="2"/>
  <c r="FJ140" i="2"/>
  <c r="FJ148" i="2"/>
  <c r="FJ156" i="2"/>
  <c r="FJ164" i="2"/>
  <c r="FJ172" i="2"/>
  <c r="FJ180" i="2"/>
  <c r="FJ188" i="2"/>
  <c r="FJ196" i="2"/>
  <c r="FJ5" i="2"/>
  <c r="FJ13" i="2"/>
  <c r="FJ21" i="2"/>
  <c r="FJ29" i="2"/>
  <c r="FJ37" i="2"/>
  <c r="FJ45" i="2"/>
  <c r="FJ53" i="2"/>
  <c r="FJ61" i="2"/>
  <c r="FJ69" i="2"/>
  <c r="FJ77" i="2"/>
  <c r="FJ85" i="2"/>
  <c r="FJ93" i="2"/>
  <c r="FJ101" i="2"/>
  <c r="FJ109" i="2"/>
  <c r="FJ117" i="2"/>
  <c r="FJ125" i="2"/>
  <c r="FJ133" i="2"/>
  <c r="FJ141" i="2"/>
  <c r="FJ149" i="2"/>
  <c r="FJ157" i="2"/>
  <c r="FJ165" i="2"/>
  <c r="FJ173" i="2"/>
  <c r="FJ181" i="2"/>
  <c r="FJ189" i="2"/>
  <c r="FJ197" i="2"/>
  <c r="FJ6" i="2"/>
  <c r="FJ14" i="2"/>
  <c r="FJ22" i="2"/>
  <c r="FJ30" i="2"/>
  <c r="FJ38" i="2"/>
  <c r="FJ46" i="2"/>
  <c r="FJ54" i="2"/>
  <c r="FJ62" i="2"/>
  <c r="FJ70" i="2"/>
  <c r="FJ78" i="2"/>
  <c r="FJ86" i="2"/>
  <c r="FJ94" i="2"/>
  <c r="FJ102" i="2"/>
  <c r="FJ110" i="2"/>
  <c r="FJ118" i="2"/>
  <c r="FJ126" i="2"/>
  <c r="FJ134" i="2"/>
  <c r="FJ142" i="2"/>
  <c r="FJ150" i="2"/>
  <c r="FJ158" i="2"/>
  <c r="FJ166" i="2"/>
  <c r="FJ174" i="2"/>
  <c r="FJ182" i="2"/>
  <c r="FJ190" i="2"/>
  <c r="FJ198" i="2"/>
  <c r="FJ7" i="2"/>
  <c r="FJ15" i="2"/>
  <c r="FJ23" i="2"/>
  <c r="FJ31" i="2"/>
  <c r="FJ39" i="2"/>
  <c r="FJ47" i="2"/>
  <c r="FJ55" i="2"/>
  <c r="FJ63" i="2"/>
  <c r="FJ71" i="2"/>
  <c r="FJ79" i="2"/>
  <c r="FJ87" i="2"/>
  <c r="FJ95" i="2"/>
  <c r="FJ103" i="2"/>
  <c r="FJ111" i="2"/>
  <c r="FJ119" i="2"/>
  <c r="FJ127" i="2"/>
  <c r="FJ135" i="2"/>
  <c r="FJ143" i="2"/>
  <c r="FJ151" i="2"/>
  <c r="FJ159" i="2"/>
  <c r="FJ167" i="2"/>
  <c r="FJ175" i="2"/>
  <c r="FJ183" i="2"/>
  <c r="FJ191" i="2"/>
  <c r="FJ199" i="2"/>
  <c r="FJ8" i="2"/>
  <c r="FJ16" i="2"/>
  <c r="FJ24" i="2"/>
  <c r="FJ32" i="2"/>
  <c r="FJ40" i="2"/>
  <c r="FJ48" i="2"/>
  <c r="FJ56" i="2"/>
  <c r="FJ64" i="2"/>
  <c r="FJ72" i="2"/>
  <c r="FJ80" i="2"/>
  <c r="FJ88" i="2"/>
  <c r="FJ96" i="2"/>
  <c r="FJ104" i="2"/>
  <c r="FJ112" i="2"/>
  <c r="FJ120" i="2"/>
  <c r="FJ128" i="2"/>
  <c r="FJ136" i="2"/>
  <c r="FJ144" i="2"/>
  <c r="FJ152" i="2"/>
  <c r="FJ160" i="2"/>
  <c r="FJ168" i="2"/>
  <c r="FJ176" i="2"/>
  <c r="FJ184" i="2"/>
  <c r="FJ192" i="2"/>
  <c r="FJ200" i="2"/>
  <c r="FJ9" i="2"/>
  <c r="FJ17" i="2"/>
  <c r="FJ25" i="2"/>
  <c r="FJ33" i="2"/>
  <c r="FJ41" i="2"/>
  <c r="FJ49" i="2"/>
  <c r="FJ57" i="2"/>
  <c r="FJ65" i="2"/>
  <c r="FJ73" i="2"/>
  <c r="FJ81" i="2"/>
  <c r="FJ89" i="2"/>
  <c r="FJ97" i="2"/>
  <c r="FJ105" i="2"/>
  <c r="FJ113" i="2"/>
  <c r="FJ121" i="2"/>
  <c r="FJ129" i="2"/>
  <c r="FJ137" i="2"/>
  <c r="FJ145" i="2"/>
  <c r="FJ153" i="2"/>
  <c r="FJ161" i="2"/>
  <c r="FJ169" i="2"/>
  <c r="FJ177" i="2"/>
  <c r="FJ185" i="2"/>
  <c r="FJ193" i="2"/>
  <c r="FJ201" i="2"/>
  <c r="FJ10" i="2"/>
  <c r="FJ18" i="2"/>
  <c r="FJ26" i="2"/>
  <c r="FJ34" i="2"/>
  <c r="FJ42" i="2"/>
  <c r="FJ50" i="2"/>
  <c r="FJ58" i="2"/>
  <c r="FJ66" i="2"/>
  <c r="FJ74" i="2"/>
  <c r="FJ82" i="2"/>
  <c r="FJ90" i="2"/>
  <c r="FJ98" i="2"/>
  <c r="FJ106" i="2"/>
  <c r="FJ114" i="2"/>
  <c r="FJ122" i="2"/>
  <c r="FJ130" i="2"/>
  <c r="FJ138" i="2"/>
  <c r="FJ146" i="2"/>
  <c r="FJ154" i="2"/>
  <c r="FJ162" i="2"/>
  <c r="FJ170" i="2"/>
  <c r="FJ178" i="2"/>
  <c r="FJ186" i="2"/>
  <c r="FJ194" i="2"/>
  <c r="FJ202" i="2"/>
  <c r="FJ11" i="2"/>
  <c r="FJ19" i="2"/>
  <c r="FJ27" i="2"/>
  <c r="FJ35" i="2"/>
  <c r="FJ43" i="2"/>
  <c r="FJ51" i="2"/>
  <c r="FJ59" i="2"/>
  <c r="FJ67" i="2"/>
  <c r="FJ75" i="2"/>
  <c r="FJ83" i="2"/>
  <c r="FJ91" i="2"/>
  <c r="FJ99" i="2"/>
  <c r="FJ107" i="2"/>
  <c r="FJ115" i="2"/>
  <c r="FJ123" i="2"/>
  <c r="FJ131" i="2"/>
  <c r="FJ139" i="2"/>
  <c r="FJ147" i="2"/>
  <c r="FJ155" i="2"/>
  <c r="FJ163" i="2"/>
  <c r="FJ171" i="2"/>
  <c r="FJ179" i="2"/>
  <c r="FJ187" i="2"/>
  <c r="FJ195" i="2"/>
  <c r="FJ203" i="2"/>
  <c r="EO4" i="2"/>
  <c r="EO12" i="2"/>
  <c r="EO20" i="2"/>
  <c r="EO28" i="2"/>
  <c r="EO36" i="2"/>
  <c r="EO44" i="2"/>
  <c r="EO52" i="2"/>
  <c r="EO60" i="2"/>
  <c r="EO68" i="2"/>
  <c r="EO76" i="2"/>
  <c r="EO84" i="2"/>
  <c r="EO92" i="2"/>
  <c r="EO100" i="2"/>
  <c r="EO108" i="2"/>
  <c r="EO116" i="2"/>
  <c r="EO124" i="2"/>
  <c r="EO132" i="2"/>
  <c r="EO140" i="2"/>
  <c r="EO148" i="2"/>
  <c r="EO156" i="2"/>
  <c r="EO164" i="2"/>
  <c r="EO172" i="2"/>
  <c r="EO180" i="2"/>
  <c r="EO188" i="2"/>
  <c r="EO196" i="2"/>
  <c r="EO5" i="2"/>
  <c r="EO13" i="2"/>
  <c r="EO21" i="2"/>
  <c r="EO29" i="2"/>
  <c r="EO37" i="2"/>
  <c r="EO45" i="2"/>
  <c r="EO53" i="2"/>
  <c r="EO61" i="2"/>
  <c r="EO69" i="2"/>
  <c r="EO77" i="2"/>
  <c r="EO85" i="2"/>
  <c r="EO93" i="2"/>
  <c r="EO101" i="2"/>
  <c r="EO109" i="2"/>
  <c r="EO117" i="2"/>
  <c r="EO125" i="2"/>
  <c r="EO133" i="2"/>
  <c r="EO141" i="2"/>
  <c r="EO149" i="2"/>
  <c r="EO157" i="2"/>
  <c r="EO165" i="2"/>
  <c r="EO173" i="2"/>
  <c r="EO181" i="2"/>
  <c r="EO189" i="2"/>
  <c r="EO197" i="2"/>
  <c r="EO6" i="2"/>
  <c r="EO14" i="2"/>
  <c r="EO22" i="2"/>
  <c r="EO30" i="2"/>
  <c r="EO38" i="2"/>
  <c r="EO46" i="2"/>
  <c r="EO54" i="2"/>
  <c r="EO62" i="2"/>
  <c r="EO70" i="2"/>
  <c r="EO78" i="2"/>
  <c r="EO86" i="2"/>
  <c r="EO94" i="2"/>
  <c r="EO102" i="2"/>
  <c r="EO110" i="2"/>
  <c r="EO118" i="2"/>
  <c r="EO126" i="2"/>
  <c r="EO134" i="2"/>
  <c r="EO142" i="2"/>
  <c r="EO150" i="2"/>
  <c r="EO158" i="2"/>
  <c r="EO166" i="2"/>
  <c r="EO174" i="2"/>
  <c r="EO182" i="2"/>
  <c r="EO190" i="2"/>
  <c r="EO198" i="2"/>
  <c r="EO7" i="2"/>
  <c r="EO15" i="2"/>
  <c r="EO23" i="2"/>
  <c r="EO31" i="2"/>
  <c r="EO39" i="2"/>
  <c r="EO47" i="2"/>
  <c r="EO55" i="2"/>
  <c r="EO63" i="2"/>
  <c r="EO71" i="2"/>
  <c r="EO79" i="2"/>
  <c r="EO87" i="2"/>
  <c r="EO95" i="2"/>
  <c r="EO103" i="2"/>
  <c r="EO111" i="2"/>
  <c r="EO119" i="2"/>
  <c r="EO127" i="2"/>
  <c r="EO135" i="2"/>
  <c r="EO143" i="2"/>
  <c r="EO151" i="2"/>
  <c r="EO159" i="2"/>
  <c r="EO167" i="2"/>
  <c r="EO175" i="2"/>
  <c r="EO183" i="2"/>
  <c r="EO191" i="2"/>
  <c r="EO199" i="2"/>
  <c r="EO8" i="2"/>
  <c r="EO16" i="2"/>
  <c r="EO24" i="2"/>
  <c r="EO32" i="2"/>
  <c r="EO40" i="2"/>
  <c r="EO48" i="2"/>
  <c r="EO56" i="2"/>
  <c r="EO64" i="2"/>
  <c r="EO72" i="2"/>
  <c r="EO80" i="2"/>
  <c r="EO88" i="2"/>
  <c r="EO96" i="2"/>
  <c r="EO104" i="2"/>
  <c r="EO112" i="2"/>
  <c r="EO120" i="2"/>
  <c r="EO128" i="2"/>
  <c r="EO136" i="2"/>
  <c r="EO144" i="2"/>
  <c r="EO152" i="2"/>
  <c r="EO160" i="2"/>
  <c r="EO168" i="2"/>
  <c r="EO176" i="2"/>
  <c r="EO184" i="2"/>
  <c r="EO192" i="2"/>
  <c r="EO200" i="2"/>
  <c r="EO9" i="2"/>
  <c r="EO17" i="2"/>
  <c r="EO25" i="2"/>
  <c r="EO33" i="2"/>
  <c r="EO41" i="2"/>
  <c r="EO49" i="2"/>
  <c r="EO57" i="2"/>
  <c r="EO65" i="2"/>
  <c r="EO73" i="2"/>
  <c r="EO81" i="2"/>
  <c r="EO89" i="2"/>
  <c r="EO97" i="2"/>
  <c r="EO105" i="2"/>
  <c r="EO113" i="2"/>
  <c r="EO121" i="2"/>
  <c r="EO129" i="2"/>
  <c r="EO137" i="2"/>
  <c r="EO145" i="2"/>
  <c r="EO153" i="2"/>
  <c r="EO161" i="2"/>
  <c r="EO169" i="2"/>
  <c r="EO177" i="2"/>
  <c r="EO185" i="2"/>
  <c r="EO193" i="2"/>
  <c r="EO201" i="2"/>
  <c r="EO10" i="2"/>
  <c r="EO18" i="2"/>
  <c r="EO26" i="2"/>
  <c r="EO34" i="2"/>
  <c r="EO42" i="2"/>
  <c r="EO50" i="2"/>
  <c r="EO58" i="2"/>
  <c r="EO66" i="2"/>
  <c r="EO74" i="2"/>
  <c r="EO82" i="2"/>
  <c r="EO90" i="2"/>
  <c r="EO98" i="2"/>
  <c r="EO106" i="2"/>
  <c r="EO114" i="2"/>
  <c r="EO122" i="2"/>
  <c r="EO130" i="2"/>
  <c r="EO138" i="2"/>
  <c r="EO146" i="2"/>
  <c r="EO154" i="2"/>
  <c r="EO162" i="2"/>
  <c r="EO170" i="2"/>
  <c r="EO178" i="2"/>
  <c r="EO186" i="2"/>
  <c r="EO194" i="2"/>
  <c r="EO202" i="2"/>
  <c r="EO11" i="2"/>
  <c r="EO19" i="2"/>
  <c r="EO27" i="2"/>
  <c r="EO35" i="2"/>
  <c r="EO43" i="2"/>
  <c r="EO51" i="2"/>
  <c r="EO59" i="2"/>
  <c r="EO67" i="2"/>
  <c r="EO75" i="2"/>
  <c r="EO83" i="2"/>
  <c r="EO91" i="2"/>
  <c r="EO99" i="2"/>
  <c r="EO107" i="2"/>
  <c r="EO115" i="2"/>
  <c r="EO123" i="2"/>
  <c r="EO131" i="2"/>
  <c r="EO139" i="2"/>
  <c r="EO147" i="2"/>
  <c r="EO155" i="2"/>
  <c r="EO163" i="2"/>
  <c r="EO171" i="2"/>
  <c r="EO179" i="2"/>
  <c r="EO187" i="2"/>
  <c r="EO195" i="2"/>
  <c r="EO203" i="2"/>
  <c r="O5" i="2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N7" i="2"/>
  <c r="P5" i="2"/>
  <c r="Q5" i="2" s="1"/>
  <c r="R5" i="2" s="1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N8" i="2"/>
  <c r="P6" i="2"/>
  <c r="Q6" i="2" s="1"/>
  <c r="R6" i="2" s="1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O8" i="2" l="1"/>
  <c r="N9" i="2"/>
  <c r="P7" i="2"/>
  <c r="Q7" i="2" s="1"/>
  <c r="R7" i="2" s="1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N10" i="2"/>
  <c r="P8" i="2"/>
  <c r="Q8" i="2" s="1"/>
  <c r="R8" i="2" s="1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N11" i="2"/>
  <c r="P9" i="2"/>
  <c r="Q9" i="2" s="1"/>
  <c r="R9" i="2" s="1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N12" i="2"/>
  <c r="P10" i="2"/>
  <c r="Q10" i="2" s="1"/>
  <c r="R10" i="2" s="1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N13" i="2"/>
  <c r="P11" i="2"/>
  <c r="Q11" i="2" s="1"/>
  <c r="R11" i="2" s="1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N14" i="2"/>
  <c r="P12" i="2"/>
  <c r="Q12" i="2" s="1"/>
  <c r="R12" i="2" s="1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N15" i="2"/>
  <c r="P13" i="2"/>
  <c r="Q13" i="2" s="1"/>
  <c r="R13" i="2" s="1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P14" i="2"/>
  <c r="Q14" i="2" s="1"/>
  <c r="R14" i="2" s="1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O16" i="2" l="1"/>
  <c r="N17" i="2"/>
  <c r="P15" i="2"/>
  <c r="Q15" i="2" s="1"/>
  <c r="R15" i="2" s="1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O17" i="2" l="1"/>
  <c r="N18" i="2"/>
  <c r="P16" i="2"/>
  <c r="Q16" i="2" s="1"/>
  <c r="R16" i="2" s="1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N19" i="2"/>
  <c r="P17" i="2"/>
  <c r="Q17" i="2" s="1"/>
  <c r="R17" i="2" s="1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N20" i="2"/>
  <c r="P18" i="2"/>
  <c r="Q18" i="2" s="1"/>
  <c r="R18" i="2" s="1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O20" i="2" l="1"/>
  <c r="N21" i="2"/>
  <c r="P19" i="2"/>
  <c r="Q19" i="2" s="1"/>
  <c r="R19" i="2" s="1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0" i="2"/>
  <c r="Q20" i="2" s="1"/>
  <c r="R20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P21" i="2" l="1"/>
  <c r="Q21" i="2" s="1"/>
  <c r="R21" i="2" s="1"/>
  <c r="N23" i="2"/>
  <c r="O22" i="2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P22" i="2" l="1"/>
  <c r="Q22" i="2" s="1"/>
  <c r="R22" i="2" s="1"/>
  <c r="N24" i="2"/>
  <c r="O23" i="2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P23" i="2" l="1"/>
  <c r="Q23" i="2" s="1"/>
  <c r="R23" i="2" s="1"/>
  <c r="N25" i="2"/>
  <c r="O24" i="2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N26" i="2" l="1"/>
  <c r="O25" i="2"/>
  <c r="P24" i="2"/>
  <c r="Q24" i="2" s="1"/>
  <c r="R24" i="2" s="1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P25" i="2" l="1"/>
  <c r="Q25" i="2" s="1"/>
  <c r="R25" i="2" s="1"/>
  <c r="N27" i="2"/>
  <c r="O26" i="2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P26" i="2" l="1"/>
  <c r="Q26" i="2" s="1"/>
  <c r="R26" i="2" s="1"/>
  <c r="N28" i="2"/>
  <c r="O27" i="2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P27" i="2" l="1"/>
  <c r="Q27" i="2" s="1"/>
  <c r="R27" i="2" s="1"/>
  <c r="N29" i="2"/>
  <c r="O28" i="2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P28" i="2" l="1"/>
  <c r="Q28" i="2" s="1"/>
  <c r="R28" i="2" s="1"/>
  <c r="N30" i="2"/>
  <c r="O29" i="2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P29" i="2" l="1"/>
  <c r="Q29" i="2" s="1"/>
  <c r="R29" i="2" s="1"/>
  <c r="N31" i="2"/>
  <c r="O30" i="2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P30" i="2" l="1"/>
  <c r="Q30" i="2" s="1"/>
  <c r="R30" i="2" s="1"/>
  <c r="N32" i="2"/>
  <c r="O31" i="2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P31" i="2" l="1"/>
  <c r="Q31" i="2" s="1"/>
  <c r="R31" i="2" s="1"/>
  <c r="N33" i="2"/>
  <c r="O32" i="2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GF4" i="2" l="1"/>
  <c r="GF12" i="2"/>
  <c r="GF20" i="2"/>
  <c r="GF28" i="2"/>
  <c r="GF36" i="2"/>
  <c r="GF44" i="2"/>
  <c r="GF52" i="2"/>
  <c r="GF60" i="2"/>
  <c r="GF68" i="2"/>
  <c r="GF7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5" i="2"/>
  <c r="GF13" i="2"/>
  <c r="GF21" i="2"/>
  <c r="GF29" i="2"/>
  <c r="GF37" i="2"/>
  <c r="GF45" i="2"/>
  <c r="GF53" i="2"/>
  <c r="GF61" i="2"/>
  <c r="GF69" i="2"/>
  <c r="GF77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6" i="2"/>
  <c r="GF14" i="2"/>
  <c r="GF22" i="2"/>
  <c r="GF30" i="2"/>
  <c r="GF38" i="2"/>
  <c r="GF46" i="2"/>
  <c r="GF54" i="2"/>
  <c r="GF62" i="2"/>
  <c r="GF70" i="2"/>
  <c r="GF78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7" i="2"/>
  <c r="GF15" i="2"/>
  <c r="GF23" i="2"/>
  <c r="GF31" i="2"/>
  <c r="GF39" i="2"/>
  <c r="GF47" i="2"/>
  <c r="GF55" i="2"/>
  <c r="GF63" i="2"/>
  <c r="GF71" i="2"/>
  <c r="GF79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8" i="2"/>
  <c r="GF16" i="2"/>
  <c r="GF24" i="2"/>
  <c r="GF32" i="2"/>
  <c r="GF40" i="2"/>
  <c r="GF48" i="2"/>
  <c r="GF56" i="2"/>
  <c r="GF64" i="2"/>
  <c r="GF72" i="2"/>
  <c r="GF80" i="2"/>
  <c r="GF88" i="2"/>
  <c r="GF96" i="2"/>
  <c r="GF104" i="2"/>
  <c r="GF112" i="2"/>
  <c r="GF120" i="2"/>
  <c r="GF128" i="2"/>
  <c r="GF136" i="2"/>
  <c r="GF144" i="2"/>
  <c r="GF152" i="2"/>
  <c r="GF160" i="2"/>
  <c r="GF168" i="2"/>
  <c r="GF176" i="2"/>
  <c r="GF184" i="2"/>
  <c r="GF192" i="2"/>
  <c r="GF200" i="2"/>
  <c r="GF9" i="2"/>
  <c r="GF17" i="2"/>
  <c r="GF25" i="2"/>
  <c r="GF33" i="2"/>
  <c r="GF41" i="2"/>
  <c r="GF49" i="2"/>
  <c r="GF57" i="2"/>
  <c r="GF65" i="2"/>
  <c r="GF73" i="2"/>
  <c r="GF81" i="2"/>
  <c r="GF89" i="2"/>
  <c r="GF97" i="2"/>
  <c r="GF105" i="2"/>
  <c r="GF113" i="2"/>
  <c r="GF121" i="2"/>
  <c r="GF129" i="2"/>
  <c r="GF137" i="2"/>
  <c r="GF145" i="2"/>
  <c r="GF153" i="2"/>
  <c r="GF161" i="2"/>
  <c r="GF169" i="2"/>
  <c r="GF177" i="2"/>
  <c r="GF185" i="2"/>
  <c r="GF193" i="2"/>
  <c r="GF201" i="2"/>
  <c r="GF10" i="2"/>
  <c r="GF18" i="2"/>
  <c r="GF26" i="2"/>
  <c r="GF34" i="2"/>
  <c r="GF42" i="2"/>
  <c r="GF50" i="2"/>
  <c r="GF58" i="2"/>
  <c r="GF66" i="2"/>
  <c r="GF74" i="2"/>
  <c r="GF82" i="2"/>
  <c r="GF90" i="2"/>
  <c r="GF98" i="2"/>
  <c r="GF106" i="2"/>
  <c r="GF114" i="2"/>
  <c r="GF122" i="2"/>
  <c r="GF130" i="2"/>
  <c r="GF138" i="2"/>
  <c r="GF146" i="2"/>
  <c r="GF154" i="2"/>
  <c r="GF162" i="2"/>
  <c r="GF170" i="2"/>
  <c r="GF178" i="2"/>
  <c r="GF186" i="2"/>
  <c r="GF194" i="2"/>
  <c r="GF202" i="2"/>
  <c r="GF11" i="2"/>
  <c r="GF19" i="2"/>
  <c r="GF27" i="2"/>
  <c r="GF35" i="2"/>
  <c r="GF43" i="2"/>
  <c r="GF51" i="2"/>
  <c r="GF59" i="2"/>
  <c r="GF67" i="2"/>
  <c r="GF75" i="2"/>
  <c r="GF83" i="2"/>
  <c r="GF91" i="2"/>
  <c r="GF99" i="2"/>
  <c r="GF107" i="2"/>
  <c r="GF115" i="2"/>
  <c r="GF123" i="2"/>
  <c r="GF131" i="2"/>
  <c r="GF139" i="2"/>
  <c r="GF147" i="2"/>
  <c r="GF155" i="2"/>
  <c r="GF163" i="2"/>
  <c r="GF171" i="2"/>
  <c r="GF179" i="2"/>
  <c r="GF187" i="2"/>
  <c r="GF195" i="2"/>
  <c r="GF203" i="2"/>
  <c r="DU4" i="2"/>
  <c r="DU12" i="2"/>
  <c r="DU20" i="2"/>
  <c r="DU28" i="2"/>
  <c r="DU36" i="2"/>
  <c r="DU44" i="2"/>
  <c r="DU52" i="2"/>
  <c r="DU60" i="2"/>
  <c r="DU68" i="2"/>
  <c r="DU76" i="2"/>
  <c r="DU84" i="2"/>
  <c r="DU92" i="2"/>
  <c r="DU100" i="2"/>
  <c r="DU108" i="2"/>
  <c r="DU116" i="2"/>
  <c r="DU124" i="2"/>
  <c r="DU132" i="2"/>
  <c r="DU140" i="2"/>
  <c r="DU148" i="2"/>
  <c r="DU156" i="2"/>
  <c r="DU164" i="2"/>
  <c r="DU172" i="2"/>
  <c r="DU180" i="2"/>
  <c r="DU188" i="2"/>
  <c r="DU196" i="2"/>
  <c r="DU5" i="2"/>
  <c r="DU13" i="2"/>
  <c r="DU21" i="2"/>
  <c r="DU29" i="2"/>
  <c r="DU37" i="2"/>
  <c r="DU45" i="2"/>
  <c r="DU53" i="2"/>
  <c r="DU61" i="2"/>
  <c r="DU69" i="2"/>
  <c r="DU77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6" i="2"/>
  <c r="DU14" i="2"/>
  <c r="DU22" i="2"/>
  <c r="DU30" i="2"/>
  <c r="DU38" i="2"/>
  <c r="DU46" i="2"/>
  <c r="DU54" i="2"/>
  <c r="DU62" i="2"/>
  <c r="DU70" i="2"/>
  <c r="DU78" i="2"/>
  <c r="DU86" i="2"/>
  <c r="DU94" i="2"/>
  <c r="DU102" i="2"/>
  <c r="DU110" i="2"/>
  <c r="DU118" i="2"/>
  <c r="DU126" i="2"/>
  <c r="DU134" i="2"/>
  <c r="DU142" i="2"/>
  <c r="DU150" i="2"/>
  <c r="DU158" i="2"/>
  <c r="DU166" i="2"/>
  <c r="DU174" i="2"/>
  <c r="DU182" i="2"/>
  <c r="DU190" i="2"/>
  <c r="DU198" i="2"/>
  <c r="DU7" i="2"/>
  <c r="DU15" i="2"/>
  <c r="DU23" i="2"/>
  <c r="DU31" i="2"/>
  <c r="DU39" i="2"/>
  <c r="DU47" i="2"/>
  <c r="DU55" i="2"/>
  <c r="DU63" i="2"/>
  <c r="DU71" i="2"/>
  <c r="DU79" i="2"/>
  <c r="DU87" i="2"/>
  <c r="DU95" i="2"/>
  <c r="DU103" i="2"/>
  <c r="DU111" i="2"/>
  <c r="DU119" i="2"/>
  <c r="DU127" i="2"/>
  <c r="DU135" i="2"/>
  <c r="DU143" i="2"/>
  <c r="DU151" i="2"/>
  <c r="DU159" i="2"/>
  <c r="DU167" i="2"/>
  <c r="DU175" i="2"/>
  <c r="DU183" i="2"/>
  <c r="DU191" i="2"/>
  <c r="DU199" i="2"/>
  <c r="DU8" i="2"/>
  <c r="DU16" i="2"/>
  <c r="DU24" i="2"/>
  <c r="DU32" i="2"/>
  <c r="DU40" i="2"/>
  <c r="DU48" i="2"/>
  <c r="DU56" i="2"/>
  <c r="DU64" i="2"/>
  <c r="DU72" i="2"/>
  <c r="DU80" i="2"/>
  <c r="DU88" i="2"/>
  <c r="DU96" i="2"/>
  <c r="DU104" i="2"/>
  <c r="DU112" i="2"/>
  <c r="DU120" i="2"/>
  <c r="DU128" i="2"/>
  <c r="DU136" i="2"/>
  <c r="DU144" i="2"/>
  <c r="DU152" i="2"/>
  <c r="DU160" i="2"/>
  <c r="DU168" i="2"/>
  <c r="DU176" i="2"/>
  <c r="DU184" i="2"/>
  <c r="DU192" i="2"/>
  <c r="DU200" i="2"/>
  <c r="DU9" i="2"/>
  <c r="DU17" i="2"/>
  <c r="DU25" i="2"/>
  <c r="DU33" i="2"/>
  <c r="DU41" i="2"/>
  <c r="DU49" i="2"/>
  <c r="DU57" i="2"/>
  <c r="DU65" i="2"/>
  <c r="DU73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0" i="2"/>
  <c r="DU18" i="2"/>
  <c r="DU26" i="2"/>
  <c r="DU34" i="2"/>
  <c r="DU42" i="2"/>
  <c r="DU50" i="2"/>
  <c r="DU58" i="2"/>
  <c r="DU66" i="2"/>
  <c r="DU74" i="2"/>
  <c r="DU82" i="2"/>
  <c r="DU90" i="2"/>
  <c r="DU98" i="2"/>
  <c r="DU106" i="2"/>
  <c r="DU114" i="2"/>
  <c r="DU122" i="2"/>
  <c r="DU130" i="2"/>
  <c r="DU138" i="2"/>
  <c r="DU146" i="2"/>
  <c r="DU154" i="2"/>
  <c r="DU162" i="2"/>
  <c r="DU170" i="2"/>
  <c r="DU178" i="2"/>
  <c r="DU186" i="2"/>
  <c r="DU194" i="2"/>
  <c r="DU202" i="2"/>
  <c r="DU11" i="2"/>
  <c r="DU19" i="2"/>
  <c r="DU27" i="2"/>
  <c r="DU35" i="2"/>
  <c r="DU43" i="2"/>
  <c r="DU51" i="2"/>
  <c r="DU59" i="2"/>
  <c r="DU67" i="2"/>
  <c r="DU75" i="2"/>
  <c r="DU83" i="2"/>
  <c r="DU91" i="2"/>
  <c r="DU99" i="2"/>
  <c r="DU107" i="2"/>
  <c r="DU115" i="2"/>
  <c r="DU123" i="2"/>
  <c r="DU131" i="2"/>
  <c r="DU139" i="2"/>
  <c r="DU147" i="2"/>
  <c r="DU155" i="2"/>
  <c r="DU163" i="2"/>
  <c r="DU171" i="2"/>
  <c r="DU179" i="2"/>
  <c r="DU187" i="2"/>
  <c r="DU195" i="2"/>
  <c r="DU203" i="2"/>
  <c r="CZ4" i="2"/>
  <c r="CZ12" i="2"/>
  <c r="CZ20" i="2"/>
  <c r="CZ28" i="2"/>
  <c r="CZ36" i="2"/>
  <c r="CZ44" i="2"/>
  <c r="CZ52" i="2"/>
  <c r="CZ60" i="2"/>
  <c r="CZ68" i="2"/>
  <c r="CZ76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5" i="2"/>
  <c r="CZ13" i="2"/>
  <c r="CZ21" i="2"/>
  <c r="CZ29" i="2"/>
  <c r="CZ37" i="2"/>
  <c r="CZ45" i="2"/>
  <c r="CZ53" i="2"/>
  <c r="CZ61" i="2"/>
  <c r="CZ69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6" i="2"/>
  <c r="CZ14" i="2"/>
  <c r="CZ22" i="2"/>
  <c r="CZ30" i="2"/>
  <c r="CZ38" i="2"/>
  <c r="CZ46" i="2"/>
  <c r="CZ54" i="2"/>
  <c r="CZ62" i="2"/>
  <c r="CZ70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7" i="2"/>
  <c r="CZ15" i="2"/>
  <c r="CZ23" i="2"/>
  <c r="CZ31" i="2"/>
  <c r="CZ39" i="2"/>
  <c r="CZ47" i="2"/>
  <c r="CZ55" i="2"/>
  <c r="CZ63" i="2"/>
  <c r="CZ71" i="2"/>
  <c r="CZ79" i="2"/>
  <c r="CZ87" i="2"/>
  <c r="CZ95" i="2"/>
  <c r="CZ103" i="2"/>
  <c r="CZ111" i="2"/>
  <c r="CZ119" i="2"/>
  <c r="CZ127" i="2"/>
  <c r="CZ135" i="2"/>
  <c r="CZ143" i="2"/>
  <c r="CZ151" i="2"/>
  <c r="CZ159" i="2"/>
  <c r="CZ167" i="2"/>
  <c r="CZ175" i="2"/>
  <c r="CZ183" i="2"/>
  <c r="CZ191" i="2"/>
  <c r="CZ199" i="2"/>
  <c r="CZ8" i="2"/>
  <c r="CZ16" i="2"/>
  <c r="CZ24" i="2"/>
  <c r="CZ32" i="2"/>
  <c r="CZ40" i="2"/>
  <c r="CZ48" i="2"/>
  <c r="CZ56" i="2"/>
  <c r="CZ64" i="2"/>
  <c r="CZ72" i="2"/>
  <c r="CZ80" i="2"/>
  <c r="CZ88" i="2"/>
  <c r="CZ96" i="2"/>
  <c r="CZ104" i="2"/>
  <c r="CZ112" i="2"/>
  <c r="CZ120" i="2"/>
  <c r="CZ128" i="2"/>
  <c r="CZ136" i="2"/>
  <c r="CZ144" i="2"/>
  <c r="CZ152" i="2"/>
  <c r="CZ160" i="2"/>
  <c r="CZ168" i="2"/>
  <c r="CZ176" i="2"/>
  <c r="CZ184" i="2"/>
  <c r="CZ192" i="2"/>
  <c r="CZ200" i="2"/>
  <c r="CZ9" i="2"/>
  <c r="CZ17" i="2"/>
  <c r="CZ25" i="2"/>
  <c r="CZ33" i="2"/>
  <c r="CZ41" i="2"/>
  <c r="CZ49" i="2"/>
  <c r="CZ57" i="2"/>
  <c r="CZ65" i="2"/>
  <c r="CZ73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10" i="2"/>
  <c r="CZ18" i="2"/>
  <c r="CZ26" i="2"/>
  <c r="CZ34" i="2"/>
  <c r="CZ42" i="2"/>
  <c r="CZ50" i="2"/>
  <c r="CZ58" i="2"/>
  <c r="CZ66" i="2"/>
  <c r="CZ74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11" i="2"/>
  <c r="CZ19" i="2"/>
  <c r="CZ27" i="2"/>
  <c r="CZ35" i="2"/>
  <c r="CZ43" i="2"/>
  <c r="CZ51" i="2"/>
  <c r="CZ59" i="2"/>
  <c r="CZ67" i="2"/>
  <c r="CZ75" i="2"/>
  <c r="CZ83" i="2"/>
  <c r="CZ91" i="2"/>
  <c r="CZ99" i="2"/>
  <c r="CZ107" i="2"/>
  <c r="CZ115" i="2"/>
  <c r="CZ123" i="2"/>
  <c r="CZ131" i="2"/>
  <c r="CZ139" i="2"/>
  <c r="CZ147" i="2"/>
  <c r="CZ155" i="2"/>
  <c r="CZ163" i="2"/>
  <c r="CZ171" i="2"/>
  <c r="CZ179" i="2"/>
  <c r="CZ187" i="2"/>
  <c r="CZ195" i="2"/>
  <c r="CZ203" i="2"/>
  <c r="CE4" i="2"/>
  <c r="CE12" i="2"/>
  <c r="CE20" i="2"/>
  <c r="CE28" i="2"/>
  <c r="CE36" i="2"/>
  <c r="CE44" i="2"/>
  <c r="CE52" i="2"/>
  <c r="CE60" i="2"/>
  <c r="CE68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11" i="2"/>
  <c r="CE75" i="2"/>
  <c r="CE115" i="2"/>
  <c r="CE155" i="2"/>
  <c r="CE195" i="2"/>
  <c r="CE5" i="2"/>
  <c r="CE13" i="2"/>
  <c r="CE21" i="2"/>
  <c r="CE29" i="2"/>
  <c r="CE37" i="2"/>
  <c r="CE45" i="2"/>
  <c r="CE53" i="2"/>
  <c r="CE61" i="2"/>
  <c r="CE69" i="2"/>
  <c r="CE77" i="2"/>
  <c r="CE85" i="2"/>
  <c r="CE93" i="2"/>
  <c r="CE101" i="2"/>
  <c r="CE109" i="2"/>
  <c r="CE117" i="2"/>
  <c r="CE125" i="2"/>
  <c r="CE133" i="2"/>
  <c r="CE141" i="2"/>
  <c r="CE149" i="2"/>
  <c r="CE157" i="2"/>
  <c r="CE165" i="2"/>
  <c r="CE173" i="2"/>
  <c r="CE181" i="2"/>
  <c r="CE189" i="2"/>
  <c r="CE197" i="2"/>
  <c r="CE19" i="2"/>
  <c r="CE91" i="2"/>
  <c r="CE139" i="2"/>
  <c r="CE187" i="2"/>
  <c r="CE6" i="2"/>
  <c r="CE14" i="2"/>
  <c r="CE22" i="2"/>
  <c r="CE30" i="2"/>
  <c r="CE38" i="2"/>
  <c r="CE46" i="2"/>
  <c r="CE54" i="2"/>
  <c r="CE62" i="2"/>
  <c r="CE70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67" i="2"/>
  <c r="CE131" i="2"/>
  <c r="CE179" i="2"/>
  <c r="CE7" i="2"/>
  <c r="CE15" i="2"/>
  <c r="CE23" i="2"/>
  <c r="CE31" i="2"/>
  <c r="CE39" i="2"/>
  <c r="CE47" i="2"/>
  <c r="CE55" i="2"/>
  <c r="CE63" i="2"/>
  <c r="CE71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43" i="2"/>
  <c r="CE99" i="2"/>
  <c r="CE147" i="2"/>
  <c r="CE203" i="2"/>
  <c r="CE8" i="2"/>
  <c r="CE16" i="2"/>
  <c r="CE24" i="2"/>
  <c r="CE32" i="2"/>
  <c r="CE40" i="2"/>
  <c r="CE48" i="2"/>
  <c r="CE56" i="2"/>
  <c r="CE64" i="2"/>
  <c r="CE72" i="2"/>
  <c r="CE80" i="2"/>
  <c r="CE88" i="2"/>
  <c r="CE96" i="2"/>
  <c r="CE104" i="2"/>
  <c r="CE112" i="2"/>
  <c r="CE120" i="2"/>
  <c r="CE128" i="2"/>
  <c r="CE136" i="2"/>
  <c r="CE144" i="2"/>
  <c r="CE152" i="2"/>
  <c r="CE160" i="2"/>
  <c r="CE168" i="2"/>
  <c r="CE176" i="2"/>
  <c r="CE184" i="2"/>
  <c r="CE192" i="2"/>
  <c r="CE200" i="2"/>
  <c r="CE35" i="2"/>
  <c r="CE83" i="2"/>
  <c r="CE123" i="2"/>
  <c r="CE171" i="2"/>
  <c r="CE9" i="2"/>
  <c r="CE17" i="2"/>
  <c r="CE25" i="2"/>
  <c r="CE33" i="2"/>
  <c r="CE41" i="2"/>
  <c r="CE49" i="2"/>
  <c r="CE57" i="2"/>
  <c r="CE65" i="2"/>
  <c r="CE73" i="2"/>
  <c r="CE81" i="2"/>
  <c r="CE89" i="2"/>
  <c r="CE97" i="2"/>
  <c r="CE105" i="2"/>
  <c r="CE113" i="2"/>
  <c r="CE121" i="2"/>
  <c r="CE129" i="2"/>
  <c r="CE137" i="2"/>
  <c r="CE145" i="2"/>
  <c r="CE153" i="2"/>
  <c r="CE161" i="2"/>
  <c r="CE169" i="2"/>
  <c r="CE177" i="2"/>
  <c r="CE185" i="2"/>
  <c r="CE193" i="2"/>
  <c r="CE201" i="2"/>
  <c r="CE51" i="2"/>
  <c r="CE10" i="2"/>
  <c r="CE18" i="2"/>
  <c r="CE26" i="2"/>
  <c r="CE34" i="2"/>
  <c r="CE42" i="2"/>
  <c r="CE50" i="2"/>
  <c r="CE58" i="2"/>
  <c r="CE66" i="2"/>
  <c r="CE74" i="2"/>
  <c r="CE82" i="2"/>
  <c r="CE90" i="2"/>
  <c r="CE98" i="2"/>
  <c r="CE106" i="2"/>
  <c r="CE114" i="2"/>
  <c r="CE122" i="2"/>
  <c r="CE130" i="2"/>
  <c r="CE138" i="2"/>
  <c r="CE146" i="2"/>
  <c r="CE154" i="2"/>
  <c r="CE162" i="2"/>
  <c r="CE170" i="2"/>
  <c r="CE178" i="2"/>
  <c r="CE186" i="2"/>
  <c r="CE194" i="2"/>
  <c r="CE202" i="2"/>
  <c r="CE27" i="2"/>
  <c r="CE59" i="2"/>
  <c r="CE107" i="2"/>
  <c r="CE163" i="2"/>
  <c r="P32" i="2"/>
  <c r="Q32" i="2" s="1"/>
  <c r="R32" i="2" s="1"/>
  <c r="N34" i="2"/>
  <c r="O33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HA4" i="2" l="1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18" i="2"/>
  <c r="HA26" i="2"/>
  <c r="HA34" i="2"/>
  <c r="HA42" i="2"/>
  <c r="HA50" i="2"/>
  <c r="HA58" i="2"/>
  <c r="HA66" i="2"/>
  <c r="HA74" i="2"/>
  <c r="HA82" i="2"/>
  <c r="HA90" i="2"/>
  <c r="HA98" i="2"/>
  <c r="HA106" i="2"/>
  <c r="HA114" i="2"/>
  <c r="HA122" i="2"/>
  <c r="HA130" i="2"/>
  <c r="HA138" i="2"/>
  <c r="HA146" i="2"/>
  <c r="HA154" i="2"/>
  <c r="HA162" i="2"/>
  <c r="HA170" i="2"/>
  <c r="HA178" i="2"/>
  <c r="HA186" i="2"/>
  <c r="HA194" i="2"/>
  <c r="HA202" i="2"/>
  <c r="HA11" i="2"/>
  <c r="HA19" i="2"/>
  <c r="HA27" i="2"/>
  <c r="HA35" i="2"/>
  <c r="HA43" i="2"/>
  <c r="HA51" i="2"/>
  <c r="HA59" i="2"/>
  <c r="HA67" i="2"/>
  <c r="HA75" i="2"/>
  <c r="HA83" i="2"/>
  <c r="HA91" i="2"/>
  <c r="HA99" i="2"/>
  <c r="HA107" i="2"/>
  <c r="HA115" i="2"/>
  <c r="HA123" i="2"/>
  <c r="HA131" i="2"/>
  <c r="HA139" i="2"/>
  <c r="HA147" i="2"/>
  <c r="HA155" i="2"/>
  <c r="HA163" i="2"/>
  <c r="HA171" i="2"/>
  <c r="HA179" i="2"/>
  <c r="HA187" i="2"/>
  <c r="HA195" i="2"/>
  <c r="HA203" i="2"/>
  <c r="FK4" i="2"/>
  <c r="FK12" i="2"/>
  <c r="FK20" i="2"/>
  <c r="FK28" i="2"/>
  <c r="FK36" i="2"/>
  <c r="FK44" i="2"/>
  <c r="FK52" i="2"/>
  <c r="FK60" i="2"/>
  <c r="FK68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5" i="2"/>
  <c r="FK13" i="2"/>
  <c r="FK21" i="2"/>
  <c r="FK29" i="2"/>
  <c r="FK37" i="2"/>
  <c r="FK45" i="2"/>
  <c r="FK53" i="2"/>
  <c r="FK61" i="2"/>
  <c r="FK69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6" i="2"/>
  <c r="FK14" i="2"/>
  <c r="FK22" i="2"/>
  <c r="FK30" i="2"/>
  <c r="FK38" i="2"/>
  <c r="FK46" i="2"/>
  <c r="FK54" i="2"/>
  <c r="FK62" i="2"/>
  <c r="FK70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7" i="2"/>
  <c r="FK15" i="2"/>
  <c r="FK23" i="2"/>
  <c r="FK31" i="2"/>
  <c r="FK39" i="2"/>
  <c r="FK47" i="2"/>
  <c r="FK55" i="2"/>
  <c r="FK63" i="2"/>
  <c r="FK71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8" i="2"/>
  <c r="FK16" i="2"/>
  <c r="FK24" i="2"/>
  <c r="FK32" i="2"/>
  <c r="FK40" i="2"/>
  <c r="FK48" i="2"/>
  <c r="FK56" i="2"/>
  <c r="FK64" i="2"/>
  <c r="FK72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9" i="2"/>
  <c r="FK17" i="2"/>
  <c r="FK25" i="2"/>
  <c r="FK33" i="2"/>
  <c r="FK41" i="2"/>
  <c r="FK49" i="2"/>
  <c r="FK57" i="2"/>
  <c r="FK65" i="2"/>
  <c r="FK73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10" i="2"/>
  <c r="FK18" i="2"/>
  <c r="FK26" i="2"/>
  <c r="FK34" i="2"/>
  <c r="FK42" i="2"/>
  <c r="FK50" i="2"/>
  <c r="FK58" i="2"/>
  <c r="FK66" i="2"/>
  <c r="FK74" i="2"/>
  <c r="FK82" i="2"/>
  <c r="FK90" i="2"/>
  <c r="FK98" i="2"/>
  <c r="FK106" i="2"/>
  <c r="FK114" i="2"/>
  <c r="FK122" i="2"/>
  <c r="FK130" i="2"/>
  <c r="FK138" i="2"/>
  <c r="FK146" i="2"/>
  <c r="FK154" i="2"/>
  <c r="FK162" i="2"/>
  <c r="FK170" i="2"/>
  <c r="FK178" i="2"/>
  <c r="FK186" i="2"/>
  <c r="FK194" i="2"/>
  <c r="FK202" i="2"/>
  <c r="FK11" i="2"/>
  <c r="FK19" i="2"/>
  <c r="FK27" i="2"/>
  <c r="FK35" i="2"/>
  <c r="FK43" i="2"/>
  <c r="FK51" i="2"/>
  <c r="FK59" i="2"/>
  <c r="FK67" i="2"/>
  <c r="FK75" i="2"/>
  <c r="FK83" i="2"/>
  <c r="FK91" i="2"/>
  <c r="FK99" i="2"/>
  <c r="FK107" i="2"/>
  <c r="FK115" i="2"/>
  <c r="FK123" i="2"/>
  <c r="FK131" i="2"/>
  <c r="FK139" i="2"/>
  <c r="FK147" i="2"/>
  <c r="FK155" i="2"/>
  <c r="FK163" i="2"/>
  <c r="FK171" i="2"/>
  <c r="FK179" i="2"/>
  <c r="FK187" i="2"/>
  <c r="FK195" i="2"/>
  <c r="FK203" i="2"/>
  <c r="EP4" i="2"/>
  <c r="EP12" i="2"/>
  <c r="EP20" i="2"/>
  <c r="EP28" i="2"/>
  <c r="EP36" i="2"/>
  <c r="EP44" i="2"/>
  <c r="EP52" i="2"/>
  <c r="EP60" i="2"/>
  <c r="EP68" i="2"/>
  <c r="EP76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5" i="2"/>
  <c r="EP13" i="2"/>
  <c r="EP21" i="2"/>
  <c r="EP29" i="2"/>
  <c r="EP37" i="2"/>
  <c r="EP45" i="2"/>
  <c r="EP53" i="2"/>
  <c r="EP61" i="2"/>
  <c r="EP69" i="2"/>
  <c r="EP77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6" i="2"/>
  <c r="EP14" i="2"/>
  <c r="EP22" i="2"/>
  <c r="EP30" i="2"/>
  <c r="EP38" i="2"/>
  <c r="EP46" i="2"/>
  <c r="EP54" i="2"/>
  <c r="EP62" i="2"/>
  <c r="EP70" i="2"/>
  <c r="EP78" i="2"/>
  <c r="EP86" i="2"/>
  <c r="EP94" i="2"/>
  <c r="EP102" i="2"/>
  <c r="EP110" i="2"/>
  <c r="EP118" i="2"/>
  <c r="EP126" i="2"/>
  <c r="EP134" i="2"/>
  <c r="EP142" i="2"/>
  <c r="EP150" i="2"/>
  <c r="EP158" i="2"/>
  <c r="EP166" i="2"/>
  <c r="EP174" i="2"/>
  <c r="EP182" i="2"/>
  <c r="EP190" i="2"/>
  <c r="EP198" i="2"/>
  <c r="EP7" i="2"/>
  <c r="EP15" i="2"/>
  <c r="EP23" i="2"/>
  <c r="EP31" i="2"/>
  <c r="EP39" i="2"/>
  <c r="EP47" i="2"/>
  <c r="EP55" i="2"/>
  <c r="EP63" i="2"/>
  <c r="EP71" i="2"/>
  <c r="EP79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8" i="2"/>
  <c r="EP16" i="2"/>
  <c r="EP24" i="2"/>
  <c r="EP32" i="2"/>
  <c r="EP40" i="2"/>
  <c r="EP48" i="2"/>
  <c r="EP56" i="2"/>
  <c r="EP64" i="2"/>
  <c r="EP72" i="2"/>
  <c r="EP80" i="2"/>
  <c r="EP88" i="2"/>
  <c r="EP96" i="2"/>
  <c r="EP104" i="2"/>
  <c r="EP112" i="2"/>
  <c r="EP120" i="2"/>
  <c r="EP128" i="2"/>
  <c r="EP136" i="2"/>
  <c r="EP144" i="2"/>
  <c r="EP152" i="2"/>
  <c r="EP160" i="2"/>
  <c r="EP168" i="2"/>
  <c r="EP176" i="2"/>
  <c r="EP184" i="2"/>
  <c r="EP192" i="2"/>
  <c r="EP200" i="2"/>
  <c r="EP9" i="2"/>
  <c r="EP17" i="2"/>
  <c r="EP25" i="2"/>
  <c r="EP33" i="2"/>
  <c r="EP41" i="2"/>
  <c r="EP49" i="2"/>
  <c r="EP57" i="2"/>
  <c r="EP65" i="2"/>
  <c r="EP73" i="2"/>
  <c r="EP81" i="2"/>
  <c r="EP89" i="2"/>
  <c r="EP97" i="2"/>
  <c r="EP105" i="2"/>
  <c r="EP113" i="2"/>
  <c r="EP121" i="2"/>
  <c r="EP129" i="2"/>
  <c r="EP137" i="2"/>
  <c r="EP145" i="2"/>
  <c r="EP153" i="2"/>
  <c r="EP161" i="2"/>
  <c r="EP169" i="2"/>
  <c r="EP177" i="2"/>
  <c r="EP185" i="2"/>
  <c r="EP193" i="2"/>
  <c r="EP201" i="2"/>
  <c r="EP10" i="2"/>
  <c r="EP18" i="2"/>
  <c r="EP26" i="2"/>
  <c r="EP34" i="2"/>
  <c r="EP42" i="2"/>
  <c r="EP50" i="2"/>
  <c r="EP58" i="2"/>
  <c r="EP66" i="2"/>
  <c r="EP74" i="2"/>
  <c r="EP82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11" i="2"/>
  <c r="EP19" i="2"/>
  <c r="EP27" i="2"/>
  <c r="EP35" i="2"/>
  <c r="EP43" i="2"/>
  <c r="EP51" i="2"/>
  <c r="EP59" i="2"/>
  <c r="EP67" i="2"/>
  <c r="EP75" i="2"/>
  <c r="EP83" i="2"/>
  <c r="EP91" i="2"/>
  <c r="EP99" i="2"/>
  <c r="EP107" i="2"/>
  <c r="EP115" i="2"/>
  <c r="EP123" i="2"/>
  <c r="EP131" i="2"/>
  <c r="EP139" i="2"/>
  <c r="EP147" i="2"/>
  <c r="EP155" i="2"/>
  <c r="EP163" i="2"/>
  <c r="EP171" i="2"/>
  <c r="EP179" i="2"/>
  <c r="EP187" i="2"/>
  <c r="EP195" i="2"/>
  <c r="EP203" i="2"/>
  <c r="AO4" i="2"/>
  <c r="AO12" i="2"/>
  <c r="AO20" i="2"/>
  <c r="AO28" i="2"/>
  <c r="AO36" i="2"/>
  <c r="AO44" i="2"/>
  <c r="AO52" i="2"/>
  <c r="AO60" i="2"/>
  <c r="AO68" i="2"/>
  <c r="AO76" i="2"/>
  <c r="AO84" i="2"/>
  <c r="AO92" i="2"/>
  <c r="AO100" i="2"/>
  <c r="AO108" i="2"/>
  <c r="AO116" i="2"/>
  <c r="AO124" i="2"/>
  <c r="AO132" i="2"/>
  <c r="AO140" i="2"/>
  <c r="AO148" i="2"/>
  <c r="AO156" i="2"/>
  <c r="AO164" i="2"/>
  <c r="AO172" i="2"/>
  <c r="AO180" i="2"/>
  <c r="AO188" i="2"/>
  <c r="AO196" i="2"/>
  <c r="AO43" i="2"/>
  <c r="AO5" i="2"/>
  <c r="AO13" i="2"/>
  <c r="AO21" i="2"/>
  <c r="AO29" i="2"/>
  <c r="AO37" i="2"/>
  <c r="AO45" i="2"/>
  <c r="AO53" i="2"/>
  <c r="AO61" i="2"/>
  <c r="AO69" i="2"/>
  <c r="AO77" i="2"/>
  <c r="AO85" i="2"/>
  <c r="AO93" i="2"/>
  <c r="AO101" i="2"/>
  <c r="AO109" i="2"/>
  <c r="AO117" i="2"/>
  <c r="AO125" i="2"/>
  <c r="AO133" i="2"/>
  <c r="AO141" i="2"/>
  <c r="AO149" i="2"/>
  <c r="AO157" i="2"/>
  <c r="AO165" i="2"/>
  <c r="AO173" i="2"/>
  <c r="AO181" i="2"/>
  <c r="AO189" i="2"/>
  <c r="AO197" i="2"/>
  <c r="AO11" i="2"/>
  <c r="AO51" i="2"/>
  <c r="AO67" i="2"/>
  <c r="AO83" i="2"/>
  <c r="AO107" i="2"/>
  <c r="AO147" i="2"/>
  <c r="AO163" i="2"/>
  <c r="AO187" i="2"/>
  <c r="AO6" i="2"/>
  <c r="AO14" i="2"/>
  <c r="AO22" i="2"/>
  <c r="AO30" i="2"/>
  <c r="AO38" i="2"/>
  <c r="AO46" i="2"/>
  <c r="AO54" i="2"/>
  <c r="AO62" i="2"/>
  <c r="AO70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7" i="2"/>
  <c r="AO15" i="2"/>
  <c r="AO23" i="2"/>
  <c r="AO31" i="2"/>
  <c r="AO39" i="2"/>
  <c r="AO47" i="2"/>
  <c r="AO55" i="2"/>
  <c r="AO63" i="2"/>
  <c r="AO71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91" i="2"/>
  <c r="AO8" i="2"/>
  <c r="AO16" i="2"/>
  <c r="AO24" i="2"/>
  <c r="AO32" i="2"/>
  <c r="AO40" i="2"/>
  <c r="AO48" i="2"/>
  <c r="AO56" i="2"/>
  <c r="AO64" i="2"/>
  <c r="AO72" i="2"/>
  <c r="AO80" i="2"/>
  <c r="AO88" i="2"/>
  <c r="AO96" i="2"/>
  <c r="AO104" i="2"/>
  <c r="AO112" i="2"/>
  <c r="AO120" i="2"/>
  <c r="AO128" i="2"/>
  <c r="AO136" i="2"/>
  <c r="AO144" i="2"/>
  <c r="AO152" i="2"/>
  <c r="AO160" i="2"/>
  <c r="AO168" i="2"/>
  <c r="AO176" i="2"/>
  <c r="AO184" i="2"/>
  <c r="AO192" i="2"/>
  <c r="AO200" i="2"/>
  <c r="AO27" i="2"/>
  <c r="AO9" i="2"/>
  <c r="AO17" i="2"/>
  <c r="AO25" i="2"/>
  <c r="AO33" i="2"/>
  <c r="AO41" i="2"/>
  <c r="AO49" i="2"/>
  <c r="AO57" i="2"/>
  <c r="AO65" i="2"/>
  <c r="AO73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35" i="2"/>
  <c r="AO59" i="2"/>
  <c r="AO75" i="2"/>
  <c r="AO99" i="2"/>
  <c r="AO131" i="2"/>
  <c r="AO155" i="2"/>
  <c r="AO171" i="2"/>
  <c r="AO10" i="2"/>
  <c r="AO18" i="2"/>
  <c r="AO26" i="2"/>
  <c r="AO34" i="2"/>
  <c r="AO42" i="2"/>
  <c r="AO50" i="2"/>
  <c r="AO58" i="2"/>
  <c r="AO66" i="2"/>
  <c r="AO74" i="2"/>
  <c r="AO82" i="2"/>
  <c r="AO90" i="2"/>
  <c r="AO98" i="2"/>
  <c r="AO106" i="2"/>
  <c r="AO114" i="2"/>
  <c r="AO122" i="2"/>
  <c r="AO130" i="2"/>
  <c r="AO138" i="2"/>
  <c r="AO146" i="2"/>
  <c r="AO154" i="2"/>
  <c r="AO162" i="2"/>
  <c r="AO170" i="2"/>
  <c r="AO178" i="2"/>
  <c r="AO186" i="2"/>
  <c r="AO194" i="2"/>
  <c r="AO202" i="2"/>
  <c r="AO19" i="2"/>
  <c r="AO139" i="2"/>
  <c r="AO115" i="2"/>
  <c r="AO123" i="2"/>
  <c r="AO179" i="2"/>
  <c r="AO195" i="2"/>
  <c r="AO203" i="2"/>
  <c r="P33" i="2"/>
  <c r="Q33" i="2" s="1"/>
  <c r="R33" i="2" s="1"/>
  <c r="N35" i="2"/>
  <c r="O34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T10" i="2" l="1"/>
  <c r="T18" i="2"/>
  <c r="T26" i="2"/>
  <c r="T34" i="2"/>
  <c r="T42" i="2"/>
  <c r="T50" i="2"/>
  <c r="T58" i="2"/>
  <c r="T66" i="2"/>
  <c r="T74" i="2"/>
  <c r="T82" i="2"/>
  <c r="T90" i="2"/>
  <c r="T98" i="2"/>
  <c r="T106" i="2"/>
  <c r="T114" i="2"/>
  <c r="T122" i="2"/>
  <c r="T130" i="2"/>
  <c r="T138" i="2"/>
  <c r="T146" i="2"/>
  <c r="T154" i="2"/>
  <c r="T162" i="2"/>
  <c r="T170" i="2"/>
  <c r="T178" i="2"/>
  <c r="T186" i="2"/>
  <c r="T194" i="2"/>
  <c r="T202" i="2"/>
  <c r="T3" i="2"/>
  <c r="T11" i="2"/>
  <c r="T19" i="2"/>
  <c r="T27" i="2"/>
  <c r="T35" i="2"/>
  <c r="T43" i="2"/>
  <c r="T51" i="2"/>
  <c r="T59" i="2"/>
  <c r="T67" i="2"/>
  <c r="T75" i="2"/>
  <c r="T83" i="2"/>
  <c r="T91" i="2"/>
  <c r="T99" i="2"/>
  <c r="T107" i="2"/>
  <c r="T115" i="2"/>
  <c r="T123" i="2"/>
  <c r="T131" i="2"/>
  <c r="T139" i="2"/>
  <c r="T147" i="2"/>
  <c r="T155" i="2"/>
  <c r="T163" i="2"/>
  <c r="T171" i="2"/>
  <c r="T179" i="2"/>
  <c r="T187" i="2"/>
  <c r="T195" i="2"/>
  <c r="T203" i="2"/>
  <c r="T4" i="2"/>
  <c r="T12" i="2"/>
  <c r="T20" i="2"/>
  <c r="T28" i="2"/>
  <c r="T36" i="2"/>
  <c r="T44" i="2"/>
  <c r="T52" i="2"/>
  <c r="T60" i="2"/>
  <c r="T68" i="2"/>
  <c r="T76" i="2"/>
  <c r="T84" i="2"/>
  <c r="T92" i="2"/>
  <c r="T100" i="2"/>
  <c r="T108" i="2"/>
  <c r="T116" i="2"/>
  <c r="T124" i="2"/>
  <c r="T132" i="2"/>
  <c r="T140" i="2"/>
  <c r="T148" i="2"/>
  <c r="T156" i="2"/>
  <c r="T164" i="2"/>
  <c r="T172" i="2"/>
  <c r="T180" i="2"/>
  <c r="T188" i="2"/>
  <c r="T196" i="2"/>
  <c r="T5" i="2"/>
  <c r="T13" i="2"/>
  <c r="T21" i="2"/>
  <c r="T29" i="2"/>
  <c r="T37" i="2"/>
  <c r="T45" i="2"/>
  <c r="T53" i="2"/>
  <c r="T61" i="2"/>
  <c r="T69" i="2"/>
  <c r="T77" i="2"/>
  <c r="T85" i="2"/>
  <c r="T93" i="2"/>
  <c r="T101" i="2"/>
  <c r="T109" i="2"/>
  <c r="T117" i="2"/>
  <c r="T125" i="2"/>
  <c r="T133" i="2"/>
  <c r="T141" i="2"/>
  <c r="T149" i="2"/>
  <c r="T157" i="2"/>
  <c r="T165" i="2"/>
  <c r="T173" i="2"/>
  <c r="T181" i="2"/>
  <c r="T189" i="2"/>
  <c r="T197" i="2"/>
  <c r="T6" i="2"/>
  <c r="T14" i="2"/>
  <c r="T22" i="2"/>
  <c r="T30" i="2"/>
  <c r="T38" i="2"/>
  <c r="T46" i="2"/>
  <c r="T54" i="2"/>
  <c r="T62" i="2"/>
  <c r="T70" i="2"/>
  <c r="T78" i="2"/>
  <c r="T86" i="2"/>
  <c r="T94" i="2"/>
  <c r="T102" i="2"/>
  <c r="T110" i="2"/>
  <c r="T118" i="2"/>
  <c r="T126" i="2"/>
  <c r="T134" i="2"/>
  <c r="T142" i="2"/>
  <c r="T150" i="2"/>
  <c r="T158" i="2"/>
  <c r="T166" i="2"/>
  <c r="T174" i="2"/>
  <c r="T182" i="2"/>
  <c r="T190" i="2"/>
  <c r="T198" i="2"/>
  <c r="T7" i="2"/>
  <c r="T15" i="2"/>
  <c r="T23" i="2"/>
  <c r="T31" i="2"/>
  <c r="T39" i="2"/>
  <c r="T47" i="2"/>
  <c r="T55" i="2"/>
  <c r="T63" i="2"/>
  <c r="T71" i="2"/>
  <c r="T79" i="2"/>
  <c r="T87" i="2"/>
  <c r="T95" i="2"/>
  <c r="T103" i="2"/>
  <c r="T111" i="2"/>
  <c r="T119" i="2"/>
  <c r="T127" i="2"/>
  <c r="T135" i="2"/>
  <c r="T143" i="2"/>
  <c r="T151" i="2"/>
  <c r="T159" i="2"/>
  <c r="T167" i="2"/>
  <c r="T175" i="2"/>
  <c r="T183" i="2"/>
  <c r="T191" i="2"/>
  <c r="T199" i="2"/>
  <c r="T33" i="2"/>
  <c r="T65" i="2"/>
  <c r="T97" i="2"/>
  <c r="T129" i="2"/>
  <c r="T161" i="2"/>
  <c r="T193" i="2"/>
  <c r="T8" i="2"/>
  <c r="T40" i="2"/>
  <c r="T72" i="2"/>
  <c r="T104" i="2"/>
  <c r="T136" i="2"/>
  <c r="T168" i="2"/>
  <c r="T200" i="2"/>
  <c r="T9" i="2"/>
  <c r="T41" i="2"/>
  <c r="T73" i="2"/>
  <c r="T105" i="2"/>
  <c r="T137" i="2"/>
  <c r="T169" i="2"/>
  <c r="T201" i="2"/>
  <c r="T16" i="2"/>
  <c r="T48" i="2"/>
  <c r="T80" i="2"/>
  <c r="T112" i="2"/>
  <c r="T144" i="2"/>
  <c r="T176" i="2"/>
  <c r="T17" i="2"/>
  <c r="T49" i="2"/>
  <c r="T81" i="2"/>
  <c r="T113" i="2"/>
  <c r="T145" i="2"/>
  <c r="T177" i="2"/>
  <c r="T24" i="2"/>
  <c r="T56" i="2"/>
  <c r="T88" i="2"/>
  <c r="T120" i="2"/>
  <c r="T152" i="2"/>
  <c r="T184" i="2"/>
  <c r="T128" i="2"/>
  <c r="T25" i="2"/>
  <c r="T153" i="2"/>
  <c r="T32" i="2"/>
  <c r="T160" i="2"/>
  <c r="T57" i="2"/>
  <c r="T185" i="2"/>
  <c r="T64" i="2"/>
  <c r="T192" i="2"/>
  <c r="T89" i="2"/>
  <c r="T96" i="2"/>
  <c r="T121" i="2"/>
  <c r="P34" i="2"/>
  <c r="Q34" i="2" s="1"/>
  <c r="R34" i="2" s="1"/>
  <c r="N36" i="2"/>
  <c r="O35" i="2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P35" i="2" l="1"/>
  <c r="Q35" i="2" s="1"/>
  <c r="R35" i="2" s="1"/>
  <c r="N37" i="2"/>
  <c r="O36" i="2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P36" i="2" l="1"/>
  <c r="Q36" i="2" s="1"/>
  <c r="R36" i="2" s="1"/>
  <c r="N38" i="2"/>
  <c r="O37" i="2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P37" i="2" l="1"/>
  <c r="Q37" i="2" s="1"/>
  <c r="R37" i="2" s="1"/>
  <c r="N39" i="2"/>
  <c r="O38" i="2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P38" i="2" l="1"/>
  <c r="Q38" i="2" s="1"/>
  <c r="R38" i="2" s="1"/>
  <c r="N40" i="2"/>
  <c r="O39" i="2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P39" i="2" l="1"/>
  <c r="Q39" i="2" s="1"/>
  <c r="R39" i="2" s="1"/>
  <c r="N41" i="2"/>
  <c r="O40" i="2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P40" i="2" l="1"/>
  <c r="Q40" i="2" s="1"/>
  <c r="R40" i="2" s="1"/>
  <c r="N42" i="2"/>
  <c r="O41" i="2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P41" i="2" l="1"/>
  <c r="Q41" i="2" s="1"/>
  <c r="R41" i="2" s="1"/>
  <c r="N43" i="2"/>
  <c r="O42" i="2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P42" i="2" l="1"/>
  <c r="Q42" i="2" s="1"/>
  <c r="R42" i="2" s="1"/>
  <c r="N44" i="2"/>
  <c r="O43" i="2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P43" i="2" l="1"/>
  <c r="Q43" i="2" s="1"/>
  <c r="R43" i="2" s="1"/>
  <c r="N45" i="2"/>
  <c r="O44" i="2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P44" i="2" l="1"/>
  <c r="Q44" i="2" s="1"/>
  <c r="R44" i="2" s="1"/>
  <c r="N46" i="2"/>
  <c r="O45" i="2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P45" i="2" l="1"/>
  <c r="Q45" i="2" s="1"/>
  <c r="R45" i="2" s="1"/>
  <c r="N47" i="2"/>
  <c r="O46" i="2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CY36" i="2" l="1"/>
  <c r="CY5" i="2"/>
  <c r="CY25" i="2"/>
  <c r="CY79" i="2"/>
  <c r="CY173" i="2"/>
  <c r="CY133" i="2"/>
  <c r="CY8" i="2"/>
  <c r="CY102" i="2"/>
  <c r="CY62" i="2"/>
  <c r="CY136" i="2"/>
  <c r="CY31" i="2"/>
  <c r="CY190" i="2"/>
  <c r="CY65" i="2"/>
  <c r="CY159" i="2"/>
  <c r="CY119" i="2"/>
  <c r="CY193" i="2"/>
  <c r="CY88" i="2"/>
  <c r="CY48" i="2"/>
  <c r="CY122" i="2"/>
  <c r="CY17" i="2"/>
  <c r="CY176" i="2"/>
  <c r="CY51" i="2"/>
  <c r="CY145" i="2"/>
  <c r="CY105" i="2"/>
  <c r="CY179" i="2"/>
  <c r="CY74" i="2"/>
  <c r="CY34" i="2"/>
  <c r="CY107" i="2"/>
  <c r="CY202" i="2"/>
  <c r="CY162" i="2"/>
  <c r="CY108" i="2"/>
  <c r="CY131" i="2"/>
  <c r="CY91" i="2"/>
  <c r="CY37" i="2"/>
  <c r="CY60" i="2"/>
  <c r="CY156" i="2"/>
  <c r="CY165" i="2"/>
  <c r="CY181" i="2"/>
  <c r="CY7" i="2"/>
  <c r="CY94" i="2"/>
  <c r="CY174" i="2"/>
  <c r="CY121" i="2"/>
  <c r="CY23" i="2"/>
  <c r="CY32" i="2"/>
  <c r="CY20" i="2"/>
  <c r="CY151" i="2"/>
  <c r="CY89" i="2"/>
  <c r="CY148" i="2"/>
  <c r="CY80" i="2"/>
  <c r="CY146" i="2"/>
  <c r="CY77" i="2"/>
  <c r="CY9" i="2"/>
  <c r="CY203" i="2"/>
  <c r="CY6" i="2"/>
  <c r="CY137" i="2"/>
  <c r="CY64" i="2"/>
  <c r="CY134" i="2"/>
  <c r="CY66" i="2"/>
  <c r="CY43" i="2"/>
  <c r="CY63" i="2"/>
  <c r="CY194" i="2"/>
  <c r="CY68" i="2"/>
  <c r="CY191" i="2"/>
  <c r="CY123" i="2"/>
  <c r="CY196" i="2"/>
  <c r="CY120" i="2"/>
  <c r="CY124" i="2"/>
  <c r="CY125" i="2"/>
  <c r="CY49" i="2"/>
  <c r="CY117" i="2"/>
  <c r="CY54" i="2"/>
  <c r="CY177" i="2"/>
  <c r="CY39" i="2"/>
  <c r="CY182" i="2"/>
  <c r="CY106" i="2"/>
  <c r="CY96" i="2"/>
  <c r="CY111" i="2"/>
  <c r="CY35" i="2"/>
  <c r="CY153" i="2"/>
  <c r="CY40" i="2"/>
  <c r="CY163" i="2"/>
  <c r="CY11" i="2"/>
  <c r="CY168" i="2"/>
  <c r="CY78" i="2"/>
  <c r="CY28" i="2"/>
  <c r="CY97" i="2"/>
  <c r="CY57" i="2"/>
  <c r="CY21" i="2"/>
  <c r="CY26" i="2"/>
  <c r="CY100" i="2"/>
  <c r="CY71" i="2"/>
  <c r="CY154" i="2"/>
  <c r="CY29" i="2"/>
  <c r="CY50" i="2"/>
  <c r="CY83" i="2"/>
  <c r="CY157" i="2"/>
  <c r="CY52" i="2"/>
  <c r="CY12" i="2"/>
  <c r="CY86" i="2"/>
  <c r="CY180" i="2"/>
  <c r="CY140" i="2"/>
  <c r="CY15" i="2"/>
  <c r="CY109" i="2"/>
  <c r="CY69" i="2"/>
  <c r="CY143" i="2"/>
  <c r="CY38" i="2"/>
  <c r="CY197" i="2"/>
  <c r="CY72" i="2"/>
  <c r="CY166" i="2"/>
  <c r="CY126" i="2"/>
  <c r="CY200" i="2"/>
  <c r="CY95" i="2"/>
  <c r="CY55" i="2"/>
  <c r="CY129" i="2"/>
  <c r="CY24" i="2"/>
  <c r="CY183" i="2"/>
  <c r="CY58" i="2"/>
  <c r="CY152" i="2"/>
  <c r="CY112" i="2"/>
  <c r="CY186" i="2"/>
  <c r="CY81" i="2"/>
  <c r="CY41" i="2"/>
  <c r="CY115" i="2"/>
  <c r="CY10" i="2"/>
  <c r="CY169" i="2"/>
  <c r="CY192" i="2"/>
  <c r="CY138" i="2"/>
  <c r="CY141" i="2"/>
  <c r="CY98" i="2"/>
  <c r="CY44" i="2"/>
  <c r="CY67" i="2"/>
  <c r="CY27" i="2"/>
  <c r="CY172" i="2"/>
  <c r="CY195" i="2"/>
  <c r="CY155" i="2"/>
  <c r="CY101" i="2"/>
  <c r="CY53" i="2"/>
  <c r="CY149" i="2"/>
  <c r="CY30" i="2"/>
  <c r="CY110" i="2"/>
  <c r="CY199" i="2"/>
  <c r="CY158" i="2"/>
  <c r="CY103" i="2"/>
  <c r="CY114" i="2"/>
  <c r="CY87" i="2"/>
  <c r="CY160" i="2"/>
  <c r="CY84" i="2"/>
  <c r="CY16" i="2"/>
  <c r="CY18" i="2"/>
  <c r="CY13" i="2"/>
  <c r="CY144" i="2"/>
  <c r="CY75" i="2"/>
  <c r="CY73" i="2"/>
  <c r="CY142" i="2"/>
  <c r="CY70" i="2"/>
  <c r="CY201" i="2"/>
  <c r="CY185" i="2"/>
  <c r="CY198" i="2"/>
  <c r="CY130" i="2"/>
  <c r="CY4" i="2"/>
  <c r="CY127" i="2"/>
  <c r="CY59" i="2"/>
  <c r="CY132" i="2"/>
  <c r="CY56" i="2"/>
  <c r="CY187" i="2"/>
  <c r="CY61" i="2"/>
  <c r="CY184" i="2"/>
  <c r="CY188" i="2"/>
  <c r="CY189" i="2"/>
  <c r="CY113" i="2"/>
  <c r="CY46" i="2"/>
  <c r="CY118" i="2"/>
  <c r="CY42" i="2"/>
  <c r="CY167" i="2"/>
  <c r="CY47" i="2"/>
  <c r="CY170" i="2"/>
  <c r="CY175" i="2"/>
  <c r="CY99" i="2"/>
  <c r="CY82" i="2"/>
  <c r="CY104" i="2"/>
  <c r="CY85" i="2"/>
  <c r="CY139" i="2"/>
  <c r="CY33" i="2"/>
  <c r="CY135" i="2"/>
  <c r="CY92" i="2"/>
  <c r="CY161" i="2"/>
  <c r="CY178" i="2"/>
  <c r="CY14" i="2"/>
  <c r="CY90" i="2"/>
  <c r="CY164" i="2"/>
  <c r="CY128" i="2"/>
  <c r="CY19" i="2"/>
  <c r="CY93" i="2"/>
  <c r="CY171" i="2"/>
  <c r="CY147" i="2"/>
  <c r="CY22" i="2"/>
  <c r="CY116" i="2"/>
  <c r="CY76" i="2"/>
  <c r="CY150" i="2"/>
  <c r="CY45" i="2"/>
  <c r="P46" i="2"/>
  <c r="Q46" i="2" s="1"/>
  <c r="R46" i="2" s="1"/>
  <c r="N48" i="2"/>
  <c r="O47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P47" i="2" l="1"/>
  <c r="Q47" i="2" s="1"/>
  <c r="R47" i="2" s="1"/>
  <c r="N49" i="2"/>
  <c r="O48" i="2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P48" i="2" l="1"/>
  <c r="Q48" i="2" s="1"/>
  <c r="R48" i="2" s="1"/>
  <c r="N50" i="2"/>
  <c r="O49" i="2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P49" i="2" l="1"/>
  <c r="Q49" i="2"/>
  <c r="R49" i="2" s="1"/>
  <c r="N51" i="2"/>
  <c r="O50" i="2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P50" i="2" l="1"/>
  <c r="Q50" i="2" s="1"/>
  <c r="R50" i="2" s="1"/>
  <c r="N52" i="2"/>
  <c r="O51" i="2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P51" i="2" l="1"/>
  <c r="Q51" i="2" s="1"/>
  <c r="R51" i="2" s="1"/>
  <c r="N53" i="2"/>
  <c r="O52" i="2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P52" i="2" l="1"/>
  <c r="Q52" i="2" s="1"/>
  <c r="R52" i="2" s="1"/>
  <c r="N54" i="2"/>
  <c r="O53" i="2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P53" i="2" l="1"/>
  <c r="Q53" i="2" s="1"/>
  <c r="R53" i="2" s="1"/>
  <c r="N55" i="2"/>
  <c r="O54" i="2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P54" i="2" l="1"/>
  <c r="Q54" i="2" s="1"/>
  <c r="R54" i="2" s="1"/>
  <c r="N56" i="2"/>
  <c r="O55" i="2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N57" i="2" l="1"/>
  <c r="O56" i="2"/>
  <c r="P55" i="2"/>
  <c r="Q55" i="2" s="1"/>
  <c r="R55" i="2" s="1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P56" i="2" l="1"/>
  <c r="Q56" i="2" s="1"/>
  <c r="R56" i="2" s="1"/>
  <c r="N58" i="2"/>
  <c r="O57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AN4" i="2" l="1"/>
  <c r="AN141" i="2"/>
  <c r="AN9" i="2"/>
  <c r="AN93" i="2"/>
  <c r="AN32" i="2"/>
  <c r="AN192" i="2"/>
  <c r="AN185" i="2"/>
  <c r="AN150" i="2"/>
  <c r="AN183" i="2"/>
  <c r="AN72" i="2"/>
  <c r="AN7" i="2"/>
  <c r="AN171" i="2"/>
  <c r="AN130" i="2"/>
  <c r="AN146" i="2"/>
  <c r="AN52" i="2"/>
  <c r="AN33" i="2"/>
  <c r="AN174" i="2"/>
  <c r="AN198" i="2"/>
  <c r="AN176" i="2"/>
  <c r="AN30" i="2"/>
  <c r="AN117" i="2"/>
  <c r="AN45" i="2"/>
  <c r="AN83" i="2"/>
  <c r="AN68" i="2"/>
  <c r="AN158" i="2"/>
  <c r="AN160" i="2"/>
  <c r="AN177" i="2"/>
  <c r="AN112" i="2"/>
  <c r="AN51" i="2"/>
  <c r="AN203" i="2"/>
  <c r="AN161" i="2"/>
  <c r="AN104" i="2"/>
  <c r="AN184" i="2"/>
  <c r="AN73" i="2"/>
  <c r="AN167" i="2"/>
  <c r="AN197" i="2"/>
  <c r="AN200" i="2"/>
  <c r="AN71" i="2"/>
  <c r="AN196" i="2"/>
  <c r="AN186" i="2"/>
  <c r="AN35" i="2"/>
  <c r="AN126" i="2"/>
  <c r="AN195" i="2"/>
  <c r="AN170" i="2"/>
  <c r="AN89" i="2"/>
  <c r="AN135" i="2"/>
  <c r="AN194" i="2"/>
  <c r="AN54" i="2"/>
  <c r="AN75" i="2"/>
  <c r="AN34" i="2"/>
  <c r="AN5" i="2"/>
  <c r="AN80" i="2"/>
  <c r="AN6" i="2"/>
  <c r="AN41" i="2"/>
  <c r="AN61" i="2"/>
  <c r="AN42" i="2"/>
  <c r="AN140" i="2"/>
  <c r="AN38" i="2"/>
  <c r="AN97" i="2"/>
  <c r="AN28" i="2"/>
  <c r="AN24" i="2"/>
  <c r="AN180" i="2"/>
  <c r="AN164" i="2"/>
  <c r="AN144" i="2"/>
  <c r="AN31" i="2"/>
  <c r="AN120" i="2"/>
  <c r="AN118" i="2"/>
  <c r="AN82" i="2"/>
  <c r="AN57" i="2"/>
  <c r="AN13" i="2"/>
  <c r="AN88" i="2"/>
  <c r="AN119" i="2"/>
  <c r="AN122" i="2"/>
  <c r="AN152" i="2"/>
  <c r="AN81" i="2"/>
  <c r="AN74" i="2"/>
  <c r="AN106" i="2"/>
  <c r="AN37" i="2"/>
  <c r="AN62" i="2"/>
  <c r="AN12" i="2"/>
  <c r="AN22" i="2"/>
  <c r="AN47" i="2"/>
  <c r="AN202" i="2"/>
  <c r="AN8" i="2"/>
  <c r="AN16" i="2"/>
  <c r="AN50" i="2"/>
  <c r="AN14" i="2"/>
  <c r="AN179" i="2"/>
  <c r="AN138" i="2"/>
  <c r="AN63" i="2"/>
  <c r="AN56" i="2"/>
  <c r="AN44" i="2"/>
  <c r="AN17" i="2"/>
  <c r="AN70" i="2"/>
  <c r="AN18" i="2"/>
  <c r="AN145" i="2"/>
  <c r="AN113" i="2"/>
  <c r="AN25" i="2"/>
  <c r="AN101" i="2"/>
  <c r="AN159" i="2"/>
  <c r="AN90" i="2"/>
  <c r="AN100" i="2"/>
  <c r="AN191" i="2"/>
  <c r="AN129" i="2"/>
  <c r="AN115" i="2"/>
  <c r="AN127" i="2"/>
  <c r="AN110" i="2"/>
  <c r="AN85" i="2"/>
  <c r="AN137" i="2"/>
  <c r="AN166" i="2"/>
  <c r="AN27" i="2"/>
  <c r="AN98" i="2"/>
  <c r="AN55" i="2"/>
  <c r="AN156" i="2"/>
  <c r="AN65" i="2"/>
  <c r="AN136" i="2"/>
  <c r="AN11" i="2"/>
  <c r="AN162" i="2"/>
  <c r="AN58" i="2"/>
  <c r="AN21" i="2"/>
  <c r="AN20" i="2"/>
  <c r="AN48" i="2"/>
  <c r="AN157" i="2"/>
  <c r="AN94" i="2"/>
  <c r="AN143" i="2"/>
  <c r="AN53" i="2"/>
  <c r="AN151" i="2"/>
  <c r="AN10" i="2"/>
  <c r="AN154" i="2"/>
  <c r="AN79" i="2"/>
  <c r="AN95" i="2"/>
  <c r="AN147" i="2"/>
  <c r="AN187" i="2"/>
  <c r="AN165" i="2"/>
  <c r="AN92" i="2"/>
  <c r="AN132" i="2"/>
  <c r="AN153" i="2"/>
  <c r="AN59" i="2"/>
  <c r="AN49" i="2"/>
  <c r="AN46" i="2"/>
  <c r="AN111" i="2"/>
  <c r="AN139" i="2"/>
  <c r="AN128" i="2"/>
  <c r="AN116" i="2"/>
  <c r="AN114" i="2"/>
  <c r="AN76" i="2"/>
  <c r="AN131" i="2"/>
  <c r="AN64" i="2"/>
  <c r="AN148" i="2"/>
  <c r="AN19" i="2"/>
  <c r="AN29" i="2"/>
  <c r="AN168" i="2"/>
  <c r="AN26" i="2"/>
  <c r="AN201" i="2"/>
  <c r="AN190" i="2"/>
  <c r="AN60" i="2"/>
  <c r="AN178" i="2"/>
  <c r="AN102" i="2"/>
  <c r="AN134" i="2"/>
  <c r="AN163" i="2"/>
  <c r="AN189" i="2"/>
  <c r="AN182" i="2"/>
  <c r="AN181" i="2"/>
  <c r="AN78" i="2"/>
  <c r="AN133" i="2"/>
  <c r="AN23" i="2"/>
  <c r="AN66" i="2"/>
  <c r="AN173" i="2"/>
  <c r="AN15" i="2"/>
  <c r="AN39" i="2"/>
  <c r="AN99" i="2"/>
  <c r="AN67" i="2"/>
  <c r="AN103" i="2"/>
  <c r="AN87" i="2"/>
  <c r="AN175" i="2"/>
  <c r="AN172" i="2"/>
  <c r="AN121" i="2"/>
  <c r="AN107" i="2"/>
  <c r="AN36" i="2"/>
  <c r="AN91" i="2"/>
  <c r="AN109" i="2"/>
  <c r="AN69" i="2"/>
  <c r="AN108" i="2"/>
  <c r="AN124" i="2"/>
  <c r="AN123" i="2"/>
  <c r="AN193" i="2"/>
  <c r="AN125" i="2"/>
  <c r="AN155" i="2"/>
  <c r="AN199" i="2"/>
  <c r="AN96" i="2"/>
  <c r="AN105" i="2"/>
  <c r="AN142" i="2"/>
  <c r="AN77" i="2"/>
  <c r="AN169" i="2"/>
  <c r="AN188" i="2"/>
  <c r="AN149" i="2"/>
  <c r="AN43" i="2"/>
  <c r="AN84" i="2"/>
  <c r="AN86" i="2"/>
  <c r="AN40" i="2"/>
  <c r="P57" i="2"/>
  <c r="Q57" i="2"/>
  <c r="R57" i="2" s="1"/>
  <c r="N59" i="2"/>
  <c r="O58" i="2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P58" i="2" l="1"/>
  <c r="Q58" i="2" s="1"/>
  <c r="R58" i="2" s="1"/>
  <c r="N60" i="2"/>
  <c r="O59" i="2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P59" i="2" l="1"/>
  <c r="Q59" i="2" s="1"/>
  <c r="R59" i="2" s="1"/>
  <c r="N61" i="2"/>
  <c r="O60" i="2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N62" i="2" l="1"/>
  <c r="O61" i="2"/>
  <c r="P60" i="2"/>
  <c r="Q60" i="2" s="1"/>
  <c r="R60" i="2" s="1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P61" i="2" l="1"/>
  <c r="Q61" i="2" s="1"/>
  <c r="R61" i="2" s="1"/>
  <c r="N63" i="2"/>
  <c r="O62" i="2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N64" i="2" l="1"/>
  <c r="O63" i="2"/>
  <c r="P62" i="2"/>
  <c r="Q62" i="2" s="1"/>
  <c r="R62" i="2" s="1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P63" i="2" l="1"/>
  <c r="Q63" i="2" s="1"/>
  <c r="R63" i="2" s="1"/>
  <c r="N65" i="2"/>
  <c r="O64" i="2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N66" i="2" l="1"/>
  <c r="O65" i="2"/>
  <c r="P64" i="2"/>
  <c r="Q64" i="2" s="1"/>
  <c r="R64" i="2" s="1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P65" i="2" l="1"/>
  <c r="Q65" i="2"/>
  <c r="R65" i="2" s="1"/>
  <c r="N67" i="2"/>
  <c r="O66" i="2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P66" i="2" l="1"/>
  <c r="Q66" i="2" s="1"/>
  <c r="R66" i="2" s="1"/>
  <c r="N68" i="2"/>
  <c r="O67" i="2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P67" i="2" l="1"/>
  <c r="Q67" i="2" s="1"/>
  <c r="R67" i="2" s="1"/>
  <c r="N69" i="2"/>
  <c r="O68" i="2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N70" i="2" l="1"/>
  <c r="O69" i="2"/>
  <c r="P68" i="2"/>
  <c r="Q68" i="2" s="1"/>
  <c r="R68" i="2" s="1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P69" i="2" l="1"/>
  <c r="Q69" i="2" s="1"/>
  <c r="R69" i="2" s="1"/>
  <c r="N71" i="2"/>
  <c r="O70" i="2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P70" i="2" l="1"/>
  <c r="Q70" i="2" s="1"/>
  <c r="R70" i="2" s="1"/>
  <c r="N72" i="2"/>
  <c r="O71" i="2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P71" i="2" l="1"/>
  <c r="Q71" i="2" s="1"/>
  <c r="R71" i="2" s="1"/>
  <c r="N73" i="2"/>
  <c r="O72" i="2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P72" i="2" l="1"/>
  <c r="Q72" i="2" s="1"/>
  <c r="R72" i="2" s="1"/>
  <c r="N74" i="2"/>
  <c r="O73" i="2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P73" i="2" l="1"/>
  <c r="Q73" i="2" s="1"/>
  <c r="R73" i="2" s="1"/>
  <c r="N75" i="2"/>
  <c r="O74" i="2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N76" i="2" l="1"/>
  <c r="O75" i="2"/>
  <c r="P74" i="2"/>
  <c r="Q74" i="2" s="1"/>
  <c r="R74" i="2" s="1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P75" i="2" l="1"/>
  <c r="Q75" i="2" s="1"/>
  <c r="R75" i="2" s="1"/>
  <c r="N77" i="2"/>
  <c r="O76" i="2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P76" i="2" l="1"/>
  <c r="Q76" i="2" s="1"/>
  <c r="R76" i="2" s="1"/>
  <c r="N78" i="2"/>
  <c r="O77" i="2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N79" i="2" l="1"/>
  <c r="O78" i="2"/>
  <c r="P77" i="2"/>
  <c r="Q77" i="2" s="1"/>
  <c r="R77" i="2" s="1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P78" i="2" l="1"/>
  <c r="Q78" i="2" s="1"/>
  <c r="R78" i="2" s="1"/>
  <c r="N80" i="2"/>
  <c r="O79" i="2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P79" i="2" l="1"/>
  <c r="Q79" i="2" s="1"/>
  <c r="R79" i="2" s="1"/>
  <c r="N81" i="2"/>
  <c r="O80" i="2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N82" i="2" l="1"/>
  <c r="O81" i="2"/>
  <c r="P80" i="2"/>
  <c r="Q80" i="2" s="1"/>
  <c r="R80" i="2" s="1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P81" i="2" l="1"/>
  <c r="Q81" i="2"/>
  <c r="R81" i="2" s="1"/>
  <c r="N83" i="2"/>
  <c r="O82" i="2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DT36" i="2" l="1"/>
  <c r="DT61" i="2"/>
  <c r="DT143" i="2"/>
  <c r="DT30" i="2"/>
  <c r="DT102" i="2"/>
  <c r="DT168" i="2"/>
  <c r="DT171" i="2"/>
  <c r="DT180" i="2"/>
  <c r="DT57" i="2"/>
  <c r="DT136" i="2"/>
  <c r="DT26" i="2"/>
  <c r="DT169" i="2"/>
  <c r="DT28" i="2"/>
  <c r="DT173" i="2"/>
  <c r="DT17" i="2"/>
  <c r="DT153" i="2"/>
  <c r="DT66" i="2"/>
  <c r="DT192" i="2"/>
  <c r="DT150" i="2"/>
  <c r="DT9" i="2"/>
  <c r="DT105" i="2"/>
  <c r="DT196" i="2"/>
  <c r="DT190" i="2"/>
  <c r="DT79" i="2"/>
  <c r="DT160" i="2"/>
  <c r="DT138" i="2"/>
  <c r="DT161" i="2"/>
  <c r="DT86" i="2"/>
  <c r="DT163" i="2"/>
  <c r="DT7" i="2"/>
  <c r="DT202" i="2"/>
  <c r="DT99" i="2"/>
  <c r="DT43" i="2"/>
  <c r="DT5" i="2"/>
  <c r="DT12" i="2"/>
  <c r="DT144" i="2"/>
  <c r="DT97" i="2"/>
  <c r="DT134" i="2"/>
  <c r="DT80" i="2"/>
  <c r="DT45" i="2"/>
  <c r="DT68" i="2"/>
  <c r="DT148" i="2"/>
  <c r="DT70" i="2"/>
  <c r="DT175" i="2"/>
  <c r="DT115" i="2"/>
  <c r="DT6" i="2"/>
  <c r="DT149" i="2"/>
  <c r="DT158" i="2"/>
  <c r="DT118" i="2"/>
  <c r="DT51" i="2"/>
  <c r="DT4" i="2"/>
  <c r="DT41" i="2"/>
  <c r="DT186" i="2"/>
  <c r="DT130" i="2"/>
  <c r="DT10" i="2"/>
  <c r="DT67" i="2"/>
  <c r="DT176" i="2"/>
  <c r="DT73" i="2"/>
  <c r="DT22" i="2"/>
  <c r="DT112" i="2"/>
  <c r="DT56" i="2"/>
  <c r="DT114" i="2"/>
  <c r="DT60" i="2"/>
  <c r="DT157" i="2"/>
  <c r="DT145" i="2"/>
  <c r="DT147" i="2"/>
  <c r="DT93" i="2"/>
  <c r="DT37" i="2"/>
  <c r="DT116" i="2"/>
  <c r="DT191" i="2"/>
  <c r="DT83" i="2"/>
  <c r="DT77" i="2"/>
  <c r="DT34" i="2"/>
  <c r="DT81" i="2"/>
  <c r="DT189" i="2"/>
  <c r="DT48" i="2"/>
  <c r="DT172" i="2"/>
  <c r="DT50" i="2"/>
  <c r="DT58" i="2"/>
  <c r="DT54" i="2"/>
  <c r="DT42" i="2"/>
  <c r="DT185" i="2"/>
  <c r="DT29" i="2"/>
  <c r="DT154" i="2"/>
  <c r="DT52" i="2"/>
  <c r="DT40" i="2"/>
  <c r="DT21" i="2"/>
  <c r="DT23" i="2"/>
  <c r="DT139" i="2"/>
  <c r="DT18" i="2"/>
  <c r="DT119" i="2"/>
  <c r="DT13" i="2"/>
  <c r="DT201" i="2"/>
  <c r="DT198" i="2"/>
  <c r="DT49" i="2"/>
  <c r="DT44" i="2"/>
  <c r="DT74" i="2"/>
  <c r="DT193" i="2"/>
  <c r="DT183" i="2"/>
  <c r="DT62" i="2"/>
  <c r="DT19" i="2"/>
  <c r="DT155" i="2"/>
  <c r="DT146" i="2"/>
  <c r="DT132" i="2"/>
  <c r="DT142" i="2"/>
  <c r="DT164" i="2"/>
  <c r="DT98" i="2"/>
  <c r="DT55" i="2"/>
  <c r="DT135" i="2"/>
  <c r="DT140" i="2"/>
  <c r="DT92" i="2"/>
  <c r="DT123" i="2"/>
  <c r="DT88" i="2"/>
  <c r="DT111" i="2"/>
  <c r="DT75" i="2"/>
  <c r="DT113" i="2"/>
  <c r="DT107" i="2"/>
  <c r="DT117" i="2"/>
  <c r="DT76" i="2"/>
  <c r="DT20" i="2"/>
  <c r="DT78" i="2"/>
  <c r="DT24" i="2"/>
  <c r="DT94" i="2"/>
  <c r="DT109" i="2"/>
  <c r="DT84" i="2"/>
  <c r="DT63" i="2"/>
  <c r="DT200" i="2"/>
  <c r="DT59" i="2"/>
  <c r="DT128" i="2"/>
  <c r="DT47" i="2"/>
  <c r="DT14" i="2"/>
  <c r="DT65" i="2"/>
  <c r="DT182" i="2"/>
  <c r="DT126" i="2"/>
  <c r="DT184" i="2"/>
  <c r="DT167" i="2"/>
  <c r="DT25" i="2"/>
  <c r="DT194" i="2"/>
  <c r="DT39" i="2"/>
  <c r="DT152" i="2"/>
  <c r="DT121" i="2"/>
  <c r="DT165" i="2"/>
  <c r="DT35" i="2"/>
  <c r="DT110" i="2"/>
  <c r="DT120" i="2"/>
  <c r="DT82" i="2"/>
  <c r="DT53" i="2"/>
  <c r="DT33" i="2"/>
  <c r="DT91" i="2"/>
  <c r="DT16" i="2"/>
  <c r="DT89" i="2"/>
  <c r="DT101" i="2"/>
  <c r="DT159" i="2"/>
  <c r="DT96" i="2"/>
  <c r="DT90" i="2"/>
  <c r="DT72" i="2"/>
  <c r="DT141" i="2"/>
  <c r="DT95" i="2"/>
  <c r="DT27" i="2"/>
  <c r="DT64" i="2"/>
  <c r="DT31" i="2"/>
  <c r="DT203" i="2"/>
  <c r="DT197" i="2"/>
  <c r="DT122" i="2"/>
  <c r="DT199" i="2"/>
  <c r="DT8" i="2"/>
  <c r="DT174" i="2"/>
  <c r="DT162" i="2"/>
  <c r="DT106" i="2"/>
  <c r="DT103" i="2"/>
  <c r="DT11" i="2"/>
  <c r="DT46" i="2"/>
  <c r="DT195" i="2"/>
  <c r="DT170" i="2"/>
  <c r="DT87" i="2"/>
  <c r="DT166" i="2"/>
  <c r="DT71" i="2"/>
  <c r="DT133" i="2"/>
  <c r="DT156" i="2"/>
  <c r="DT151" i="2"/>
  <c r="DT125" i="2"/>
  <c r="DT69" i="2"/>
  <c r="DT127" i="2"/>
  <c r="DT124" i="2"/>
  <c r="DT177" i="2"/>
  <c r="DT137" i="2"/>
  <c r="DT104" i="2"/>
  <c r="DT38" i="2"/>
  <c r="DT188" i="2"/>
  <c r="DT108" i="2"/>
  <c r="DT32" i="2"/>
  <c r="DT131" i="2"/>
  <c r="DT181" i="2"/>
  <c r="DT187" i="2"/>
  <c r="DT178" i="2"/>
  <c r="DT179" i="2"/>
  <c r="DT85" i="2"/>
  <c r="DT129" i="2"/>
  <c r="DT100" i="2"/>
  <c r="DT15" i="2"/>
  <c r="CD20" i="2"/>
  <c r="CD125" i="2"/>
  <c r="CD85" i="2"/>
  <c r="CD184" i="2"/>
  <c r="CD166" i="2"/>
  <c r="CD179" i="2"/>
  <c r="CD56" i="2"/>
  <c r="CD38" i="2"/>
  <c r="CD100" i="2"/>
  <c r="CD151" i="2"/>
  <c r="CD141" i="2"/>
  <c r="CD114" i="2"/>
  <c r="CD23" i="2"/>
  <c r="CD13" i="2"/>
  <c r="CD174" i="2"/>
  <c r="CD126" i="2"/>
  <c r="CD116" i="2"/>
  <c r="CD146" i="2"/>
  <c r="CD195" i="2"/>
  <c r="CD129" i="2"/>
  <c r="CD18" i="2"/>
  <c r="CD101" i="2"/>
  <c r="CD71" i="2"/>
  <c r="CD97" i="2"/>
  <c r="CD35" i="2"/>
  <c r="CD124" i="2"/>
  <c r="CD200" i="2"/>
  <c r="CD76" i="2"/>
  <c r="CD162" i="2"/>
  <c r="CD72" i="2"/>
  <c r="CD186" i="2"/>
  <c r="CD34" i="2"/>
  <c r="CD167" i="2"/>
  <c r="CD58" i="2"/>
  <c r="CD113" i="2"/>
  <c r="CD39" i="2"/>
  <c r="CD137" i="2"/>
  <c r="CD75" i="2"/>
  <c r="CD142" i="2"/>
  <c r="CD9" i="2"/>
  <c r="CD88" i="2"/>
  <c r="CD14" i="2"/>
  <c r="CD112" i="2"/>
  <c r="CD183" i="2"/>
  <c r="CD117" i="2"/>
  <c r="CD51" i="2"/>
  <c r="CD55" i="2"/>
  <c r="CD131" i="2"/>
  <c r="CD79" i="2"/>
  <c r="CD158" i="2"/>
  <c r="CD92" i="2"/>
  <c r="CD182" i="2"/>
  <c r="CD30" i="2"/>
  <c r="CD202" i="2"/>
  <c r="CD54" i="2"/>
  <c r="CD133" i="2"/>
  <c r="CD74" i="2"/>
  <c r="CD157" i="2"/>
  <c r="CD5" i="2"/>
  <c r="CD153" i="2"/>
  <c r="CD29" i="2"/>
  <c r="CD108" i="2"/>
  <c r="CD25" i="2"/>
  <c r="CD132" i="2"/>
  <c r="CD178" i="2"/>
  <c r="CD128" i="2"/>
  <c r="CD4" i="2"/>
  <c r="CD104" i="2"/>
  <c r="CD163" i="2"/>
  <c r="CD171" i="2"/>
  <c r="CD46" i="2"/>
  <c r="CD95" i="2"/>
  <c r="CD7" i="2"/>
  <c r="CD19" i="2"/>
  <c r="CD198" i="2"/>
  <c r="CD149" i="2"/>
  <c r="CD90" i="2"/>
  <c r="CD70" i="2"/>
  <c r="CD21" i="2"/>
  <c r="CD169" i="2"/>
  <c r="CD173" i="2"/>
  <c r="CD155" i="2"/>
  <c r="CD41" i="2"/>
  <c r="CD45" i="2"/>
  <c r="CD106" i="2"/>
  <c r="CD144" i="2"/>
  <c r="CD148" i="2"/>
  <c r="CD185" i="2"/>
  <c r="CD16" i="2"/>
  <c r="CD203" i="2"/>
  <c r="CD57" i="2"/>
  <c r="CD111" i="2"/>
  <c r="CD194" i="2"/>
  <c r="CD160" i="2"/>
  <c r="CD91" i="2"/>
  <c r="CD66" i="2"/>
  <c r="CD32" i="2"/>
  <c r="CD86" i="2"/>
  <c r="CD145" i="2"/>
  <c r="CD127" i="2"/>
  <c r="CD189" i="2"/>
  <c r="CD17" i="2"/>
  <c r="CD187" i="2"/>
  <c r="CD61" i="2"/>
  <c r="CD120" i="2"/>
  <c r="CD102" i="2"/>
  <c r="CD164" i="2"/>
  <c r="CD115" i="2"/>
  <c r="CD43" i="2"/>
  <c r="CD36" i="2"/>
  <c r="CD87" i="2"/>
  <c r="CD77" i="2"/>
  <c r="CD168" i="2"/>
  <c r="CD190" i="2"/>
  <c r="CD180" i="2"/>
  <c r="CD59" i="2"/>
  <c r="CD62" i="2"/>
  <c r="CD52" i="2"/>
  <c r="CD82" i="2"/>
  <c r="CD165" i="2"/>
  <c r="CD40" i="2"/>
  <c r="CD161" i="2"/>
  <c r="CD37" i="2"/>
  <c r="CD99" i="2"/>
  <c r="CD33" i="2"/>
  <c r="CD140" i="2"/>
  <c r="CD107" i="2"/>
  <c r="CD28" i="2"/>
  <c r="CD136" i="2"/>
  <c r="CD12" i="2"/>
  <c r="CD98" i="2"/>
  <c r="CD8" i="2"/>
  <c r="CD122" i="2"/>
  <c r="CD177" i="2"/>
  <c r="CD103" i="2"/>
  <c r="CD201" i="2"/>
  <c r="CD49" i="2"/>
  <c r="CD27" i="2"/>
  <c r="CD73" i="2"/>
  <c r="CD152" i="2"/>
  <c r="CD78" i="2"/>
  <c r="CD176" i="2"/>
  <c r="CD24" i="2"/>
  <c r="CD181" i="2"/>
  <c r="CD48" i="2"/>
  <c r="CD119" i="2"/>
  <c r="CD53" i="2"/>
  <c r="CD143" i="2"/>
  <c r="CD139" i="2"/>
  <c r="CD156" i="2"/>
  <c r="CD15" i="2"/>
  <c r="CD94" i="2"/>
  <c r="CD118" i="2"/>
  <c r="CD197" i="2"/>
  <c r="CD138" i="2"/>
  <c r="CD147" i="2"/>
  <c r="CD69" i="2"/>
  <c r="CD10" i="2"/>
  <c r="CD93" i="2"/>
  <c r="CD172" i="2"/>
  <c r="CD89" i="2"/>
  <c r="CD196" i="2"/>
  <c r="CD44" i="2"/>
  <c r="CD192" i="2"/>
  <c r="CD68" i="2"/>
  <c r="CD193" i="2"/>
  <c r="CD64" i="2"/>
  <c r="CD50" i="2"/>
  <c r="CD135" i="2"/>
  <c r="CD159" i="2"/>
  <c r="CD199" i="2"/>
  <c r="CD188" i="2"/>
  <c r="CD31" i="2"/>
  <c r="CD110" i="2"/>
  <c r="CD154" i="2"/>
  <c r="CD134" i="2"/>
  <c r="CD26" i="2"/>
  <c r="CD6" i="2"/>
  <c r="CD60" i="2"/>
  <c r="CD105" i="2"/>
  <c r="CD109" i="2"/>
  <c r="CD170" i="2"/>
  <c r="CD11" i="2"/>
  <c r="CD83" i="2"/>
  <c r="CD42" i="2"/>
  <c r="CD80" i="2"/>
  <c r="CD84" i="2"/>
  <c r="CD121" i="2"/>
  <c r="CD175" i="2"/>
  <c r="CD65" i="2"/>
  <c r="CD123" i="2"/>
  <c r="CD47" i="2"/>
  <c r="CD130" i="2"/>
  <c r="CD96" i="2"/>
  <c r="CD150" i="2"/>
  <c r="CD67" i="2"/>
  <c r="CD191" i="2"/>
  <c r="CD22" i="2"/>
  <c r="CD81" i="2"/>
  <c r="CD63" i="2"/>
  <c r="P82" i="2"/>
  <c r="Q82" i="2" s="1"/>
  <c r="R82" i="2" s="1"/>
  <c r="N84" i="2"/>
  <c r="O83" i="2"/>
  <c r="CY3" i="2"/>
  <c r="CD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P83" i="2" l="1"/>
  <c r="Q83" i="2"/>
  <c r="R83" i="2" s="1"/>
  <c r="N85" i="2"/>
  <c r="O84" i="2"/>
  <c r="C10" i="4"/>
  <c r="E10" i="4" s="1"/>
  <c r="F10" i="4" s="1"/>
  <c r="G10" i="4" s="1"/>
  <c r="L10" i="4" s="1"/>
  <c r="C9" i="4"/>
  <c r="E9" i="4" s="1"/>
  <c r="F9" i="4" s="1"/>
  <c r="G9" i="4" s="1"/>
  <c r="L9" i="4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P84" i="2" l="1"/>
  <c r="Q84" i="2"/>
  <c r="R84" i="2" s="1"/>
  <c r="N86" i="2"/>
  <c r="O85" i="2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N87" i="2" l="1"/>
  <c r="O86" i="2"/>
  <c r="P85" i="2"/>
  <c r="Q85" i="2" s="1"/>
  <c r="R85" i="2" s="1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P86" i="2" l="1"/>
  <c r="Q86" i="2"/>
  <c r="R86" i="2" s="1"/>
  <c r="N88" i="2"/>
  <c r="O87" i="2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P87" i="2" l="1"/>
  <c r="Q87" i="2" s="1"/>
  <c r="R87" i="2" s="1"/>
  <c r="N89" i="2"/>
  <c r="O88" i="2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P88" i="2" l="1"/>
  <c r="Q88" i="2" s="1"/>
  <c r="R88" i="2" s="1"/>
  <c r="N90" i="2"/>
  <c r="O89" i="2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N91" i="2" l="1"/>
  <c r="O90" i="2"/>
  <c r="P89" i="2"/>
  <c r="Q89" i="2" s="1"/>
  <c r="R89" i="2" s="1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P90" i="2" l="1"/>
  <c r="Q90" i="2"/>
  <c r="R90" i="2" s="1"/>
  <c r="N92" i="2"/>
  <c r="O91" i="2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P91" i="2" l="1"/>
  <c r="Q91" i="2" s="1"/>
  <c r="R91" i="2" s="1"/>
  <c r="N93" i="2"/>
  <c r="O92" i="2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N94" i="2" l="1"/>
  <c r="O93" i="2"/>
  <c r="P92" i="2"/>
  <c r="Q92" i="2" s="1"/>
  <c r="R92" i="2" s="1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P93" i="2" l="1"/>
  <c r="Q93" i="2" s="1"/>
  <c r="R93" i="2" s="1"/>
  <c r="N95" i="2"/>
  <c r="O94" i="2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P94" i="2" l="1"/>
  <c r="Q94" i="2" s="1"/>
  <c r="R94" i="2" s="1"/>
  <c r="N96" i="2"/>
  <c r="O95" i="2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P95" i="2" l="1"/>
  <c r="Q95" i="2" s="1"/>
  <c r="R95" i="2" s="1"/>
  <c r="N97" i="2"/>
  <c r="O96" i="2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P96" i="2" l="1"/>
  <c r="Q96" i="2" s="1"/>
  <c r="R96" i="2" s="1"/>
  <c r="N98" i="2"/>
  <c r="O97" i="2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P97" i="2" l="1"/>
  <c r="Q97" i="2"/>
  <c r="R97" i="2" s="1"/>
  <c r="N99" i="2"/>
  <c r="O98" i="2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P98" i="2" l="1"/>
  <c r="Q98" i="2"/>
  <c r="R98" i="2" s="1"/>
  <c r="N100" i="2"/>
  <c r="O99" i="2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P99" i="2" l="1"/>
  <c r="Q99" i="2" s="1"/>
  <c r="R99" i="2" s="1"/>
  <c r="N101" i="2"/>
  <c r="O100" i="2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P100" i="2" l="1"/>
  <c r="Q100" i="2" s="1"/>
  <c r="R100" i="2" s="1"/>
  <c r="N102" i="2"/>
  <c r="O101" i="2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P101" i="2" l="1"/>
  <c r="Q101" i="2" s="1"/>
  <c r="R101" i="2" s="1"/>
  <c r="N103" i="2"/>
  <c r="O102" i="2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P102" i="2" l="1"/>
  <c r="Q102" i="2" s="1"/>
  <c r="R102" i="2" s="1"/>
  <c r="N104" i="2"/>
  <c r="O103" i="2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P103" i="2" l="1"/>
  <c r="Q103" i="2" s="1"/>
  <c r="R103" i="2" s="1"/>
  <c r="N105" i="2"/>
  <c r="O104" i="2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P104" i="2" l="1"/>
  <c r="Q104" i="2" s="1"/>
  <c r="R104" i="2" s="1"/>
  <c r="N106" i="2"/>
  <c r="O105" i="2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P105" i="2" l="1"/>
  <c r="Q105" i="2"/>
  <c r="R105" i="2" s="1"/>
  <c r="N107" i="2"/>
  <c r="O106" i="2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P106" i="2" l="1"/>
  <c r="Q106" i="2"/>
  <c r="R106" i="2" s="1"/>
  <c r="N108" i="2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07" i="2" l="1"/>
  <c r="Q107" i="2" s="1"/>
  <c r="R107" i="2" s="1"/>
  <c r="N109" i="2"/>
  <c r="O108" i="2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P108" i="2" l="1"/>
  <c r="Q108" i="2"/>
  <c r="R108" i="2" s="1"/>
  <c r="N110" i="2"/>
  <c r="O109" i="2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P109" i="2" l="1"/>
  <c r="Q109" i="2" s="1"/>
  <c r="R109" i="2" s="1"/>
  <c r="N111" i="2"/>
  <c r="O110" i="2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P110" i="2" l="1"/>
  <c r="Q110" i="2"/>
  <c r="R110" i="2" s="1"/>
  <c r="N112" i="2"/>
  <c r="O111" i="2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P111" i="2" l="1"/>
  <c r="Q111" i="2" s="1"/>
  <c r="R111" i="2" s="1"/>
  <c r="N113" i="2"/>
  <c r="O112" i="2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P112" i="2" l="1"/>
  <c r="Q112" i="2" s="1"/>
  <c r="R112" i="2" s="1"/>
  <c r="N114" i="2"/>
  <c r="O113" i="2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P113" i="2" l="1"/>
  <c r="Q113" i="2" s="1"/>
  <c r="R113" i="2" s="1"/>
  <c r="N115" i="2"/>
  <c r="O114" i="2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P114" i="2" l="1"/>
  <c r="Q114" i="2"/>
  <c r="R114" i="2" s="1"/>
  <c r="N116" i="2"/>
  <c r="O115" i="2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P115" i="2" l="1"/>
  <c r="Q115" i="2" s="1"/>
  <c r="R115" i="2" s="1"/>
  <c r="N117" i="2"/>
  <c r="O116" i="2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P116" i="2" l="1"/>
  <c r="Q116" i="2"/>
  <c r="R116" i="2" s="1"/>
  <c r="N118" i="2"/>
  <c r="O117" i="2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P117" i="2" l="1"/>
  <c r="Q117" i="2" s="1"/>
  <c r="R117" i="2" s="1"/>
  <c r="N119" i="2"/>
  <c r="O118" i="2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P118" i="2" l="1"/>
  <c r="Q118" i="2"/>
  <c r="R118" i="2" s="1"/>
  <c r="N120" i="2"/>
  <c r="O119" i="2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P119" i="2" l="1"/>
  <c r="Q119" i="2" s="1"/>
  <c r="R119" i="2" s="1"/>
  <c r="N121" i="2"/>
  <c r="O120" i="2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N122" i="2" l="1"/>
  <c r="O121" i="2"/>
  <c r="P120" i="2"/>
  <c r="Q120" i="2" s="1"/>
  <c r="R120" i="2" s="1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P121" i="2" l="1"/>
  <c r="Q121" i="2"/>
  <c r="R121" i="2" s="1"/>
  <c r="N123" i="2"/>
  <c r="O122" i="2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P122" i="2" l="1"/>
  <c r="Q122" i="2"/>
  <c r="R122" i="2" s="1"/>
  <c r="N124" i="2"/>
  <c r="O123" i="2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P123" i="2" l="1"/>
  <c r="Q123" i="2"/>
  <c r="R123" i="2" s="1"/>
  <c r="N125" i="2"/>
  <c r="O124" i="2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P124" i="2" l="1"/>
  <c r="Q124" i="2" s="1"/>
  <c r="R124" i="2" s="1"/>
  <c r="N126" i="2"/>
  <c r="O125" i="2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P125" i="2" l="1"/>
  <c r="Q125" i="2" s="1"/>
  <c r="R125" i="2" s="1"/>
  <c r="N127" i="2"/>
  <c r="O126" i="2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26" i="2" l="1"/>
  <c r="Q126" i="2"/>
  <c r="R126" i="2" s="1"/>
  <c r="N128" i="2"/>
  <c r="O127" i="2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P127" i="2" l="1"/>
  <c r="Q127" i="2" s="1"/>
  <c r="R127" i="2" s="1"/>
  <c r="N129" i="2"/>
  <c r="O128" i="2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P128" i="2" l="1"/>
  <c r="Q128" i="2" s="1"/>
  <c r="R128" i="2" s="1"/>
  <c r="N130" i="2"/>
  <c r="O129" i="2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P129" i="2" l="1"/>
  <c r="Q129" i="2" s="1"/>
  <c r="R129" i="2" s="1"/>
  <c r="N131" i="2"/>
  <c r="O130" i="2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N132" i="2" l="1"/>
  <c r="O131" i="2"/>
  <c r="P130" i="2"/>
  <c r="Q130" i="2" s="1"/>
  <c r="R130" i="2" s="1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P131" i="2" l="1"/>
  <c r="Q131" i="2"/>
  <c r="R131" i="2" s="1"/>
  <c r="N133" i="2"/>
  <c r="O132" i="2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P132" i="2" l="1"/>
  <c r="Q132" i="2"/>
  <c r="R132" i="2" s="1"/>
  <c r="N134" i="2"/>
  <c r="O133" i="2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P133" i="2" l="1"/>
  <c r="Q133" i="2" s="1"/>
  <c r="R133" i="2" s="1"/>
  <c r="N135" i="2"/>
  <c r="O134" i="2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P134" i="2" l="1"/>
  <c r="Q134" i="2"/>
  <c r="R134" i="2" s="1"/>
  <c r="N136" i="2"/>
  <c r="O135" i="2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N137" i="2" l="1"/>
  <c r="O136" i="2"/>
  <c r="P135" i="2"/>
  <c r="Q135" i="2" s="1"/>
  <c r="R135" i="2" s="1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P136" i="2" l="1"/>
  <c r="Q136" i="2" s="1"/>
  <c r="R136" i="2" s="1"/>
  <c r="N138" i="2"/>
  <c r="O137" i="2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N139" i="2" l="1"/>
  <c r="O138" i="2"/>
  <c r="P137" i="2"/>
  <c r="Q137" i="2" s="1"/>
  <c r="R137" i="2" s="1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P138" i="2" l="1"/>
  <c r="Q138" i="2" s="1"/>
  <c r="R138" i="2" s="1"/>
  <c r="N140" i="2"/>
  <c r="O139" i="2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N141" i="2" l="1"/>
  <c r="O140" i="2"/>
  <c r="P139" i="2"/>
  <c r="Q139" i="2" s="1"/>
  <c r="R139" i="2" s="1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P140" i="2" l="1"/>
  <c r="Q140" i="2"/>
  <c r="R140" i="2" s="1"/>
  <c r="N142" i="2"/>
  <c r="O141" i="2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N143" i="2" l="1"/>
  <c r="O142" i="2"/>
  <c r="P141" i="2"/>
  <c r="Q141" i="2" s="1"/>
  <c r="R141" i="2" s="1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P142" i="2" l="1"/>
  <c r="Q142" i="2" s="1"/>
  <c r="R142" i="2" s="1"/>
  <c r="N144" i="2"/>
  <c r="O143" i="2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P143" i="2" l="1"/>
  <c r="Q143" i="2" s="1"/>
  <c r="R143" i="2" s="1"/>
  <c r="N145" i="2"/>
  <c r="O144" i="2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P144" i="2" l="1"/>
  <c r="Q144" i="2" s="1"/>
  <c r="R144" i="2" s="1"/>
  <c r="N146" i="2"/>
  <c r="O145" i="2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P145" i="2" l="1"/>
  <c r="Q145" i="2" s="1"/>
  <c r="R145" i="2" s="1"/>
  <c r="N147" i="2"/>
  <c r="O146" i="2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P146" i="2" l="1"/>
  <c r="Q146" i="2" s="1"/>
  <c r="R146" i="2" s="1"/>
  <c r="N148" i="2"/>
  <c r="O147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N149" i="2" l="1"/>
  <c r="O148" i="2"/>
  <c r="P147" i="2"/>
  <c r="Q147" i="2" s="1"/>
  <c r="R147" i="2" s="1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P148" i="2" l="1"/>
  <c r="Q148" i="2"/>
  <c r="R148" i="2" s="1"/>
  <c r="N150" i="2"/>
  <c r="O149" i="2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P149" i="2" l="1"/>
  <c r="Q149" i="2"/>
  <c r="R149" i="2" s="1"/>
  <c r="N151" i="2"/>
  <c r="O150" i="2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P150" i="2" l="1"/>
  <c r="Q150" i="2" s="1"/>
  <c r="R150" i="2" s="1"/>
  <c r="N152" i="2"/>
  <c r="O151" i="2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N153" i="2" l="1"/>
  <c r="O152" i="2"/>
  <c r="P151" i="2"/>
  <c r="Q151" i="2" s="1"/>
  <c r="R151" i="2" s="1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P152" i="2" l="1"/>
  <c r="Q152" i="2" s="1"/>
  <c r="R152" i="2" s="1"/>
  <c r="N154" i="2"/>
  <c r="O153" i="2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P153" i="2" l="1"/>
  <c r="Q153" i="2"/>
  <c r="R153" i="2" s="1"/>
  <c r="N155" i="2"/>
  <c r="O154" i="2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P154" i="2" l="1"/>
  <c r="Q154" i="2"/>
  <c r="R154" i="2" s="1"/>
  <c r="N156" i="2"/>
  <c r="O155" i="2"/>
  <c r="BG20" i="2"/>
  <c r="BH20" i="2" s="1"/>
  <c r="BS20" i="2"/>
  <c r="BP21" i="2"/>
  <c r="BE22" i="2"/>
  <c r="BF21" i="2"/>
  <c r="BG21" i="2" s="1"/>
  <c r="BH21" i="2" s="1"/>
  <c r="P155" i="2" l="1"/>
  <c r="Q155" i="2"/>
  <c r="R155" i="2" s="1"/>
  <c r="N157" i="2"/>
  <c r="O156" i="2"/>
  <c r="BS21" i="2"/>
  <c r="BP22" i="2"/>
  <c r="BF22" i="2"/>
  <c r="BG22" i="2" s="1"/>
  <c r="BH22" i="2" s="1"/>
  <c r="BE23" i="2"/>
  <c r="P156" i="2" l="1"/>
  <c r="Q156" i="2" s="1"/>
  <c r="R156" i="2" s="1"/>
  <c r="N158" i="2"/>
  <c r="O157" i="2"/>
  <c r="BS22" i="2"/>
  <c r="BP23" i="2"/>
  <c r="BE24" i="2"/>
  <c r="BF23" i="2"/>
  <c r="BG23" i="2" s="1"/>
  <c r="BH23" i="2" s="1"/>
  <c r="P157" i="2" l="1"/>
  <c r="Q157" i="2"/>
  <c r="R157" i="2" s="1"/>
  <c r="N159" i="2"/>
  <c r="O158" i="2"/>
  <c r="BE25" i="2"/>
  <c r="BS23" i="2"/>
  <c r="BP24" i="2"/>
  <c r="BF24" i="2"/>
  <c r="BG24" i="2" s="1"/>
  <c r="BH24" i="2" s="1"/>
  <c r="P158" i="2" l="1"/>
  <c r="Q158" i="2"/>
  <c r="R158" i="2" s="1"/>
  <c r="N160" i="2"/>
  <c r="O159" i="2"/>
  <c r="BS24" i="2"/>
  <c r="BP25" i="2"/>
  <c r="BE26" i="2"/>
  <c r="BF25" i="2"/>
  <c r="BG25" i="2" s="1"/>
  <c r="BH25" i="2" s="1"/>
  <c r="P159" i="2" l="1"/>
  <c r="Q159" i="2" s="1"/>
  <c r="R159" i="2" s="1"/>
  <c r="N161" i="2"/>
  <c r="O160" i="2"/>
  <c r="BE27" i="2"/>
  <c r="BS25" i="2"/>
  <c r="BP26" i="2"/>
  <c r="BF26" i="2"/>
  <c r="BG26" i="2" s="1"/>
  <c r="BH26" i="2" s="1"/>
  <c r="N162" i="2" l="1"/>
  <c r="O161" i="2"/>
  <c r="P160" i="2"/>
  <c r="Q160" i="2" s="1"/>
  <c r="R160" i="2" s="1"/>
  <c r="BS26" i="2"/>
  <c r="BP27" i="2"/>
  <c r="BE28" i="2"/>
  <c r="BF27" i="2"/>
  <c r="BG27" i="2" s="1"/>
  <c r="BH27" i="2" s="1"/>
  <c r="P161" i="2" l="1"/>
  <c r="Q161" i="2"/>
  <c r="R161" i="2" s="1"/>
  <c r="N163" i="2"/>
  <c r="O162" i="2"/>
  <c r="BE29" i="2"/>
  <c r="BS27" i="2"/>
  <c r="BP28" i="2"/>
  <c r="BF28" i="2"/>
  <c r="BG28" i="2" s="1"/>
  <c r="BH28" i="2" s="1"/>
  <c r="P162" i="2" l="1"/>
  <c r="Q162" i="2"/>
  <c r="R162" i="2" s="1"/>
  <c r="N164" i="2"/>
  <c r="O163" i="2"/>
  <c r="BS28" i="2"/>
  <c r="BP29" i="2"/>
  <c r="BE30" i="2"/>
  <c r="BF29" i="2"/>
  <c r="BG29" i="2" s="1"/>
  <c r="BH29" i="2" s="1"/>
  <c r="P163" i="2" l="1"/>
  <c r="Q163" i="2"/>
  <c r="R163" i="2" s="1"/>
  <c r="N165" i="2"/>
  <c r="O164" i="2"/>
  <c r="BF30" i="2"/>
  <c r="BG30" i="2" s="1"/>
  <c r="BH30" i="2" s="1"/>
  <c r="BE31" i="2"/>
  <c r="BS29" i="2"/>
  <c r="BP30" i="2"/>
  <c r="P164" i="2" l="1"/>
  <c r="Q164" i="2"/>
  <c r="R164" i="2" s="1"/>
  <c r="N166" i="2"/>
  <c r="O165" i="2"/>
  <c r="BF31" i="2"/>
  <c r="BG31" i="2" s="1"/>
  <c r="BH31" i="2" s="1"/>
  <c r="BS30" i="2"/>
  <c r="BP31" i="2"/>
  <c r="BE32" i="2"/>
  <c r="P165" i="2" l="1"/>
  <c r="Q165" i="2"/>
  <c r="R165" i="2" s="1"/>
  <c r="N167" i="2"/>
  <c r="O166" i="2"/>
  <c r="BF32" i="2"/>
  <c r="BG32" i="2" s="1"/>
  <c r="BH32" i="2" s="1"/>
  <c r="BE33" i="2"/>
  <c r="BS31" i="2"/>
  <c r="BP32" i="2"/>
  <c r="P166" i="2" l="1"/>
  <c r="Q166" i="2"/>
  <c r="R166" i="2" s="1"/>
  <c r="N168" i="2"/>
  <c r="O167" i="2"/>
  <c r="BS32" i="2"/>
  <c r="BP33" i="2"/>
  <c r="BE34" i="2"/>
  <c r="BF33" i="2"/>
  <c r="BG33" i="2" s="1"/>
  <c r="BH33" i="2" s="1"/>
  <c r="BJ4" i="2" l="1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8" i="2"/>
  <c r="BJ48" i="2"/>
  <c r="BJ72" i="2"/>
  <c r="BJ104" i="2"/>
  <c r="BJ128" i="2"/>
  <c r="BJ160" i="2"/>
  <c r="BJ184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40" i="2"/>
  <c r="BJ96" i="2"/>
  <c r="BJ152" i="2"/>
  <c r="BJ192" i="2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32" i="2"/>
  <c r="BJ80" i="2"/>
  <c r="BJ144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24" i="2"/>
  <c r="BJ56" i="2"/>
  <c r="BJ88" i="2"/>
  <c r="BJ112" i="2"/>
  <c r="BJ136" i="2"/>
  <c r="BJ176" i="2"/>
  <c r="BJ200" i="2"/>
  <c r="BJ16" i="2"/>
  <c r="BJ64" i="2"/>
  <c r="BJ120" i="2"/>
  <c r="BJ168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9" i="2"/>
  <c r="BJ41" i="2"/>
  <c r="BJ73" i="2"/>
  <c r="BJ105" i="2"/>
  <c r="BJ137" i="2"/>
  <c r="BJ169" i="2"/>
  <c r="BJ201" i="2"/>
  <c r="BJ186" i="2"/>
  <c r="BJ33" i="2"/>
  <c r="BJ129" i="2"/>
  <c r="BJ193" i="2"/>
  <c r="BJ10" i="2"/>
  <c r="BJ42" i="2"/>
  <c r="BJ74" i="2"/>
  <c r="BJ106" i="2"/>
  <c r="BJ138" i="2"/>
  <c r="BJ170" i="2"/>
  <c r="BJ202" i="2"/>
  <c r="BJ17" i="2"/>
  <c r="BJ49" i="2"/>
  <c r="BJ81" i="2"/>
  <c r="BJ113" i="2"/>
  <c r="BJ145" i="2"/>
  <c r="BJ177" i="2"/>
  <c r="BJ90" i="2"/>
  <c r="BJ18" i="2"/>
  <c r="BJ50" i="2"/>
  <c r="BJ82" i="2"/>
  <c r="BJ114" i="2"/>
  <c r="BJ146" i="2"/>
  <c r="BJ178" i="2"/>
  <c r="BJ26" i="2"/>
  <c r="BJ25" i="2"/>
  <c r="BJ57" i="2"/>
  <c r="BJ89" i="2"/>
  <c r="BJ121" i="2"/>
  <c r="BJ153" i="2"/>
  <c r="BJ185" i="2"/>
  <c r="BJ154" i="2"/>
  <c r="BJ65" i="2"/>
  <c r="BJ161" i="2"/>
  <c r="BJ122" i="2"/>
  <c r="BJ97" i="2"/>
  <c r="BJ34" i="2"/>
  <c r="BJ66" i="2"/>
  <c r="BJ98" i="2"/>
  <c r="BJ130" i="2"/>
  <c r="BJ162" i="2"/>
  <c r="BJ194" i="2"/>
  <c r="BJ58" i="2"/>
  <c r="P167" i="2"/>
  <c r="Q167" i="2" s="1"/>
  <c r="R167" i="2" s="1"/>
  <c r="N169" i="2"/>
  <c r="O168" i="2"/>
  <c r="BJ3" i="2"/>
  <c r="D8" i="4" s="1"/>
  <c r="BF34" i="2"/>
  <c r="BG34" i="2" s="1"/>
  <c r="BH34" i="2" s="1"/>
  <c r="BE35" i="2"/>
  <c r="BS33" i="2"/>
  <c r="H8" i="4" s="1"/>
  <c r="H16" i="4" s="1"/>
  <c r="BP34" i="2"/>
  <c r="N170" i="2" l="1"/>
  <c r="O169" i="2"/>
  <c r="P168" i="2"/>
  <c r="Q168" i="2" s="1"/>
  <c r="R168" i="2" s="1"/>
  <c r="I8" i="4"/>
  <c r="BS34" i="2"/>
  <c r="BP35" i="2"/>
  <c r="BE36" i="2"/>
  <c r="BF35" i="2"/>
  <c r="BG35" i="2" s="1"/>
  <c r="BH35" i="2" s="1"/>
  <c r="P169" i="2" l="1"/>
  <c r="Q169" i="2"/>
  <c r="R169" i="2" s="1"/>
  <c r="N171" i="2"/>
  <c r="O170" i="2"/>
  <c r="I16" i="4"/>
  <c r="BE37" i="2"/>
  <c r="BS35" i="2"/>
  <c r="BP36" i="2"/>
  <c r="BF36" i="2"/>
  <c r="BG36" i="2" s="1"/>
  <c r="BH36" i="2" s="1"/>
  <c r="P170" i="2" l="1"/>
  <c r="Q170" i="2"/>
  <c r="R170" i="2" s="1"/>
  <c r="N172" i="2"/>
  <c r="O171" i="2"/>
  <c r="BS36" i="2"/>
  <c r="BP37" i="2"/>
  <c r="BE38" i="2"/>
  <c r="BF37" i="2"/>
  <c r="BG37" i="2" s="1"/>
  <c r="BH37" i="2" s="1"/>
  <c r="P171" i="2" l="1"/>
  <c r="Q171" i="2"/>
  <c r="R171" i="2" s="1"/>
  <c r="N173" i="2"/>
  <c r="O172" i="2"/>
  <c r="BS37" i="2"/>
  <c r="BP38" i="2"/>
  <c r="BE39" i="2"/>
  <c r="BF38" i="2"/>
  <c r="BG38" i="2" s="1"/>
  <c r="BH38" i="2" s="1"/>
  <c r="P172" i="2" l="1"/>
  <c r="Q172" i="2"/>
  <c r="R172" i="2" s="1"/>
  <c r="N174" i="2"/>
  <c r="O173" i="2"/>
  <c r="BS38" i="2"/>
  <c r="BP39" i="2"/>
  <c r="BE40" i="2"/>
  <c r="BF39" i="2"/>
  <c r="BG39" i="2" s="1"/>
  <c r="BH39" i="2" s="1"/>
  <c r="P173" i="2" l="1"/>
  <c r="Q173" i="2"/>
  <c r="R173" i="2" s="1"/>
  <c r="N175" i="2"/>
  <c r="O174" i="2"/>
  <c r="BS39" i="2"/>
  <c r="BP40" i="2"/>
  <c r="BE41" i="2"/>
  <c r="BF40" i="2"/>
  <c r="BG40" i="2" s="1"/>
  <c r="BH40" i="2" s="1"/>
  <c r="P174" i="2" l="1"/>
  <c r="Q174" i="2"/>
  <c r="R174" i="2" s="1"/>
  <c r="N176" i="2"/>
  <c r="O175" i="2"/>
  <c r="BS40" i="2"/>
  <c r="BP41" i="2"/>
  <c r="BE42" i="2"/>
  <c r="BF41" i="2"/>
  <c r="BG41" i="2" s="1"/>
  <c r="BH41" i="2" s="1"/>
  <c r="P175" i="2" l="1"/>
  <c r="Q175" i="2" s="1"/>
  <c r="R175" i="2" s="1"/>
  <c r="N177" i="2"/>
  <c r="O176" i="2"/>
  <c r="BS41" i="2"/>
  <c r="BP42" i="2"/>
  <c r="BE43" i="2"/>
  <c r="BF42" i="2"/>
  <c r="BG42" i="2" s="1"/>
  <c r="BH42" i="2" s="1"/>
  <c r="N178" i="2" l="1"/>
  <c r="O177" i="2"/>
  <c r="P176" i="2"/>
  <c r="Q176" i="2" s="1"/>
  <c r="R176" i="2" s="1"/>
  <c r="BS42" i="2"/>
  <c r="BP43" i="2"/>
  <c r="BE44" i="2"/>
  <c r="BF43" i="2"/>
  <c r="BG43" i="2" s="1"/>
  <c r="BH43" i="2" s="1"/>
  <c r="P177" i="2" l="1"/>
  <c r="Q177" i="2"/>
  <c r="R177" i="2" s="1"/>
  <c r="N179" i="2"/>
  <c r="O178" i="2"/>
  <c r="BS43" i="2"/>
  <c r="BP44" i="2"/>
  <c r="BE45" i="2"/>
  <c r="BF44" i="2"/>
  <c r="BG44" i="2" s="1"/>
  <c r="BH44" i="2" s="1"/>
  <c r="P178" i="2" l="1"/>
  <c r="Q178" i="2"/>
  <c r="R178" i="2" s="1"/>
  <c r="N180" i="2"/>
  <c r="O179" i="2"/>
  <c r="BS44" i="2"/>
  <c r="BP45" i="2"/>
  <c r="BE46" i="2"/>
  <c r="BF45" i="2"/>
  <c r="BG45" i="2" s="1"/>
  <c r="BH45" i="2" s="1"/>
  <c r="P179" i="2" l="1"/>
  <c r="Q179" i="2"/>
  <c r="R179" i="2" s="1"/>
  <c r="N181" i="2"/>
  <c r="O180" i="2"/>
  <c r="BS45" i="2"/>
  <c r="BP46" i="2"/>
  <c r="BE47" i="2"/>
  <c r="BF46" i="2"/>
  <c r="BG46" i="2" s="1"/>
  <c r="BH46" i="2" s="1"/>
  <c r="P180" i="2" l="1"/>
  <c r="Q180" i="2"/>
  <c r="R180" i="2" s="1"/>
  <c r="N182" i="2"/>
  <c r="O181" i="2"/>
  <c r="BS46" i="2"/>
  <c r="BP47" i="2"/>
  <c r="BE48" i="2"/>
  <c r="BF47" i="2"/>
  <c r="BG47" i="2" s="1"/>
  <c r="BH47" i="2" s="1"/>
  <c r="P181" i="2" l="1"/>
  <c r="Q181" i="2"/>
  <c r="R181" i="2" s="1"/>
  <c r="N183" i="2"/>
  <c r="O182" i="2"/>
  <c r="BE49" i="2"/>
  <c r="BS47" i="2"/>
  <c r="BP48" i="2"/>
  <c r="BF48" i="2"/>
  <c r="BG48" i="2" s="1"/>
  <c r="BH48" i="2" s="1"/>
  <c r="P182" i="2" l="1"/>
  <c r="Q182" i="2" s="1"/>
  <c r="R182" i="2" s="1"/>
  <c r="N184" i="2"/>
  <c r="O183" i="2"/>
  <c r="BS48" i="2"/>
  <c r="BP49" i="2"/>
  <c r="BE50" i="2"/>
  <c r="BF49" i="2"/>
  <c r="BG49" i="2" s="1"/>
  <c r="BH49" i="2" s="1"/>
  <c r="P183" i="2" l="1"/>
  <c r="Q183" i="2" s="1"/>
  <c r="R183" i="2" s="1"/>
  <c r="N185" i="2"/>
  <c r="O184" i="2"/>
  <c r="BE51" i="2"/>
  <c r="BS49" i="2"/>
  <c r="BP50" i="2"/>
  <c r="BF50" i="2"/>
  <c r="BG50" i="2" s="1"/>
  <c r="BH50" i="2" s="1"/>
  <c r="N186" i="2" l="1"/>
  <c r="O185" i="2"/>
  <c r="P184" i="2"/>
  <c r="Q184" i="2" s="1"/>
  <c r="R184" i="2" s="1"/>
  <c r="BS50" i="2"/>
  <c r="BP51" i="2"/>
  <c r="BE52" i="2"/>
  <c r="BF51" i="2"/>
  <c r="BG51" i="2" s="1"/>
  <c r="BH51" i="2" s="1"/>
  <c r="P185" i="2" l="1"/>
  <c r="Q185" i="2"/>
  <c r="R185" i="2" s="1"/>
  <c r="N187" i="2"/>
  <c r="O186" i="2"/>
  <c r="BE53" i="2"/>
  <c r="BS51" i="2"/>
  <c r="BP52" i="2"/>
  <c r="BF52" i="2"/>
  <c r="BG52" i="2" s="1"/>
  <c r="BH52" i="2" s="1"/>
  <c r="P186" i="2" l="1"/>
  <c r="Q186" i="2"/>
  <c r="R186" i="2" s="1"/>
  <c r="N188" i="2"/>
  <c r="O187" i="2"/>
  <c r="BS52" i="2"/>
  <c r="BP53" i="2"/>
  <c r="BE54" i="2"/>
  <c r="BF53" i="2"/>
  <c r="BG53" i="2" s="1"/>
  <c r="BH53" i="2" s="1"/>
  <c r="P187" i="2" l="1"/>
  <c r="Q187" i="2"/>
  <c r="R187" i="2" s="1"/>
  <c r="N189" i="2"/>
  <c r="O188" i="2"/>
  <c r="BE55" i="2"/>
  <c r="BS53" i="2"/>
  <c r="BP54" i="2"/>
  <c r="BF54" i="2"/>
  <c r="BG54" i="2" s="1"/>
  <c r="BH54" i="2" s="1"/>
  <c r="P188" i="2" l="1"/>
  <c r="Q188" i="2"/>
  <c r="R188" i="2" s="1"/>
  <c r="N190" i="2"/>
  <c r="O189" i="2"/>
  <c r="BS54" i="2"/>
  <c r="BP55" i="2"/>
  <c r="BE56" i="2"/>
  <c r="BF55" i="2"/>
  <c r="BG55" i="2" s="1"/>
  <c r="BH55" i="2" s="1"/>
  <c r="P189" i="2" l="1"/>
  <c r="Q189" i="2"/>
  <c r="R189" i="2" s="1"/>
  <c r="N191" i="2"/>
  <c r="O190" i="2"/>
  <c r="BE57" i="2"/>
  <c r="BS55" i="2"/>
  <c r="BP56" i="2"/>
  <c r="BF56" i="2"/>
  <c r="BG56" i="2" s="1"/>
  <c r="BH56" i="2" s="1"/>
  <c r="P190" i="2" l="1"/>
  <c r="Q190" i="2"/>
  <c r="R190" i="2" s="1"/>
  <c r="N192" i="2"/>
  <c r="O191" i="2"/>
  <c r="BS56" i="2"/>
  <c r="BP57" i="2"/>
  <c r="BE58" i="2"/>
  <c r="BF57" i="2"/>
  <c r="BG57" i="2" s="1"/>
  <c r="BH57" i="2" s="1"/>
  <c r="P191" i="2" l="1"/>
  <c r="Q191" i="2"/>
  <c r="R191" i="2" s="1"/>
  <c r="N193" i="2"/>
  <c r="O192" i="2"/>
  <c r="BE59" i="2"/>
  <c r="BS57" i="2"/>
  <c r="BP58" i="2"/>
  <c r="BF58" i="2"/>
  <c r="BG58" i="2" s="1"/>
  <c r="BH58" i="2" s="1"/>
  <c r="P192" i="2" l="1"/>
  <c r="Q192" i="2" s="1"/>
  <c r="R192" i="2" s="1"/>
  <c r="N194" i="2"/>
  <c r="O193" i="2"/>
  <c r="BS58" i="2"/>
  <c r="BP59" i="2"/>
  <c r="BE60" i="2"/>
  <c r="BF59" i="2"/>
  <c r="BG59" i="2" s="1"/>
  <c r="BH59" i="2" s="1"/>
  <c r="N195" i="2" l="1"/>
  <c r="O194" i="2"/>
  <c r="P193" i="2"/>
  <c r="Q193" i="2" s="1"/>
  <c r="R193" i="2" s="1"/>
  <c r="BE61" i="2"/>
  <c r="BS59" i="2"/>
  <c r="BP60" i="2"/>
  <c r="BF60" i="2"/>
  <c r="BG60" i="2" s="1"/>
  <c r="BH60" i="2" s="1"/>
  <c r="P194" i="2" l="1"/>
  <c r="Q194" i="2" s="1"/>
  <c r="R194" i="2" s="1"/>
  <c r="N196" i="2"/>
  <c r="O195" i="2"/>
  <c r="BS60" i="2"/>
  <c r="BP61" i="2"/>
  <c r="BE62" i="2"/>
  <c r="BF61" i="2"/>
  <c r="BG61" i="2" s="1"/>
  <c r="BH61" i="2" s="1"/>
  <c r="P195" i="2" l="1"/>
  <c r="Q195" i="2" s="1"/>
  <c r="R195" i="2" s="1"/>
  <c r="N197" i="2"/>
  <c r="O196" i="2"/>
  <c r="BE63" i="2"/>
  <c r="BS61" i="2"/>
  <c r="BP62" i="2"/>
  <c r="BF62" i="2"/>
  <c r="BG62" i="2" s="1"/>
  <c r="BH62" i="2" s="1"/>
  <c r="P196" i="2" l="1"/>
  <c r="Q196" i="2" s="1"/>
  <c r="R196" i="2" s="1"/>
  <c r="N198" i="2"/>
  <c r="O197" i="2"/>
  <c r="BS62" i="2"/>
  <c r="BP63" i="2"/>
  <c r="BE64" i="2"/>
  <c r="BF63" i="2"/>
  <c r="BG63" i="2" s="1"/>
  <c r="BH63" i="2" s="1"/>
  <c r="P197" i="2" l="1"/>
  <c r="Q197" i="2"/>
  <c r="R197" i="2" s="1"/>
  <c r="N199" i="2"/>
  <c r="O198" i="2"/>
  <c r="BE65" i="2"/>
  <c r="BS63" i="2"/>
  <c r="BP64" i="2"/>
  <c r="BF64" i="2"/>
  <c r="BG64" i="2" s="1"/>
  <c r="BH64" i="2" s="1"/>
  <c r="P198" i="2" l="1"/>
  <c r="Q198" i="2"/>
  <c r="R198" i="2" s="1"/>
  <c r="N200" i="2"/>
  <c r="O199" i="2"/>
  <c r="BS64" i="2"/>
  <c r="BP65" i="2"/>
  <c r="BE66" i="2"/>
  <c r="BF65" i="2"/>
  <c r="BG65" i="2" s="1"/>
  <c r="BH65" i="2" s="1"/>
  <c r="P199" i="2" l="1"/>
  <c r="Q199" i="2" s="1"/>
  <c r="R199" i="2" s="1"/>
  <c r="N201" i="2"/>
  <c r="O200" i="2"/>
  <c r="BE67" i="2"/>
  <c r="BS65" i="2"/>
  <c r="BP66" i="2"/>
  <c r="BF66" i="2"/>
  <c r="BG66" i="2" s="1"/>
  <c r="BH66" i="2" s="1"/>
  <c r="P200" i="2" l="1"/>
  <c r="Q200" i="2" s="1"/>
  <c r="R200" i="2" s="1"/>
  <c r="N202" i="2"/>
  <c r="O201" i="2"/>
  <c r="BS66" i="2"/>
  <c r="BP67" i="2"/>
  <c r="BE68" i="2"/>
  <c r="BF67" i="2"/>
  <c r="BG67" i="2" s="1"/>
  <c r="BH67" i="2" s="1"/>
  <c r="N203" i="2" l="1"/>
  <c r="O203" i="2" s="1"/>
  <c r="O202" i="2"/>
  <c r="P201" i="2"/>
  <c r="Q201" i="2" s="1"/>
  <c r="R201" i="2" s="1"/>
  <c r="BE69" i="2"/>
  <c r="BS67" i="2"/>
  <c r="BP68" i="2"/>
  <c r="BF68" i="2"/>
  <c r="BG68" i="2" s="1"/>
  <c r="BH68" i="2" s="1"/>
  <c r="P202" i="2" l="1"/>
  <c r="Q202" i="2" s="1"/>
  <c r="R202" i="2" s="1"/>
  <c r="P203" i="2"/>
  <c r="Q203" i="2" s="1"/>
  <c r="R203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F84" i="2" l="1"/>
  <c r="BG84" i="2" s="1"/>
  <c r="BH84" i="2" s="1"/>
  <c r="BE85" i="2"/>
  <c r="BS83" i="2"/>
  <c r="BP84" i="2"/>
  <c r="BF85" i="2" l="1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I50" i="2" l="1"/>
  <c r="BI75" i="2"/>
  <c r="BI143" i="2"/>
  <c r="BI191" i="2"/>
  <c r="BI95" i="2"/>
  <c r="BI135" i="2"/>
  <c r="BI182" i="2"/>
  <c r="BI39" i="2"/>
  <c r="BI127" i="2"/>
  <c r="BI116" i="2"/>
  <c r="BI62" i="2"/>
  <c r="BI31" i="2"/>
  <c r="BI157" i="2"/>
  <c r="BI149" i="2"/>
  <c r="BI104" i="2"/>
  <c r="BI180" i="2"/>
  <c r="BI190" i="2"/>
  <c r="BI124" i="2"/>
  <c r="BI29" i="2"/>
  <c r="BI139" i="2"/>
  <c r="BI64" i="2"/>
  <c r="BI82" i="2"/>
  <c r="BI114" i="2"/>
  <c r="BI188" i="2"/>
  <c r="BI91" i="2"/>
  <c r="BI4" i="2"/>
  <c r="BI145" i="2"/>
  <c r="BI9" i="2"/>
  <c r="BI193" i="2"/>
  <c r="BI73" i="2"/>
  <c r="BI90" i="2"/>
  <c r="BI177" i="2"/>
  <c r="BI112" i="2"/>
  <c r="BI49" i="2"/>
  <c r="BI161" i="2"/>
  <c r="BI96" i="2"/>
  <c r="BI26" i="2"/>
  <c r="BI183" i="2"/>
  <c r="BI32" i="2"/>
  <c r="BI11" i="2"/>
  <c r="BI159" i="2"/>
  <c r="BI199" i="2"/>
  <c r="BI119" i="2"/>
  <c r="BI57" i="2"/>
  <c r="BI5" i="2"/>
  <c r="BI126" i="2"/>
  <c r="BI108" i="2"/>
  <c r="BI198" i="2"/>
  <c r="BI23" i="2"/>
  <c r="BI14" i="2"/>
  <c r="BI113" i="2"/>
  <c r="BI53" i="2"/>
  <c r="BI137" i="2"/>
  <c r="BI107" i="2"/>
  <c r="BI74" i="2"/>
  <c r="BI142" i="2"/>
  <c r="BI76" i="2"/>
  <c r="BI41" i="2"/>
  <c r="BI141" i="2"/>
  <c r="BI106" i="2"/>
  <c r="BI162" i="2"/>
  <c r="BI72" i="2"/>
  <c r="BI43" i="2"/>
  <c r="BI86" i="2"/>
  <c r="BI130" i="2"/>
  <c r="BI150" i="2"/>
  <c r="BI184" i="2"/>
  <c r="BI123" i="2"/>
  <c r="BI83" i="2"/>
  <c r="BI65" i="2"/>
  <c r="BI68" i="2"/>
  <c r="BI176" i="2"/>
  <c r="BI194" i="2"/>
  <c r="BI186" i="2"/>
  <c r="BI52" i="2"/>
  <c r="BI59" i="2"/>
  <c r="BI200" i="2"/>
  <c r="BI101" i="2"/>
  <c r="BI46" i="2"/>
  <c r="BI102" i="2"/>
  <c r="BI165" i="2"/>
  <c r="BI166" i="2"/>
  <c r="BI8" i="2"/>
  <c r="BI88" i="2"/>
  <c r="BI195" i="2"/>
  <c r="BI30" i="2"/>
  <c r="BI93" i="2"/>
  <c r="BI69" i="2"/>
  <c r="BI132" i="2"/>
  <c r="BI172" i="2"/>
  <c r="BI47" i="2"/>
  <c r="BI87" i="2"/>
  <c r="BI78" i="2"/>
  <c r="BI12" i="2"/>
  <c r="BI120" i="2"/>
  <c r="BI77" i="2"/>
  <c r="BI38" i="2"/>
  <c r="BI33" i="2"/>
  <c r="BI19" i="2"/>
  <c r="BI15" i="2"/>
  <c r="BI99" i="2"/>
  <c r="BI110" i="2"/>
  <c r="BI175" i="2"/>
  <c r="BI144" i="2"/>
  <c r="BI20" i="2"/>
  <c r="BI151" i="2"/>
  <c r="BI84" i="2"/>
  <c r="BI34" i="2"/>
  <c r="BI136" i="2"/>
  <c r="BI98" i="2"/>
  <c r="BI169" i="2"/>
  <c r="BI24" i="2"/>
  <c r="BI25" i="2"/>
  <c r="BI185" i="2"/>
  <c r="BI37" i="2"/>
  <c r="BI138" i="2"/>
  <c r="BI97" i="2"/>
  <c r="BI71" i="2"/>
  <c r="BI56" i="2"/>
  <c r="BI179" i="2"/>
  <c r="BI36" i="2"/>
  <c r="BI66" i="2"/>
  <c r="BI100" i="2"/>
  <c r="BI201" i="2"/>
  <c r="BI148" i="2"/>
  <c r="BI51" i="2"/>
  <c r="BI63" i="2"/>
  <c r="BI121" i="2"/>
  <c r="BI94" i="2"/>
  <c r="BI128" i="2"/>
  <c r="BI133" i="2"/>
  <c r="BI196" i="2"/>
  <c r="BI13" i="2"/>
  <c r="BI197" i="2"/>
  <c r="BI35" i="2"/>
  <c r="BI168" i="2"/>
  <c r="BI10" i="2"/>
  <c r="BI178" i="2"/>
  <c r="BI80" i="2"/>
  <c r="BI21" i="2"/>
  <c r="BI164" i="2"/>
  <c r="BI18" i="2"/>
  <c r="BI44" i="2"/>
  <c r="BI6" i="2"/>
  <c r="BI187" i="2"/>
  <c r="BI45" i="2"/>
  <c r="BI54" i="2"/>
  <c r="BI109" i="2"/>
  <c r="BI163" i="2"/>
  <c r="BI202" i="2"/>
  <c r="BI81" i="2"/>
  <c r="BI17" i="2"/>
  <c r="BI167" i="2"/>
  <c r="BI103" i="2"/>
  <c r="BI7" i="2"/>
  <c r="BI156" i="2"/>
  <c r="BI181" i="2"/>
  <c r="BI147" i="2"/>
  <c r="BI27" i="2"/>
  <c r="BI22" i="2"/>
  <c r="BI67" i="2"/>
  <c r="BI61" i="2"/>
  <c r="BI111" i="2"/>
  <c r="BI174" i="2"/>
  <c r="BI173" i="2"/>
  <c r="BI146" i="2"/>
  <c r="BI48" i="2"/>
  <c r="BI203" i="2"/>
  <c r="BI28" i="2"/>
  <c r="BI170" i="2"/>
  <c r="BI158" i="2"/>
  <c r="BI152" i="2"/>
  <c r="BI155" i="2"/>
  <c r="BI118" i="2"/>
  <c r="BI85" i="2"/>
  <c r="BI154" i="2"/>
  <c r="BI16" i="2"/>
  <c r="BI105" i="2"/>
  <c r="BI129" i="2"/>
  <c r="BI192" i="2"/>
  <c r="BI189" i="2"/>
  <c r="BI125" i="2"/>
  <c r="BI58" i="2"/>
  <c r="BI153" i="2"/>
  <c r="BI70" i="2"/>
  <c r="BI160" i="2"/>
  <c r="BI134" i="2"/>
  <c r="BI122" i="2"/>
  <c r="BI115" i="2"/>
  <c r="BI42" i="2"/>
  <c r="BI92" i="2"/>
  <c r="BI117" i="2"/>
  <c r="BI131" i="2"/>
  <c r="BI171" i="2"/>
  <c r="BI60" i="2"/>
  <c r="BI89" i="2"/>
  <c r="BI140" i="2"/>
  <c r="BI40" i="2"/>
  <c r="BI55" i="2"/>
  <c r="BI79" i="2"/>
  <c r="BI3" i="2"/>
  <c r="C8" i="4" s="1"/>
  <c r="E8" i="4" s="1"/>
  <c r="F8" i="4" s="1"/>
  <c r="G8" i="4" s="1"/>
  <c r="L8" i="4" s="1"/>
  <c r="BF104" i="2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10" i="2" l="1"/>
  <c r="S18" i="2"/>
  <c r="S26" i="2"/>
  <c r="S34" i="2"/>
  <c r="S42" i="2"/>
  <c r="S50" i="2"/>
  <c r="S58" i="2"/>
  <c r="S66" i="2"/>
  <c r="S74" i="2"/>
  <c r="S82" i="2"/>
  <c r="S90" i="2"/>
  <c r="S98" i="2"/>
  <c r="S106" i="2"/>
  <c r="S114" i="2"/>
  <c r="S122" i="2"/>
  <c r="S130" i="2"/>
  <c r="S138" i="2"/>
  <c r="S146" i="2"/>
  <c r="S154" i="2"/>
  <c r="S162" i="2"/>
  <c r="S170" i="2"/>
  <c r="S178" i="2"/>
  <c r="S186" i="2"/>
  <c r="S194" i="2"/>
  <c r="S202" i="2"/>
  <c r="S11" i="2"/>
  <c r="S19" i="2"/>
  <c r="S27" i="2"/>
  <c r="S35" i="2"/>
  <c r="S43" i="2"/>
  <c r="S51" i="2"/>
  <c r="S59" i="2"/>
  <c r="S67" i="2"/>
  <c r="S75" i="2"/>
  <c r="S83" i="2"/>
  <c r="S91" i="2"/>
  <c r="S99" i="2"/>
  <c r="S107" i="2"/>
  <c r="S115" i="2"/>
  <c r="S123" i="2"/>
  <c r="S131" i="2"/>
  <c r="S139" i="2"/>
  <c r="S147" i="2"/>
  <c r="S155" i="2"/>
  <c r="S163" i="2"/>
  <c r="S171" i="2"/>
  <c r="S179" i="2"/>
  <c r="S187" i="2"/>
  <c r="S195" i="2"/>
  <c r="S203" i="2"/>
  <c r="S4" i="2"/>
  <c r="S12" i="2"/>
  <c r="S20" i="2"/>
  <c r="S28" i="2"/>
  <c r="S36" i="2"/>
  <c r="S44" i="2"/>
  <c r="S52" i="2"/>
  <c r="S60" i="2"/>
  <c r="S68" i="2"/>
  <c r="S76" i="2"/>
  <c r="S84" i="2"/>
  <c r="S92" i="2"/>
  <c r="S100" i="2"/>
  <c r="S108" i="2"/>
  <c r="S116" i="2"/>
  <c r="S124" i="2"/>
  <c r="S132" i="2"/>
  <c r="S140" i="2"/>
  <c r="S148" i="2"/>
  <c r="S156" i="2"/>
  <c r="S164" i="2"/>
  <c r="S172" i="2"/>
  <c r="S180" i="2"/>
  <c r="S188" i="2"/>
  <c r="S196" i="2"/>
  <c r="S5" i="2"/>
  <c r="S13" i="2"/>
  <c r="S21" i="2"/>
  <c r="S29" i="2"/>
  <c r="S37" i="2"/>
  <c r="S45" i="2"/>
  <c r="S53" i="2"/>
  <c r="S61" i="2"/>
  <c r="S69" i="2"/>
  <c r="S77" i="2"/>
  <c r="S85" i="2"/>
  <c r="S93" i="2"/>
  <c r="S101" i="2"/>
  <c r="S109" i="2"/>
  <c r="S117" i="2"/>
  <c r="S125" i="2"/>
  <c r="S133" i="2"/>
  <c r="S141" i="2"/>
  <c r="S149" i="2"/>
  <c r="S157" i="2"/>
  <c r="S165" i="2"/>
  <c r="S173" i="2"/>
  <c r="S181" i="2"/>
  <c r="S189" i="2"/>
  <c r="S197" i="2"/>
  <c r="S6" i="2"/>
  <c r="S14" i="2"/>
  <c r="S22" i="2"/>
  <c r="S30" i="2"/>
  <c r="S38" i="2"/>
  <c r="S46" i="2"/>
  <c r="S54" i="2"/>
  <c r="S62" i="2"/>
  <c r="S70" i="2"/>
  <c r="S78" i="2"/>
  <c r="S86" i="2"/>
  <c r="S94" i="2"/>
  <c r="S102" i="2"/>
  <c r="S110" i="2"/>
  <c r="S118" i="2"/>
  <c r="S126" i="2"/>
  <c r="S134" i="2"/>
  <c r="S142" i="2"/>
  <c r="S150" i="2"/>
  <c r="S158" i="2"/>
  <c r="S166" i="2"/>
  <c r="S174" i="2"/>
  <c r="S182" i="2"/>
  <c r="S190" i="2"/>
  <c r="S198" i="2"/>
  <c r="S7" i="2"/>
  <c r="S15" i="2"/>
  <c r="S23" i="2"/>
  <c r="S31" i="2"/>
  <c r="S39" i="2"/>
  <c r="S47" i="2"/>
  <c r="S55" i="2"/>
  <c r="S63" i="2"/>
  <c r="S71" i="2"/>
  <c r="S79" i="2"/>
  <c r="S87" i="2"/>
  <c r="S95" i="2"/>
  <c r="S103" i="2"/>
  <c r="S111" i="2"/>
  <c r="S119" i="2"/>
  <c r="S127" i="2"/>
  <c r="S135" i="2"/>
  <c r="S143" i="2"/>
  <c r="S151" i="2"/>
  <c r="S159" i="2"/>
  <c r="S167" i="2"/>
  <c r="S175" i="2"/>
  <c r="S183" i="2"/>
  <c r="S191" i="2"/>
  <c r="S199" i="2"/>
  <c r="S25" i="2"/>
  <c r="S57" i="2"/>
  <c r="S89" i="2"/>
  <c r="S121" i="2"/>
  <c r="S153" i="2"/>
  <c r="S185" i="2"/>
  <c r="S32" i="2"/>
  <c r="S64" i="2"/>
  <c r="S96" i="2"/>
  <c r="S128" i="2"/>
  <c r="S160" i="2"/>
  <c r="S192" i="2"/>
  <c r="S33" i="2"/>
  <c r="S65" i="2"/>
  <c r="S97" i="2"/>
  <c r="S129" i="2"/>
  <c r="S161" i="2"/>
  <c r="S193" i="2"/>
  <c r="S8" i="2"/>
  <c r="S40" i="2"/>
  <c r="S72" i="2"/>
  <c r="S104" i="2"/>
  <c r="S136" i="2"/>
  <c r="S168" i="2"/>
  <c r="S200" i="2"/>
  <c r="S9" i="2"/>
  <c r="S41" i="2"/>
  <c r="S73" i="2"/>
  <c r="S105" i="2"/>
  <c r="S137" i="2"/>
  <c r="S169" i="2"/>
  <c r="S201" i="2"/>
  <c r="S16" i="2"/>
  <c r="S48" i="2"/>
  <c r="S80" i="2"/>
  <c r="S112" i="2"/>
  <c r="S144" i="2"/>
  <c r="S176" i="2"/>
  <c r="S56" i="2"/>
  <c r="S184" i="2"/>
  <c r="S81" i="2"/>
  <c r="S24" i="2"/>
  <c r="S88" i="2"/>
  <c r="S113" i="2"/>
  <c r="S49" i="2"/>
  <c r="S120" i="2"/>
  <c r="S17" i="2"/>
  <c r="S145" i="2"/>
  <c r="S152" i="2"/>
  <c r="S177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<sst xmlns="http://schemas.openxmlformats.org/spreadsheetml/2006/main" count="972" uniqueCount="311">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</sst>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30" fillId="14" borderId="1" xfId="0" applyFont="1" applyFill="1" applyBorder="1" applyAlignment="1" applyProtection="1">
      <alignment horizontal="center"/>
      <protection locked="0" hidden="1"/>
    </xf>
    <xf numFmtId="9" fontId="30" fillId="14" borderId="1" xfId="1" applyNumberFormat="1" applyFont="1" applyFill="1" applyBorder="1" applyAlignment="1" applyProtection="1">
      <alignment horizontal="center"/>
      <protection locked="0" hidden="1"/>
    </xf>
    <xf numFmtId="0" fontId="30" fillId="14" borderId="1" xfId="0" applyFont="1" applyFill="1" applyBorder="1" applyAlignment="1" applyProtection="1">
      <alignment horizontal="center"/>
      <protection locked="0"/>
    </xf>
    <xf numFmtId="9" fontId="30" fillId="14" borderId="1" xfId="1" applyNumberFormat="1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093712"/>
        <c:axId val="-463090992"/>
      </c:scatterChart>
      <c:valAx>
        <c:axId val="-46309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0992"/>
        <c:crosses val="autoZero"/>
        <c:crossBetween val="midCat"/>
      </c:valAx>
      <c:valAx>
        <c:axId val="-46309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49072"/>
        <c:axId val="-680656144"/>
      </c:scatterChart>
      <c:valAx>
        <c:axId val="-680649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56144"/>
        <c:crosses val="autoZero"/>
        <c:crossBetween val="midCat"/>
      </c:valAx>
      <c:valAx>
        <c:axId val="-6806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9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1.9374736202857081</c:v>
                </c:pt>
                <c:pt idx="2">
                  <c:v>2.58294091409301</c:v>
                </c:pt>
                <c:pt idx="3">
                  <c:v>3.4443429081600083</c:v>
                </c:pt>
                <c:pt idx="4">
                  <c:v>4.5942016534201651</c:v>
                </c:pt>
                <c:pt idx="5">
                  <c:v>6.1294848255819865</c:v>
                </c:pt>
                <c:pt idx="6">
                  <c:v>8.1798736556407885</c:v>
                </c:pt>
                <c:pt idx="7">
                  <c:v>10.918835894226286</c:v>
                </c:pt>
                <c:pt idx="8">
                  <c:v>14.578458160552538</c:v>
                </c:pt>
                <c:pt idx="9">
                  <c:v>19.469317558556188</c:v>
                </c:pt>
                <c:pt idx="10">
                  <c:v>26.007109272393226</c:v>
                </c:pt>
                <c:pt idx="11">
                  <c:v>34.748333112440179</c:v>
                </c:pt>
                <c:pt idx="12">
                  <c:v>46.438128891600911</c:v>
                </c:pt>
                <c:pt idx="13">
                  <c:v>62.074406879172699</c:v>
                </c:pt>
                <c:pt idx="14">
                  <c:v>82.99383785343781</c:v>
                </c:pt>
                <c:pt idx="15">
                  <c:v>110.98717167425009</c:v>
                </c:pt>
                <c:pt idx="16">
                  <c:v>148.45391075098391</c:v>
                </c:pt>
                <c:pt idx="17">
                  <c:v>198.60979963049166</c:v>
                </c:pt>
                <c:pt idx="18">
                  <c:v>265.76520570407024</c:v>
                </c:pt>
                <c:pt idx="19">
                  <c:v>219.24762025736223</c:v>
                </c:pt>
                <c:pt idx="20">
                  <c:v>248.54511902776062</c:v>
                </c:pt>
                <c:pt idx="21">
                  <c:v>277.76422078501901</c:v>
                </c:pt>
                <c:pt idx="22">
                  <c:v>306.91432866930882</c:v>
                </c:pt>
                <c:pt idx="23">
                  <c:v>336.00291230780459</c:v>
                </c:pt>
                <c:pt idx="24">
                  <c:v>365.03604206029331</c:v>
                </c:pt>
                <c:pt idx="25">
                  <c:v>317.48065154237497</c:v>
                </c:pt>
                <c:pt idx="26">
                  <c:v>348.73627254210874</c:v>
                </c:pt>
                <c:pt idx="27">
                  <c:v>379.9304323092822</c:v>
                </c:pt>
                <c:pt idx="28">
                  <c:v>411.0688806981766</c:v>
                </c:pt>
                <c:pt idx="29">
                  <c:v>442.15642578299884</c:v>
                </c:pt>
                <c:pt idx="30">
                  <c:v>473.19714485434088</c:v>
                </c:pt>
                <c:pt idx="31">
                  <c:v>411.26704694209349</c:v>
                </c:pt>
                <c:pt idx="32">
                  <c:v>443.14568568068768</c:v>
                </c:pt>
                <c:pt idx="33">
                  <c:v>474.97520523208203</c:v>
                </c:pt>
                <c:pt idx="34">
                  <c:v>506.75935520962508</c:v>
                </c:pt>
                <c:pt idx="35">
                  <c:v>538.50137700385426</c:v>
                </c:pt>
                <c:pt idx="36">
                  <c:v>570.20409916416395</c:v>
                </c:pt>
                <c:pt idx="37">
                  <c:v>492.55071548251203</c:v>
                </c:pt>
                <c:pt idx="38">
                  <c:v>523.71977369153274</c:v>
                </c:pt>
                <c:pt idx="39">
                  <c:v>554.84975986976099</c:v>
                </c:pt>
                <c:pt idx="40">
                  <c:v>585.94317102430398</c:v>
                </c:pt>
                <c:pt idx="41">
                  <c:v>617.00221789220029</c:v>
                </c:pt>
                <c:pt idx="42">
                  <c:v>648.02887080282335</c:v>
                </c:pt>
                <c:pt idx="43">
                  <c:v>573.94294063008499</c:v>
                </c:pt>
                <c:pt idx="44">
                  <c:v>603.63911401199607</c:v>
                </c:pt>
                <c:pt idx="45">
                  <c:v>633.3049517266378</c:v>
                </c:pt>
                <c:pt idx="46">
                  <c:v>662.94207243619564</c:v>
                </c:pt>
                <c:pt idx="47">
                  <c:v>692.55193848724912</c:v>
                </c:pt>
                <c:pt idx="48">
                  <c:v>722.13587717529879</c:v>
                </c:pt>
                <c:pt idx="49">
                  <c:v>629.770164448576</c:v>
                </c:pt>
                <c:pt idx="50">
                  <c:v>657.44854745472765</c:v>
                </c:pt>
                <c:pt idx="51">
                  <c:v>685.10294040682004</c:v>
                </c:pt>
                <c:pt idx="52">
                  <c:v>712.73444645342158</c:v>
                </c:pt>
                <c:pt idx="53">
                  <c:v>740.34407636016385</c:v>
                </c:pt>
                <c:pt idx="54">
                  <c:v>767.93275947074017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088272"/>
        <c:axId val="-463087728"/>
      </c:scatterChart>
      <c:valAx>
        <c:axId val="-46308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87728"/>
        <c:crosses val="autoZero"/>
        <c:crossBetween val="midCat"/>
      </c:valAx>
      <c:valAx>
        <c:axId val="-46308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8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2.7816112555333632</c:v>
                </c:pt>
                <c:pt idx="2">
                  <c:v>3.4642637344519134</c:v>
                </c:pt>
                <c:pt idx="3">
                  <c:v>4.3150955514659701</c:v>
                </c:pt>
                <c:pt idx="4">
                  <c:v>5.375689482554324</c:v>
                </c:pt>
                <c:pt idx="5">
                  <c:v>6.6979444136316602</c:v>
                </c:pt>
                <c:pt idx="6">
                  <c:v>8.3466426127515607</c:v>
                </c:pt>
                <c:pt idx="7">
                  <c:v>10.40265772985753</c:v>
                </c:pt>
                <c:pt idx="8">
                  <c:v>12.966963853972665</c:v>
                </c:pt>
                <c:pt idx="9">
                  <c:v>16.165646173161679</c:v>
                </c:pt>
                <c:pt idx="10">
                  <c:v>20.156164107103098</c:v>
                </c:pt>
                <c:pt idx="11">
                  <c:v>25.135180761778766</c:v>
                </c:pt>
                <c:pt idx="12">
                  <c:v>31.348351379123169</c:v>
                </c:pt>
                <c:pt idx="13">
                  <c:v>39.102562114708071</c:v>
                </c:pt>
                <c:pt idx="14">
                  <c:v>48.781233975044579</c:v>
                </c:pt>
                <c:pt idx="15">
                  <c:v>60.863461347290858</c:v>
                </c:pt>
                <c:pt idx="16">
                  <c:v>75.947948104970536</c:v>
                </c:pt>
                <c:pt idx="17">
                  <c:v>94.782946603468645</c:v>
                </c:pt>
                <c:pt idx="18">
                  <c:v>118.30370830287877</c:v>
                </c:pt>
                <c:pt idx="19">
                  <c:v>147.67933470094917</c:v>
                </c:pt>
                <c:pt idx="20">
                  <c:v>184.37139305479852</c:v>
                </c:pt>
                <c:pt idx="21">
                  <c:v>143.76974745978904</c:v>
                </c:pt>
                <c:pt idx="22">
                  <c:v>165.80757333279712</c:v>
                </c:pt>
                <c:pt idx="23">
                  <c:v>187.77617823114647</c:v>
                </c:pt>
                <c:pt idx="24">
                  <c:v>209.68480565567219</c:v>
                </c:pt>
                <c:pt idx="25">
                  <c:v>231.54060536306474</c:v>
                </c:pt>
                <c:pt idx="26">
                  <c:v>252.59797413681906</c:v>
                </c:pt>
                <c:pt idx="27">
                  <c:v>273.61558084059425</c:v>
                </c:pt>
                <c:pt idx="28">
                  <c:v>294.59690838804551</c:v>
                </c:pt>
                <c:pt idx="29">
                  <c:v>315.54490296905198</c:v>
                </c:pt>
                <c:pt idx="30">
                  <c:v>336.46208765640478</c:v>
                </c:pt>
                <c:pt idx="31">
                  <c:v>231.54060536306471</c:v>
                </c:pt>
                <c:pt idx="32">
                  <c:v>252.222309667811</c:v>
                </c:pt>
                <c:pt idx="33">
                  <c:v>272.86559571589561</c:v>
                </c:pt>
                <c:pt idx="34">
                  <c:v>293.47377793906486</c:v>
                </c:pt>
                <c:pt idx="35">
                  <c:v>314.04966717357325</c:v>
                </c:pt>
                <c:pt idx="36">
                  <c:v>334.59567585759868</c:v>
                </c:pt>
                <c:pt idx="37">
                  <c:v>355.11389600890431</c:v>
                </c:pt>
                <c:pt idx="38">
                  <c:v>375.60615822359949</c:v>
                </c:pt>
                <c:pt idx="39">
                  <c:v>396.07407711953459</c:v>
                </c:pt>
                <c:pt idx="40">
                  <c:v>416.51908689232118</c:v>
                </c:pt>
                <c:pt idx="41">
                  <c:v>313.67583358542839</c:v>
                </c:pt>
                <c:pt idx="42">
                  <c:v>333.84904696577166</c:v>
                </c:pt>
                <c:pt idx="43">
                  <c:v>353.99540526070859</c:v>
                </c:pt>
                <c:pt idx="44">
                  <c:v>374.11665105684841</c:v>
                </c:pt>
                <c:pt idx="45">
                  <c:v>394.21432426135442</c:v>
                </c:pt>
                <c:pt idx="46">
                  <c:v>413.9182212525987</c:v>
                </c:pt>
                <c:pt idx="47">
                  <c:v>433.60189168293067</c:v>
                </c:pt>
                <c:pt idx="48">
                  <c:v>453.26638238669898</c:v>
                </c:pt>
                <c:pt idx="49">
                  <c:v>472.9126420088009</c:v>
                </c:pt>
                <c:pt idx="50">
                  <c:v>492.54153399430999</c:v>
                </c:pt>
                <c:pt idx="51">
                  <c:v>393.47036990588703</c:v>
                </c:pt>
                <c:pt idx="52">
                  <c:v>413.17505211911867</c:v>
                </c:pt>
                <c:pt idx="53">
                  <c:v>432.85946614650521</c:v>
                </c:pt>
                <c:pt idx="54">
                  <c:v>452.5246628164245</c:v>
                </c:pt>
                <c:pt idx="55">
                  <c:v>472.1715942278841</c:v>
                </c:pt>
                <c:pt idx="56">
                  <c:v>491.80112683256198</c:v>
                </c:pt>
                <c:pt idx="57">
                  <c:v>511.41405232000335</c:v>
                </c:pt>
                <c:pt idx="58">
                  <c:v>531.01109674664542</c:v>
                </c:pt>
                <c:pt idx="59">
                  <c:v>550.59292824762213</c:v>
                </c:pt>
                <c:pt idx="60">
                  <c:v>570.16016359493028</c:v>
                </c:pt>
                <c:pt idx="61">
                  <c:v>472.54212121143911</c:v>
                </c:pt>
                <c:pt idx="62">
                  <c:v>491.4309143889738</c:v>
                </c:pt>
                <c:pt idx="63">
                  <c:v>510.30431729867888</c:v>
                </c:pt>
                <c:pt idx="64">
                  <c:v>529.16297887573148</c:v>
                </c:pt>
                <c:pt idx="65">
                  <c:v>548.00749806060503</c:v>
                </c:pt>
                <c:pt idx="66">
                  <c:v>566.83842927247917</c:v>
                </c:pt>
                <c:pt idx="67">
                  <c:v>585.65628711786451</c:v>
                </c:pt>
                <c:pt idx="68">
                  <c:v>604.46155046292267</c:v>
                </c:pt>
                <c:pt idx="69">
                  <c:v>623.25466597297986</c:v>
                </c:pt>
                <c:pt idx="70">
                  <c:v>642.03605120322266</c:v>
                </c:pt>
                <c:pt idx="71">
                  <c:v>546.89937828911752</c:v>
                </c:pt>
                <c:pt idx="72">
                  <c:v>566.10021090875966</c:v>
                </c:pt>
                <c:pt idx="73">
                  <c:v>585.28743207754269</c:v>
                </c:pt>
                <c:pt idx="74">
                  <c:v>604.46155046292245</c:v>
                </c:pt>
                <c:pt idx="75">
                  <c:v>623.62303985742722</c:v>
                </c:pt>
                <c:pt idx="76">
                  <c:v>642.40419907434386</c:v>
                </c:pt>
                <c:pt idx="77">
                  <c:v>661.17402658936908</c:v>
                </c:pt>
                <c:pt idx="78">
                  <c:v>679.93288909628291</c:v>
                </c:pt>
                <c:pt idx="79">
                  <c:v>698.68113142461891</c:v>
                </c:pt>
                <c:pt idx="80">
                  <c:v>717.41907840693091</c:v>
                </c:pt>
                <c:pt idx="81">
                  <c:v>622.14951725304661</c:v>
                </c:pt>
                <c:pt idx="82">
                  <c:v>640.9315814258897</c:v>
                </c:pt>
                <c:pt idx="83">
                  <c:v>659.70228415196095</c:v>
                </c:pt>
                <c:pt idx="84">
                  <c:v>678.46199392556662</c:v>
                </c:pt>
                <c:pt idx="85">
                  <c:v>697.21105722073253</c:v>
                </c:pt>
                <c:pt idx="86">
                  <c:v>715.58247125159278</c:v>
                </c:pt>
                <c:pt idx="87">
                  <c:v>733.94425622215613</c:v>
                </c:pt>
                <c:pt idx="88">
                  <c:v>752.29668671723459</c:v>
                </c:pt>
                <c:pt idx="89">
                  <c:v>770.64002284607761</c:v>
                </c:pt>
                <c:pt idx="90">
                  <c:v>788.97451133886364</c:v>
                </c:pt>
                <c:pt idx="91">
                  <c:v>696.8435287578028</c:v>
                </c:pt>
                <c:pt idx="92">
                  <c:v>714.8478014475171</c:v>
                </c:pt>
                <c:pt idx="93">
                  <c:v>732.84281558384043</c:v>
                </c:pt>
                <c:pt idx="94">
                  <c:v>750.82883030840003</c:v>
                </c:pt>
                <c:pt idx="95">
                  <c:v>768.80609134766155</c:v>
                </c:pt>
                <c:pt idx="96">
                  <c:v>787.14145386160806</c:v>
                </c:pt>
                <c:pt idx="97">
                  <c:v>805.46818017727207</c:v>
                </c:pt>
                <c:pt idx="98">
                  <c:v>823.78649425206231</c:v>
                </c:pt>
                <c:pt idx="99">
                  <c:v>842.09660928248638</c:v>
                </c:pt>
                <c:pt idx="100">
                  <c:v>860.39872844866079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089360"/>
        <c:axId val="-463088816"/>
      </c:scatterChart>
      <c:valAx>
        <c:axId val="-46308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88816"/>
        <c:crosses val="autoZero"/>
        <c:crossBetween val="midCat"/>
      </c:valAx>
      <c:valAx>
        <c:axId val="-4630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8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095344"/>
        <c:axId val="-463093168"/>
      </c:scatterChart>
      <c:valAx>
        <c:axId val="-46309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3168"/>
        <c:crosses val="autoZero"/>
        <c:crossBetween val="midCat"/>
      </c:valAx>
      <c:valAx>
        <c:axId val="-46309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2.0803069082284602</c:v>
                </c:pt>
                <c:pt idx="2">
                  <c:v>2.7908466007605846</c:v>
                </c:pt>
                <c:pt idx="3">
                  <c:v>3.745090324532018</c:v>
                </c:pt>
                <c:pt idx="4">
                  <c:v>5.0269529215261413</c:v>
                </c:pt>
                <c:pt idx="5">
                  <c:v>6.7493493166264118</c:v>
                </c:pt>
                <c:pt idx="6">
                  <c:v>9.0642504917295152</c:v>
                </c:pt>
                <c:pt idx="7">
                  <c:v>12.176237248342895</c:v>
                </c:pt>
                <c:pt idx="8">
                  <c:v>16.360771842506747</c:v>
                </c:pt>
                <c:pt idx="9">
                  <c:v>21.988834252444033</c:v>
                </c:pt>
                <c:pt idx="10">
                  <c:v>29.560146074891151</c:v>
                </c:pt>
                <c:pt idx="11">
                  <c:v>39.747983373188866</c:v>
                </c:pt>
                <c:pt idx="12">
                  <c:v>53.459631237926175</c:v>
                </c:pt>
                <c:pt idx="13">
                  <c:v>73.140819321214281</c:v>
                </c:pt>
                <c:pt idx="14">
                  <c:v>95.186564611203053</c:v>
                </c:pt>
                <c:pt idx="15">
                  <c:v>119.46034912255978</c:v>
                </c:pt>
                <c:pt idx="16">
                  <c:v>104.21230428711344</c:v>
                </c:pt>
                <c:pt idx="17">
                  <c:v>119.50396825239126</c:v>
                </c:pt>
                <c:pt idx="18">
                  <c:v>134.74789502830188</c:v>
                </c:pt>
                <c:pt idx="19">
                  <c:v>154.02673565015644</c:v>
                </c:pt>
                <c:pt idx="20">
                  <c:v>173.24815008510896</c:v>
                </c:pt>
                <c:pt idx="21">
                  <c:v>150.2539110444076</c:v>
                </c:pt>
                <c:pt idx="22">
                  <c:v>171.56188491392382</c:v>
                </c:pt>
                <c:pt idx="23">
                  <c:v>192.80754100734626</c:v>
                </c:pt>
                <c:pt idx="24">
                  <c:v>213.99871582167268</c:v>
                </c:pt>
                <c:pt idx="25">
                  <c:v>238.36063977122194</c:v>
                </c:pt>
                <c:pt idx="26">
                  <c:v>262.66582457768635</c:v>
                </c:pt>
                <c:pt idx="27">
                  <c:v>286.92025704588701</c:v>
                </c:pt>
                <c:pt idx="28">
                  <c:v>237.11604883297215</c:v>
                </c:pt>
                <c:pt idx="29">
                  <c:v>257.35492952341718</c:v>
                </c:pt>
                <c:pt idx="30">
                  <c:v>277.55782610520754</c:v>
                </c:pt>
                <c:pt idx="31">
                  <c:v>298.26146166084112</c:v>
                </c:pt>
                <c:pt idx="32">
                  <c:v>318.93307910873153</c:v>
                </c:pt>
                <c:pt idx="33">
                  <c:v>254.99849994857161</c:v>
                </c:pt>
                <c:pt idx="34">
                  <c:v>271.48343312975436</c:v>
                </c:pt>
                <c:pt idx="35">
                  <c:v>287.94585683278211</c:v>
                </c:pt>
                <c:pt idx="36">
                  <c:v>304.72866450769772</c:v>
                </c:pt>
                <c:pt idx="37">
                  <c:v>321.4909238573307</c:v>
                </c:pt>
                <c:pt idx="38">
                  <c:v>338.23385687217092</c:v>
                </c:pt>
                <c:pt idx="39">
                  <c:v>355.04362274097338</c:v>
                </c:pt>
                <c:pt idx="40">
                  <c:v>371.83596197725819</c:v>
                </c:pt>
                <c:pt idx="41">
                  <c:v>388.6117721477583</c:v>
                </c:pt>
                <c:pt idx="42">
                  <c:v>405.49910068753775</c:v>
                </c:pt>
                <c:pt idx="43">
                  <c:v>422.37123198551575</c:v>
                </c:pt>
                <c:pt idx="44">
                  <c:v>439.22885835221365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094800"/>
        <c:axId val="-463101872"/>
      </c:scatterChart>
      <c:valAx>
        <c:axId val="-46309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101872"/>
        <c:crosses val="autoZero"/>
        <c:crossBetween val="midCat"/>
      </c:valAx>
      <c:valAx>
        <c:axId val="-46310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092624"/>
        <c:axId val="-463101328"/>
      </c:scatterChart>
      <c:valAx>
        <c:axId val="-46309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101328"/>
        <c:crosses val="autoZero"/>
        <c:crossBetween val="midCat"/>
      </c:valAx>
      <c:valAx>
        <c:axId val="-46310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100784"/>
        <c:axId val="-463100240"/>
      </c:scatterChart>
      <c:valAx>
        <c:axId val="-46310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100240"/>
        <c:crosses val="autoZero"/>
        <c:crossBetween val="midCat"/>
      </c:valAx>
      <c:valAx>
        <c:axId val="-46310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10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3099696"/>
        <c:axId val="-463099152"/>
      </c:scatterChart>
      <c:valAx>
        <c:axId val="-46309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9152"/>
        <c:crosses val="autoZero"/>
        <c:crossBetween val="midCat"/>
      </c:valAx>
      <c:valAx>
        <c:axId val="-46309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309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50160"/>
        <c:axId val="-680645808"/>
      </c:scatterChart>
      <c:valAx>
        <c:axId val="-680650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5808"/>
        <c:crosses val="autoZero"/>
        <c:crossBetween val="midCat"/>
      </c:valAx>
      <c:valAx>
        <c:axId val="-6806458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50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46" t="s">
        <v>295</v>
      </c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</row>
    <row r="13" spans="2:13" ht="15" customHeight="1" x14ac:dyDescent="0.25"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</row>
    <row r="14" spans="2:13" ht="15" customHeight="1" x14ac:dyDescent="0.25"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</row>
    <row r="15" spans="2:13" ht="18.75" customHeight="1" x14ac:dyDescent="0.25"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</row>
    <row r="16" spans="2:13" ht="18.75" customHeight="1" x14ac:dyDescent="0.25"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</row>
    <row r="18" spans="2:13" ht="12" customHeight="1" x14ac:dyDescent="0.25">
      <c r="B18" s="246" t="s">
        <v>296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</row>
    <row r="19" spans="2:13" ht="12" customHeight="1" x14ac:dyDescent="0.25"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</row>
    <row r="20" spans="2:13" ht="12" customHeight="1" x14ac:dyDescent="0.25"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</row>
    <row r="21" spans="2:13" ht="12" customHeight="1" x14ac:dyDescent="0.25"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</row>
    <row r="22" spans="2:13" ht="12" customHeight="1" x14ac:dyDescent="0.25"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</row>
    <row r="23" spans="2:13" ht="12" customHeight="1" x14ac:dyDescent="0.25"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</row>
    <row r="24" spans="2:13" ht="12" customHeight="1" x14ac:dyDescent="0.25"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</row>
    <row r="25" spans="2:13" ht="12" customHeight="1" x14ac:dyDescent="0.25"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</row>
    <row r="26" spans="2:13" ht="12" customHeight="1" x14ac:dyDescent="0.25"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</row>
    <row r="27" spans="2:13" ht="12" customHeight="1" x14ac:dyDescent="0.25"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</row>
    <row r="28" spans="2:13" ht="12" customHeight="1" x14ac:dyDescent="0.25"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</row>
    <row r="29" spans="2:13" ht="12" customHeight="1" x14ac:dyDescent="0.25"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</row>
    <row r="30" spans="2:13" ht="12" customHeight="1" x14ac:dyDescent="0.25"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</row>
    <row r="31" spans="2:13" ht="12" customHeight="1" x14ac:dyDescent="0.25"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51" zoomScaleNormal="100" workbookViewId="0">
      <selection activeCell="D182" sqref="D18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47" t="s">
        <v>190</v>
      </c>
      <c r="D1" s="247"/>
      <c r="E1" s="24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52" t="s">
        <v>192</v>
      </c>
      <c r="C3" s="253"/>
      <c r="D3" s="253"/>
      <c r="E3" s="253"/>
      <c r="F3" s="254"/>
      <c r="G3" s="95"/>
      <c r="H3" s="96"/>
      <c r="I3" s="96"/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8"/>
      <c r="B4" s="98"/>
      <c r="C4" s="98"/>
      <c r="D4" s="98"/>
      <c r="E4" s="98"/>
      <c r="F4" s="98"/>
      <c r="G4" s="98"/>
      <c r="H4" s="96"/>
      <c r="I4" s="96"/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58" t="s">
        <v>231</v>
      </c>
      <c r="B5" s="258"/>
      <c r="C5" s="26">
        <v>5.1441999999999997</v>
      </c>
      <c r="D5" s="259" t="s">
        <v>229</v>
      </c>
      <c r="E5" s="260"/>
      <c r="F5" s="98"/>
      <c r="G5" s="98"/>
      <c r="H5" s="96"/>
      <c r="I5" s="96"/>
      <c r="J5" s="97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9"/>
      <c r="B6" s="99"/>
      <c r="C6" s="100"/>
      <c r="D6" s="92"/>
      <c r="E6" s="92"/>
      <c r="F6" s="29"/>
      <c r="G6" s="29"/>
      <c r="H6" s="101"/>
      <c r="I6" s="101"/>
      <c r="J6" s="102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.25" x14ac:dyDescent="0.25">
      <c r="A7" s="256" t="s">
        <v>226</v>
      </c>
      <c r="B7" s="256"/>
      <c r="C7" s="98"/>
      <c r="D7" s="98"/>
      <c r="E7" s="5"/>
      <c r="F7" s="98"/>
      <c r="G7" s="98"/>
      <c r="H7" s="96"/>
      <c r="I7" s="96"/>
      <c r="J7" s="9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3"/>
      <c r="J8" s="9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0.3831</v>
      </c>
      <c r="D9" s="36">
        <f t="shared" ref="D9:D18" si="0">C9*$C$5</f>
        <v>1.9707430199999998</v>
      </c>
      <c r="E9" s="37">
        <v>100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0"/>
      <c r="J9" s="97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0.21579999999999999</v>
      </c>
      <c r="D10" s="36">
        <f t="shared" si="0"/>
        <v>1.11011836</v>
      </c>
      <c r="E10" s="37">
        <v>54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0"/>
      <c r="J10" s="9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0.12520000000000001</v>
      </c>
      <c r="D11" s="36">
        <f t="shared" si="0"/>
        <v>0.64405383999999999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0"/>
      <c r="J11" s="9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0.12520000000000001</v>
      </c>
      <c r="D12" s="36">
        <f t="shared" si="0"/>
        <v>0.64405383999999999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71"/>
      <c r="I12" s="110"/>
      <c r="J12" s="9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36</v>
      </c>
      <c r="C13" s="35">
        <v>0.1118</v>
      </c>
      <c r="D13" s="36">
        <f t="shared" si="0"/>
        <v>0.57512155999999992</v>
      </c>
      <c r="E13" s="37">
        <v>44</v>
      </c>
      <c r="F13" s="38" t="str">
        <f t="array" ref="F13">IF(E13="","",IF(INDEX(A:A,MAX(IF(ISNUMBER($A$140:$A$159),ROW($A$140:$A$159),"")))&lt;&gt;E13,"Corrigez : révolution incorrecte","OK"))</f>
        <v>OK</v>
      </c>
      <c r="G13" s="5"/>
      <c r="H13" s="71"/>
      <c r="I13" s="110"/>
      <c r="J13" s="9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23</v>
      </c>
      <c r="C14" s="35">
        <v>3.8899999999999997E-2</v>
      </c>
      <c r="D14" s="36">
        <f t="shared" si="0"/>
        <v>0.20010937999999998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G14" s="5"/>
      <c r="H14" s="71"/>
      <c r="I14" s="110"/>
      <c r="J14" s="9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0"/>
      <c r="J15" s="9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0"/>
      <c r="J16" s="97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0"/>
      <c r="J17" s="97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0"/>
      <c r="J18" s="97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4"/>
      <c r="B19" s="39" t="s">
        <v>175</v>
      </c>
      <c r="C19" s="40">
        <f>SUM(C9:C18)</f>
        <v>1</v>
      </c>
      <c r="D19" s="41">
        <f>SUM(D9:D18)</f>
        <v>5.1441999999999988</v>
      </c>
      <c r="E19" s="5"/>
      <c r="F19" s="105"/>
      <c r="G19" s="105"/>
      <c r="H19" s="106"/>
      <c r="I19" s="105"/>
      <c r="J19" s="9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4"/>
      <c r="B20" s="42" t="s">
        <v>230</v>
      </c>
      <c r="C20" s="43" t="str">
        <f>IF(C19&gt;100%,"Erreur : corrigez","OK")</f>
        <v>OK</v>
      </c>
      <c r="D20" s="107"/>
      <c r="E20" s="5"/>
      <c r="F20" s="101"/>
      <c r="G20" s="101"/>
      <c r="H20" s="106"/>
      <c r="I20" s="105"/>
      <c r="J20" s="97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D21" s="5"/>
      <c r="E21" s="5"/>
      <c r="F21" s="5"/>
      <c r="G21" s="5"/>
      <c r="H21" s="108"/>
      <c r="I21" s="109"/>
      <c r="J21" s="9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55" t="s">
        <v>232</v>
      </c>
      <c r="B22" s="255"/>
      <c r="C22" s="100"/>
      <c r="D22" s="100"/>
      <c r="E22" s="100"/>
      <c r="F22" s="100"/>
      <c r="G22" s="100"/>
      <c r="H22" s="111"/>
      <c r="I22" s="102"/>
      <c r="J22" s="102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5">
      <c r="A23" s="5"/>
      <c r="B23" s="5"/>
      <c r="C23" s="5"/>
      <c r="D23" s="5"/>
      <c r="E23" s="5"/>
      <c r="F23" s="5"/>
      <c r="G23" s="5"/>
      <c r="H23" s="112"/>
      <c r="I23" s="97"/>
      <c r="J23" s="9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13"/>
      <c r="F24" s="113"/>
      <c r="G24" s="113"/>
      <c r="H24" s="71"/>
      <c r="I24" s="113"/>
      <c r="J24" s="11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15"/>
      <c r="E25" s="5"/>
      <c r="F25" s="115"/>
      <c r="G25" s="114"/>
      <c r="H25" s="71"/>
      <c r="I25" s="114"/>
      <c r="J25" s="11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13"/>
      <c r="F26" s="113"/>
      <c r="G26" s="113"/>
      <c r="H26" s="5"/>
      <c r="I26" s="113"/>
      <c r="J26" s="113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13"/>
      <c r="F27" s="113"/>
      <c r="G27" s="113"/>
      <c r="H27" s="5"/>
      <c r="I27" s="113"/>
      <c r="J27" s="113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C28" s="5"/>
      <c r="D28" s="5"/>
      <c r="E28" s="5"/>
      <c r="F28" s="5"/>
      <c r="G28" s="5"/>
      <c r="H28" s="97"/>
      <c r="I28" s="97"/>
      <c r="J28" s="97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C29" s="5"/>
      <c r="D29" s="5"/>
      <c r="E29" s="5"/>
      <c r="F29" s="5"/>
      <c r="G29" s="5"/>
      <c r="H29" s="97"/>
      <c r="I29" s="97"/>
      <c r="J29" s="97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57" t="s">
        <v>227</v>
      </c>
      <c r="B30" s="257"/>
      <c r="C30" s="100"/>
      <c r="D30" s="100"/>
      <c r="E30" s="100"/>
      <c r="F30" s="100"/>
      <c r="G30" s="100"/>
      <c r="H30" s="102"/>
      <c r="I30" s="102"/>
      <c r="J30" s="102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5">
      <c r="A31" s="5"/>
      <c r="B31" s="5"/>
      <c r="C31" s="5"/>
      <c r="D31" s="5"/>
      <c r="E31" s="5"/>
      <c r="F31" s="5"/>
      <c r="G31" s="5"/>
      <c r="H31" s="97"/>
      <c r="I31" s="97"/>
      <c r="J31" s="9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48" t="s">
        <v>186</v>
      </c>
      <c r="D34" s="248"/>
      <c r="E34" s="249" t="s">
        <v>187</v>
      </c>
      <c r="F34" s="250"/>
      <c r="G34" s="250"/>
      <c r="H34" s="251"/>
      <c r="I34" s="116"/>
      <c r="J34" s="11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8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291">
        <v>20</v>
      </c>
      <c r="B36" s="63">
        <v>28</v>
      </c>
      <c r="C36" s="63"/>
      <c r="D36" s="63"/>
      <c r="E36" s="292"/>
      <c r="F36" s="292"/>
      <c r="G36" s="292"/>
      <c r="H36" s="292"/>
      <c r="I36" s="52">
        <f>IFERROR(B36/A36,"")</f>
        <v>1.4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291">
        <v>30</v>
      </c>
      <c r="B37" s="63">
        <v>121</v>
      </c>
      <c r="C37" s="63"/>
      <c r="D37" s="63"/>
      <c r="E37" s="292"/>
      <c r="F37" s="292"/>
      <c r="G37" s="292"/>
      <c r="H37" s="292"/>
      <c r="I37" s="56">
        <f t="shared" ref="I37:I55" si="1">IF(A37&lt;&gt;0,(B37-(B36-D36))/(A37-A36),"")</f>
        <v>9.3000000000000007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291">
        <v>40</v>
      </c>
      <c r="B38" s="63">
        <v>267</v>
      </c>
      <c r="C38" s="63">
        <v>1</v>
      </c>
      <c r="D38" s="63">
        <v>91</v>
      </c>
      <c r="E38" s="292"/>
      <c r="F38" s="292"/>
      <c r="G38" s="292"/>
      <c r="H38" s="292"/>
      <c r="I38" s="56">
        <f t="shared" si="1"/>
        <v>14.6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291">
        <v>50</v>
      </c>
      <c r="B39" s="63">
        <v>380</v>
      </c>
      <c r="C39" s="63">
        <v>2</v>
      </c>
      <c r="D39" s="63">
        <v>91</v>
      </c>
      <c r="E39" s="292"/>
      <c r="F39" s="292"/>
      <c r="G39" s="292"/>
      <c r="H39" s="292"/>
      <c r="I39" s="52">
        <f t="shared" si="1"/>
        <v>20.399999999999999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291">
        <v>60</v>
      </c>
      <c r="B40" s="63">
        <v>516</v>
      </c>
      <c r="C40" s="63">
        <v>3</v>
      </c>
      <c r="D40" s="63">
        <v>112</v>
      </c>
      <c r="E40" s="292"/>
      <c r="F40" s="292"/>
      <c r="G40" s="292"/>
      <c r="H40" s="292"/>
      <c r="I40" s="52">
        <f t="shared" si="1"/>
        <v>22.7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291">
        <v>70</v>
      </c>
      <c r="B41" s="63">
        <v>631</v>
      </c>
      <c r="C41" s="63">
        <v>4</v>
      </c>
      <c r="D41" s="63">
        <v>109</v>
      </c>
      <c r="E41" s="292"/>
      <c r="F41" s="292"/>
      <c r="G41" s="292"/>
      <c r="H41" s="292"/>
      <c r="I41" s="56">
        <f t="shared" si="1"/>
        <v>22.7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291">
        <v>80</v>
      </c>
      <c r="B42" s="63">
        <v>734</v>
      </c>
      <c r="C42" s="63">
        <v>5</v>
      </c>
      <c r="D42" s="63">
        <v>110</v>
      </c>
      <c r="E42" s="292"/>
      <c r="F42" s="292"/>
      <c r="G42" s="292"/>
      <c r="H42" s="292"/>
      <c r="I42" s="56">
        <f t="shared" si="1"/>
        <v>21.2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91">
        <v>90</v>
      </c>
      <c r="B43" s="63">
        <v>802</v>
      </c>
      <c r="C43" s="63">
        <v>6</v>
      </c>
      <c r="D43" s="63">
        <v>97</v>
      </c>
      <c r="E43" s="292"/>
      <c r="F43" s="292"/>
      <c r="G43" s="292"/>
      <c r="H43" s="292"/>
      <c r="I43" s="52">
        <f t="shared" si="1"/>
        <v>17.8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91">
        <v>100</v>
      </c>
      <c r="B44" s="63">
        <v>855</v>
      </c>
      <c r="C44" s="63">
        <v>7</v>
      </c>
      <c r="D44" s="63">
        <f>B44</f>
        <v>855</v>
      </c>
      <c r="E44" s="292"/>
      <c r="F44" s="292"/>
      <c r="G44" s="292"/>
      <c r="H44" s="292"/>
      <c r="I44" s="52">
        <f t="shared" si="1"/>
        <v>15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1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48" t="s">
        <v>186</v>
      </c>
      <c r="D60" s="248"/>
      <c r="E60" s="249" t="s">
        <v>187</v>
      </c>
      <c r="F60" s="250"/>
      <c r="G60" s="250"/>
      <c r="H60" s="251"/>
      <c r="I60" s="116"/>
      <c r="J60" s="117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8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53">
        <v>216</v>
      </c>
      <c r="C62" s="53">
        <v>1</v>
      </c>
      <c r="D62" s="53">
        <v>63</v>
      </c>
      <c r="E62" s="292"/>
      <c r="F62" s="292"/>
      <c r="G62" s="292">
        <v>0.5</v>
      </c>
      <c r="H62" s="292">
        <v>0.5</v>
      </c>
      <c r="I62" s="56">
        <f>IFERROR(B62/A62,"")</f>
        <v>12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24</v>
      </c>
      <c r="B63" s="53">
        <v>299</v>
      </c>
      <c r="C63" s="53">
        <v>2</v>
      </c>
      <c r="D63" s="53">
        <v>66</v>
      </c>
      <c r="E63" s="292"/>
      <c r="F63" s="292">
        <v>0.3</v>
      </c>
      <c r="G63" s="292">
        <v>0.4</v>
      </c>
      <c r="H63" s="292">
        <v>0.3</v>
      </c>
      <c r="I63" s="52">
        <f t="shared" ref="I63:I81" si="2">IF(A63&lt;&gt;0,(B63-(B62-D62))/(A63-A62),"")</f>
        <v>24.333333333333332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390</v>
      </c>
      <c r="C64" s="53">
        <v>3</v>
      </c>
      <c r="D64" s="53">
        <v>79</v>
      </c>
      <c r="E64" s="292">
        <v>0.2</v>
      </c>
      <c r="F64" s="292">
        <v>0.3</v>
      </c>
      <c r="G64" s="292">
        <v>0.3</v>
      </c>
      <c r="H64" s="292">
        <v>0.2</v>
      </c>
      <c r="I64" s="52">
        <f t="shared" si="2"/>
        <v>26.166666666666668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36</v>
      </c>
      <c r="B65" s="53">
        <v>472</v>
      </c>
      <c r="C65" s="53">
        <v>4</v>
      </c>
      <c r="D65" s="53">
        <v>92</v>
      </c>
      <c r="E65" s="54"/>
      <c r="F65" s="54"/>
      <c r="G65" s="54"/>
      <c r="H65" s="54"/>
      <c r="I65" s="52">
        <f t="shared" si="2"/>
        <v>26.833333333333332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42</v>
      </c>
      <c r="B66" s="53">
        <v>538</v>
      </c>
      <c r="C66" s="53">
        <v>5</v>
      </c>
      <c r="D66" s="53">
        <v>88</v>
      </c>
      <c r="E66" s="54"/>
      <c r="F66" s="54"/>
      <c r="G66" s="54"/>
      <c r="H66" s="54"/>
      <c r="I66" s="52">
        <f t="shared" si="2"/>
        <v>26.333333333333332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48</v>
      </c>
      <c r="B67" s="53">
        <v>601</v>
      </c>
      <c r="C67" s="53">
        <v>6</v>
      </c>
      <c r="D67" s="53">
        <v>102</v>
      </c>
      <c r="E67" s="54"/>
      <c r="F67" s="54"/>
      <c r="G67" s="54"/>
      <c r="H67" s="54"/>
      <c r="I67" s="52">
        <f t="shared" si="2"/>
        <v>25.166666666666668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54</v>
      </c>
      <c r="B68" s="53">
        <v>640</v>
      </c>
      <c r="C68" s="53">
        <v>7</v>
      </c>
      <c r="D68" s="53">
        <v>640</v>
      </c>
      <c r="E68" s="54"/>
      <c r="F68" s="54"/>
      <c r="G68" s="54"/>
      <c r="H68" s="54"/>
      <c r="I68" s="52">
        <f t="shared" si="2"/>
        <v>23.5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19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48" t="s">
        <v>186</v>
      </c>
      <c r="D86" s="248"/>
      <c r="E86" s="249" t="s">
        <v>187</v>
      </c>
      <c r="F86" s="250"/>
      <c r="G86" s="250"/>
      <c r="H86" s="251"/>
      <c r="I86" s="116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293">
        <v>20</v>
      </c>
      <c r="B88" s="293">
        <v>95</v>
      </c>
      <c r="C88" s="293">
        <v>1</v>
      </c>
      <c r="D88" s="293">
        <v>33</v>
      </c>
      <c r="E88" s="294"/>
      <c r="F88" s="294"/>
      <c r="G88" s="294"/>
      <c r="H88" s="294">
        <v>1</v>
      </c>
      <c r="I88" s="56">
        <f>IFERROR(B88/A88,"")</f>
        <v>4.75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293">
        <v>25</v>
      </c>
      <c r="B89" s="293">
        <v>120</v>
      </c>
      <c r="C89" s="293"/>
      <c r="D89" s="293"/>
      <c r="E89" s="294"/>
      <c r="F89" s="294"/>
      <c r="G89" s="294"/>
      <c r="H89" s="294"/>
      <c r="I89" s="56">
        <f t="shared" ref="I89:I107" si="3">IF(A89&lt;&gt;0,(B89-(B88-D88))/(A89-A88),"")</f>
        <v>11.6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293">
        <v>30</v>
      </c>
      <c r="B90" s="293">
        <f>142+34</f>
        <v>176</v>
      </c>
      <c r="C90" s="293">
        <v>2</v>
      </c>
      <c r="D90" s="293">
        <f>34+33</f>
        <v>67</v>
      </c>
      <c r="E90" s="294"/>
      <c r="F90" s="294"/>
      <c r="G90" s="294"/>
      <c r="H90" s="294">
        <v>1</v>
      </c>
      <c r="I90" s="56">
        <f t="shared" si="3"/>
        <v>11.2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293">
        <v>35</v>
      </c>
      <c r="B91" s="293">
        <v>164</v>
      </c>
      <c r="C91" s="293"/>
      <c r="D91" s="293"/>
      <c r="E91" s="294"/>
      <c r="F91" s="294"/>
      <c r="G91" s="294"/>
      <c r="H91" s="294"/>
      <c r="I91" s="56">
        <f t="shared" si="3"/>
        <v>11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293">
        <v>40</v>
      </c>
      <c r="B92" s="293">
        <f>186+33</f>
        <v>219</v>
      </c>
      <c r="C92" s="293">
        <v>3</v>
      </c>
      <c r="D92" s="293">
        <f>33+33</f>
        <v>66</v>
      </c>
      <c r="E92" s="294"/>
      <c r="F92" s="294"/>
      <c r="G92" s="294"/>
      <c r="H92" s="294"/>
      <c r="I92" s="56">
        <f t="shared" si="3"/>
        <v>11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293">
        <v>45</v>
      </c>
      <c r="B93" s="293">
        <v>207</v>
      </c>
      <c r="C93" s="293"/>
      <c r="D93" s="293"/>
      <c r="E93" s="294"/>
      <c r="F93" s="294"/>
      <c r="G93" s="294"/>
      <c r="H93" s="294"/>
      <c r="I93" s="56">
        <f t="shared" si="3"/>
        <v>10.8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293">
        <v>50</v>
      </c>
      <c r="B94" s="293">
        <f>228+32</f>
        <v>260</v>
      </c>
      <c r="C94" s="293">
        <v>4</v>
      </c>
      <c r="D94" s="293">
        <f>32+32</f>
        <v>64</v>
      </c>
      <c r="E94" s="294"/>
      <c r="F94" s="294"/>
      <c r="G94" s="294"/>
      <c r="H94" s="294"/>
      <c r="I94" s="56">
        <f t="shared" si="3"/>
        <v>10.6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93">
        <v>55</v>
      </c>
      <c r="B95" s="293">
        <v>249</v>
      </c>
      <c r="C95" s="293"/>
      <c r="D95" s="293"/>
      <c r="E95" s="294"/>
      <c r="F95" s="294"/>
      <c r="G95" s="294"/>
      <c r="H95" s="294"/>
      <c r="I95" s="56">
        <f t="shared" si="3"/>
        <v>10.6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93">
        <v>60</v>
      </c>
      <c r="B96" s="293">
        <f>270+32</f>
        <v>302</v>
      </c>
      <c r="C96" s="293">
        <v>5</v>
      </c>
      <c r="D96" s="293">
        <f>32+31</f>
        <v>63</v>
      </c>
      <c r="E96" s="294"/>
      <c r="F96" s="294"/>
      <c r="G96" s="294"/>
      <c r="H96" s="294"/>
      <c r="I96" s="56">
        <f t="shared" si="3"/>
        <v>10.6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93">
        <v>65</v>
      </c>
      <c r="B97" s="293">
        <v>290</v>
      </c>
      <c r="C97" s="293"/>
      <c r="D97" s="293"/>
      <c r="E97" s="294"/>
      <c r="F97" s="294"/>
      <c r="G97" s="294"/>
      <c r="H97" s="294"/>
      <c r="I97" s="56">
        <f t="shared" si="3"/>
        <v>10.199999999999999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93">
        <v>70</v>
      </c>
      <c r="B98" s="293">
        <f>310+31</f>
        <v>341</v>
      </c>
      <c r="C98" s="293">
        <v>6</v>
      </c>
      <c r="D98" s="293">
        <f>31+31</f>
        <v>62</v>
      </c>
      <c r="E98" s="294"/>
      <c r="F98" s="294"/>
      <c r="G98" s="294"/>
      <c r="H98" s="294"/>
      <c r="I98" s="56">
        <f t="shared" si="3"/>
        <v>10.199999999999999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93">
        <v>75</v>
      </c>
      <c r="B99" s="293">
        <v>331</v>
      </c>
      <c r="C99" s="293"/>
      <c r="D99" s="293"/>
      <c r="E99" s="294"/>
      <c r="F99" s="294"/>
      <c r="G99" s="294"/>
      <c r="H99" s="294"/>
      <c r="I99" s="56">
        <f t="shared" si="3"/>
        <v>10.4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f>351+31</f>
        <v>382</v>
      </c>
      <c r="C100" s="63">
        <v>7</v>
      </c>
      <c r="D100" s="63">
        <f>31+31</f>
        <v>62</v>
      </c>
      <c r="E100" s="68"/>
      <c r="F100" s="68"/>
      <c r="G100" s="68"/>
      <c r="H100" s="68"/>
      <c r="I100" s="56">
        <f t="shared" si="3"/>
        <v>10.199999999999999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371</v>
      </c>
      <c r="C101" s="63"/>
      <c r="D101" s="63"/>
      <c r="E101" s="68"/>
      <c r="F101" s="68"/>
      <c r="G101" s="68"/>
      <c r="H101" s="68"/>
      <c r="I101" s="56">
        <f t="shared" si="3"/>
        <v>10.199999999999999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90</v>
      </c>
      <c r="B102" s="53">
        <v>421</v>
      </c>
      <c r="C102" s="53">
        <v>8</v>
      </c>
      <c r="D102" s="53">
        <v>60</v>
      </c>
      <c r="E102" s="57"/>
      <c r="F102" s="57"/>
      <c r="G102" s="57"/>
      <c r="H102" s="57"/>
      <c r="I102" s="56">
        <f t="shared" si="3"/>
        <v>10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95</v>
      </c>
      <c r="B103" s="53">
        <v>410</v>
      </c>
      <c r="C103" s="53"/>
      <c r="D103" s="53"/>
      <c r="E103" s="57"/>
      <c r="F103" s="57"/>
      <c r="G103" s="57"/>
      <c r="H103" s="57"/>
      <c r="I103" s="56">
        <f t="shared" si="3"/>
        <v>9.8000000000000007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100</v>
      </c>
      <c r="B104" s="53">
        <v>460</v>
      </c>
      <c r="C104" s="53">
        <v>9</v>
      </c>
      <c r="D104" s="53">
        <v>460</v>
      </c>
      <c r="E104" s="57"/>
      <c r="F104" s="57"/>
      <c r="G104" s="57"/>
      <c r="H104" s="57"/>
      <c r="I104" s="56">
        <f t="shared" si="3"/>
        <v>10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1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48" t="s">
        <v>186</v>
      </c>
      <c r="D112" s="248"/>
      <c r="E112" s="249" t="s">
        <v>187</v>
      </c>
      <c r="F112" s="250"/>
      <c r="G112" s="250"/>
      <c r="H112" s="251"/>
      <c r="I112" s="116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53">
        <v>11.1</v>
      </c>
      <c r="C114" s="53"/>
      <c r="D114" s="53"/>
      <c r="E114" s="54"/>
      <c r="F114" s="54"/>
      <c r="G114" s="54"/>
      <c r="H114" s="54"/>
      <c r="I114" s="56">
        <f>IFERROR(B114/A114,"")</f>
        <v>1.1099999999999999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53">
        <v>64.5</v>
      </c>
      <c r="C115" s="53"/>
      <c r="D115" s="53"/>
      <c r="E115" s="54"/>
      <c r="F115" s="54"/>
      <c r="G115" s="54"/>
      <c r="H115" s="54"/>
      <c r="I115" s="56">
        <f t="shared" ref="I115:I133" si="4">IF(A115&lt;&gt;0,(B115-(B114-D114))/(A115-A114),"")</f>
        <v>10.68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53">
        <v>133.30000000000001</v>
      </c>
      <c r="C116" s="53">
        <v>1</v>
      </c>
      <c r="D116" s="53">
        <v>66.5</v>
      </c>
      <c r="E116" s="54"/>
      <c r="F116" s="54"/>
      <c r="G116" s="54"/>
      <c r="H116" s="54">
        <v>1</v>
      </c>
      <c r="I116" s="56">
        <f t="shared" si="4"/>
        <v>13.760000000000002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53">
        <v>140.5</v>
      </c>
      <c r="C117" s="53"/>
      <c r="D117" s="53"/>
      <c r="E117" s="54"/>
      <c r="F117" s="54"/>
      <c r="G117" s="54"/>
      <c r="H117" s="54"/>
      <c r="I117" s="56">
        <f t="shared" si="4"/>
        <v>14.739999999999998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53">
        <v>211.8</v>
      </c>
      <c r="C118" s="53">
        <v>2</v>
      </c>
      <c r="D118" s="53">
        <v>70</v>
      </c>
      <c r="E118" s="54"/>
      <c r="F118" s="54"/>
      <c r="G118" s="54"/>
      <c r="H118" s="54">
        <v>1</v>
      </c>
      <c r="I118" s="56">
        <f t="shared" si="4"/>
        <v>14.260000000000002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53">
        <v>206.4</v>
      </c>
      <c r="C119" s="53"/>
      <c r="D119" s="53"/>
      <c r="E119" s="54"/>
      <c r="F119" s="54"/>
      <c r="G119" s="54"/>
      <c r="H119" s="54"/>
      <c r="I119" s="56">
        <f t="shared" si="4"/>
        <v>12.919999999999998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53">
        <v>263.10000000000002</v>
      </c>
      <c r="C120" s="53">
        <v>3</v>
      </c>
      <c r="D120" s="53">
        <v>70</v>
      </c>
      <c r="E120" s="54"/>
      <c r="F120" s="54"/>
      <c r="G120" s="54"/>
      <c r="H120" s="54"/>
      <c r="I120" s="56">
        <f t="shared" si="4"/>
        <v>11.340000000000003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45</v>
      </c>
      <c r="B121" s="53">
        <v>242.2</v>
      </c>
      <c r="C121" s="53"/>
      <c r="D121" s="53"/>
      <c r="E121" s="54"/>
      <c r="F121" s="54"/>
      <c r="G121" s="54"/>
      <c r="H121" s="54"/>
      <c r="I121" s="56">
        <f t="shared" si="4"/>
        <v>9.8199999999999932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50</v>
      </c>
      <c r="B122" s="53">
        <v>284.89999999999998</v>
      </c>
      <c r="C122" s="53">
        <v>4</v>
      </c>
      <c r="D122" s="53">
        <v>43.099999999999994</v>
      </c>
      <c r="E122" s="54"/>
      <c r="F122" s="54"/>
      <c r="G122" s="54"/>
      <c r="H122" s="54"/>
      <c r="I122" s="56">
        <f t="shared" si="4"/>
        <v>8.5399999999999974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55</v>
      </c>
      <c r="B123" s="53">
        <v>278.60000000000002</v>
      </c>
      <c r="C123" s="53"/>
      <c r="D123" s="53"/>
      <c r="E123" s="54"/>
      <c r="F123" s="54"/>
      <c r="G123" s="54"/>
      <c r="H123" s="54"/>
      <c r="I123" s="56">
        <f t="shared" si="4"/>
        <v>7.3600000000000083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60</v>
      </c>
      <c r="B124" s="53">
        <v>310</v>
      </c>
      <c r="C124" s="53">
        <v>5</v>
      </c>
      <c r="D124" s="53">
        <v>30.2</v>
      </c>
      <c r="E124" s="54"/>
      <c r="F124" s="54"/>
      <c r="G124" s="54"/>
      <c r="H124" s="54"/>
      <c r="I124" s="56">
        <f t="shared" si="4"/>
        <v>6.2799999999999958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65</v>
      </c>
      <c r="B125" s="53">
        <v>306</v>
      </c>
      <c r="C125" s="53"/>
      <c r="D125" s="53"/>
      <c r="E125" s="54"/>
      <c r="F125" s="54"/>
      <c r="G125" s="54"/>
      <c r="H125" s="54"/>
      <c r="I125" s="56">
        <f t="shared" si="4"/>
        <v>5.2399999999999975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70</v>
      </c>
      <c r="B126" s="53">
        <v>328.5</v>
      </c>
      <c r="C126" s="53">
        <v>6</v>
      </c>
      <c r="D126" s="53">
        <v>25.9</v>
      </c>
      <c r="E126" s="54"/>
      <c r="F126" s="54"/>
      <c r="G126" s="54"/>
      <c r="H126" s="54"/>
      <c r="I126" s="56">
        <f t="shared" si="4"/>
        <v>4.5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75</v>
      </c>
      <c r="B127" s="53">
        <v>323.5</v>
      </c>
      <c r="C127" s="53"/>
      <c r="D127" s="53"/>
      <c r="E127" s="54"/>
      <c r="F127" s="54"/>
      <c r="G127" s="54"/>
      <c r="H127" s="54"/>
      <c r="I127" s="56">
        <f t="shared" si="4"/>
        <v>4.1799999999999953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80</v>
      </c>
      <c r="B128" s="53">
        <v>341.3</v>
      </c>
      <c r="C128" s="53">
        <v>7</v>
      </c>
      <c r="D128" s="53">
        <v>341.3</v>
      </c>
      <c r="E128" s="54"/>
      <c r="F128" s="54"/>
      <c r="G128" s="54"/>
      <c r="H128" s="54"/>
      <c r="I128" s="56">
        <f t="shared" si="4"/>
        <v>3.5600000000000023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maritime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1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48" t="s">
        <v>186</v>
      </c>
      <c r="D138" s="248"/>
      <c r="E138" s="249" t="s">
        <v>187</v>
      </c>
      <c r="F138" s="250"/>
      <c r="G138" s="250"/>
      <c r="H138" s="251"/>
      <c r="I138" s="116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291">
        <v>12</v>
      </c>
      <c r="B140" s="63">
        <v>38.9</v>
      </c>
      <c r="C140" s="291"/>
      <c r="D140" s="63"/>
      <c r="E140" s="292"/>
      <c r="F140" s="292"/>
      <c r="G140" s="292"/>
      <c r="H140" s="54"/>
      <c r="I140" s="60">
        <f>IFERROR(B140/A140,"")</f>
        <v>3.2416666666666667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291">
        <v>13</v>
      </c>
      <c r="B141" s="63">
        <v>53.7</v>
      </c>
      <c r="C141" s="291"/>
      <c r="D141" s="63"/>
      <c r="E141" s="292"/>
      <c r="F141" s="292"/>
      <c r="G141" s="292"/>
      <c r="H141" s="54"/>
      <c r="I141" s="60">
        <f t="shared" ref="I141:I159" si="5">IF(A141&lt;&gt;0,(B141-(B140-D140))/(A141-A140),"")</f>
        <v>14.800000000000004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291">
        <v>14</v>
      </c>
      <c r="B142" s="63">
        <v>70.400000000000006</v>
      </c>
      <c r="C142" s="291"/>
      <c r="D142" s="63"/>
      <c r="E142" s="292"/>
      <c r="F142" s="292"/>
      <c r="G142" s="292"/>
      <c r="H142" s="54"/>
      <c r="I142" s="60">
        <f t="shared" si="5"/>
        <v>16.700000000000003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291">
        <v>15</v>
      </c>
      <c r="B143" s="63">
        <v>88.9</v>
      </c>
      <c r="C143" s="291">
        <v>1</v>
      </c>
      <c r="D143" s="63">
        <v>23.3</v>
      </c>
      <c r="E143" s="292"/>
      <c r="F143" s="292"/>
      <c r="G143" s="292">
        <v>1</v>
      </c>
      <c r="H143" s="54"/>
      <c r="I143" s="60">
        <f t="shared" si="5"/>
        <v>18.5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291">
        <v>18</v>
      </c>
      <c r="B144" s="63">
        <v>100.6</v>
      </c>
      <c r="C144" s="291"/>
      <c r="D144" s="63"/>
      <c r="E144" s="292"/>
      <c r="F144" s="292"/>
      <c r="G144" s="292"/>
      <c r="H144" s="54"/>
      <c r="I144" s="60">
        <f t="shared" si="5"/>
        <v>11.666666666666663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291">
        <v>20</v>
      </c>
      <c r="B145" s="63">
        <v>130.19999999999999</v>
      </c>
      <c r="C145" s="291">
        <v>2</v>
      </c>
      <c r="D145" s="63">
        <v>34.1</v>
      </c>
      <c r="E145" s="292">
        <v>0.25</v>
      </c>
      <c r="F145" s="292">
        <v>0.35</v>
      </c>
      <c r="G145" s="292">
        <v>0.4</v>
      </c>
      <c r="H145" s="54"/>
      <c r="I145" s="60">
        <f t="shared" si="5"/>
        <v>14.799999999999997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291">
        <v>24</v>
      </c>
      <c r="B146" s="63">
        <v>161.69999999999999</v>
      </c>
      <c r="C146" s="291"/>
      <c r="D146" s="63"/>
      <c r="E146" s="292"/>
      <c r="F146" s="292"/>
      <c r="G146" s="292"/>
      <c r="H146" s="54"/>
      <c r="I146" s="60">
        <f t="shared" si="5"/>
        <v>16.399999999999999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91">
        <v>27</v>
      </c>
      <c r="B147" s="63">
        <v>218.4</v>
      </c>
      <c r="C147" s="291">
        <v>3</v>
      </c>
      <c r="D147" s="63">
        <v>54.5</v>
      </c>
      <c r="E147" s="292">
        <v>0.6</v>
      </c>
      <c r="F147" s="292">
        <v>0.2</v>
      </c>
      <c r="G147" s="292">
        <v>0.2</v>
      </c>
      <c r="H147" s="54"/>
      <c r="I147" s="60">
        <f>IF(A147&lt;&gt;0,(B147-(B146-D146))/(A147-A146),"")</f>
        <v>18.900000000000006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91">
        <v>30</v>
      </c>
      <c r="B148" s="63">
        <v>211.1</v>
      </c>
      <c r="C148" s="291"/>
      <c r="D148" s="63"/>
      <c r="E148" s="292"/>
      <c r="F148" s="292"/>
      <c r="G148" s="292"/>
      <c r="H148" s="54"/>
      <c r="I148" s="60">
        <f t="shared" si="5"/>
        <v>15.733333333333329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91">
        <v>32</v>
      </c>
      <c r="B149" s="63">
        <v>243.4</v>
      </c>
      <c r="C149" s="291">
        <v>4</v>
      </c>
      <c r="D149" s="63">
        <v>62.7</v>
      </c>
      <c r="E149" s="292"/>
      <c r="F149" s="292"/>
      <c r="G149" s="292"/>
      <c r="H149" s="54"/>
      <c r="I149" s="60">
        <f t="shared" si="5"/>
        <v>16.150000000000006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91">
        <v>35</v>
      </c>
      <c r="B150" s="63">
        <v>219.2</v>
      </c>
      <c r="C150" s="291"/>
      <c r="D150" s="63"/>
      <c r="E150" s="292"/>
      <c r="F150" s="292"/>
      <c r="G150" s="292"/>
      <c r="H150" s="54"/>
      <c r="I150" s="60">
        <f t="shared" si="5"/>
        <v>12.833333333333334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291">
        <v>38</v>
      </c>
      <c r="B151" s="63">
        <v>258.5</v>
      </c>
      <c r="C151" s="291"/>
      <c r="D151" s="63"/>
      <c r="E151" s="292"/>
      <c r="F151" s="292"/>
      <c r="G151" s="292"/>
      <c r="H151" s="54"/>
      <c r="I151" s="60">
        <f t="shared" si="5"/>
        <v>13.100000000000003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291">
        <v>41</v>
      </c>
      <c r="B152" s="63">
        <v>298</v>
      </c>
      <c r="C152" s="291"/>
      <c r="D152" s="63"/>
      <c r="E152" s="57"/>
      <c r="F152" s="57"/>
      <c r="G152" s="57"/>
      <c r="H152" s="57"/>
      <c r="I152" s="60">
        <f t="shared" si="5"/>
        <v>13.166666666666666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291">
        <v>44</v>
      </c>
      <c r="B153" s="63">
        <v>337.8</v>
      </c>
      <c r="C153" s="291">
        <v>5</v>
      </c>
      <c r="D153" s="63">
        <f>B153</f>
        <v>337.8</v>
      </c>
      <c r="E153" s="57"/>
      <c r="F153" s="57"/>
      <c r="G153" s="57"/>
      <c r="H153" s="57"/>
      <c r="I153" s="60">
        <f t="shared" si="5"/>
        <v>13.266666666666671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Erable sycomore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19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48" t="s">
        <v>186</v>
      </c>
      <c r="D164" s="248"/>
      <c r="E164" s="249" t="s">
        <v>187</v>
      </c>
      <c r="F164" s="250"/>
      <c r="G164" s="250"/>
      <c r="H164" s="251"/>
      <c r="I164" s="116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53">
        <v>11.1</v>
      </c>
      <c r="C166" s="53"/>
      <c r="D166" s="53"/>
      <c r="E166" s="54"/>
      <c r="F166" s="54"/>
      <c r="G166" s="54"/>
      <c r="H166" s="54"/>
      <c r="I166" s="52">
        <f>IFERROR(B166/A166,"")</f>
        <v>1.1099999999999999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53">
        <v>64.5</v>
      </c>
      <c r="C167" s="53"/>
      <c r="D167" s="53"/>
      <c r="E167" s="54"/>
      <c r="F167" s="54"/>
      <c r="G167" s="54"/>
      <c r="H167" s="54"/>
      <c r="I167" s="52">
        <f t="shared" ref="I167:I185" si="6">IF(A167&lt;&gt;0,(B167-(B166-D166))/(A167-A166),"")</f>
        <v>10.68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53">
        <v>133.30000000000001</v>
      </c>
      <c r="C168" s="53">
        <v>1</v>
      </c>
      <c r="D168" s="53">
        <v>66.5</v>
      </c>
      <c r="E168" s="54"/>
      <c r="F168" s="54"/>
      <c r="G168" s="54"/>
      <c r="H168" s="54">
        <v>1</v>
      </c>
      <c r="I168" s="52">
        <f t="shared" si="6"/>
        <v>13.760000000000002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53">
        <v>140.5</v>
      </c>
      <c r="C169" s="53"/>
      <c r="D169" s="53"/>
      <c r="E169" s="54"/>
      <c r="F169" s="54"/>
      <c r="G169" s="54"/>
      <c r="H169" s="54"/>
      <c r="I169" s="52">
        <f t="shared" si="6"/>
        <v>14.739999999999998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53">
        <v>211.8</v>
      </c>
      <c r="C170" s="53">
        <v>2</v>
      </c>
      <c r="D170" s="53">
        <v>70</v>
      </c>
      <c r="E170" s="54"/>
      <c r="F170" s="54"/>
      <c r="G170" s="54"/>
      <c r="H170" s="54">
        <v>1</v>
      </c>
      <c r="I170" s="52">
        <f t="shared" si="6"/>
        <v>14.260000000000002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53">
        <v>206.4</v>
      </c>
      <c r="C171" s="53"/>
      <c r="D171" s="53"/>
      <c r="E171" s="54"/>
      <c r="F171" s="54"/>
      <c r="G171" s="54"/>
      <c r="H171" s="54"/>
      <c r="I171" s="52">
        <f t="shared" si="6"/>
        <v>12.919999999999998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53">
        <v>263.10000000000002</v>
      </c>
      <c r="C172" s="53">
        <v>3</v>
      </c>
      <c r="D172" s="53">
        <v>70</v>
      </c>
      <c r="E172" s="54"/>
      <c r="F172" s="54"/>
      <c r="G172" s="54"/>
      <c r="H172" s="54"/>
      <c r="I172" s="52">
        <f t="shared" si="6"/>
        <v>11.340000000000003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242.2</v>
      </c>
      <c r="C173" s="53"/>
      <c r="D173" s="53"/>
      <c r="E173" s="54"/>
      <c r="F173" s="54"/>
      <c r="G173" s="54"/>
      <c r="H173" s="54"/>
      <c r="I173" s="52">
        <f t="shared" si="6"/>
        <v>9.8199999999999932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284.89999999999998</v>
      </c>
      <c r="C174" s="53">
        <v>4</v>
      </c>
      <c r="D174" s="53">
        <v>43.099999999999994</v>
      </c>
      <c r="E174" s="54"/>
      <c r="F174" s="54"/>
      <c r="G174" s="54"/>
      <c r="H174" s="54"/>
      <c r="I174" s="52">
        <f t="shared" si="6"/>
        <v>8.5399999999999974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278.60000000000002</v>
      </c>
      <c r="C175" s="53"/>
      <c r="D175" s="53"/>
      <c r="E175" s="54"/>
      <c r="F175" s="54"/>
      <c r="G175" s="54"/>
      <c r="H175" s="54"/>
      <c r="I175" s="52">
        <f t="shared" si="6"/>
        <v>7.3600000000000083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310</v>
      </c>
      <c r="C176" s="53">
        <v>5</v>
      </c>
      <c r="D176" s="53">
        <v>30.2</v>
      </c>
      <c r="E176" s="54"/>
      <c r="F176" s="54"/>
      <c r="G176" s="54"/>
      <c r="H176" s="54"/>
      <c r="I176" s="52">
        <f t="shared" si="6"/>
        <v>6.2799999999999958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v>306</v>
      </c>
      <c r="C177" s="53"/>
      <c r="D177" s="53"/>
      <c r="E177" s="54"/>
      <c r="F177" s="54"/>
      <c r="G177" s="54"/>
      <c r="H177" s="54"/>
      <c r="I177" s="52">
        <f t="shared" si="6"/>
        <v>5.2399999999999975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v>328.5</v>
      </c>
      <c r="C178" s="53">
        <v>6</v>
      </c>
      <c r="D178" s="53">
        <v>25.9</v>
      </c>
      <c r="E178" s="54"/>
      <c r="F178" s="54"/>
      <c r="G178" s="54"/>
      <c r="H178" s="54"/>
      <c r="I178" s="52">
        <f t="shared" si="6"/>
        <v>4.5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v>323.5</v>
      </c>
      <c r="C179" s="53"/>
      <c r="D179" s="53"/>
      <c r="E179" s="54"/>
      <c r="F179" s="54"/>
      <c r="G179" s="54"/>
      <c r="H179" s="54"/>
      <c r="I179" s="52">
        <f t="shared" si="6"/>
        <v>4.1799999999999953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341.3</v>
      </c>
      <c r="C180" s="53">
        <v>7</v>
      </c>
      <c r="D180" s="53">
        <v>341.3</v>
      </c>
      <c r="E180" s="54"/>
      <c r="F180" s="54"/>
      <c r="G180" s="54"/>
      <c r="H180" s="54"/>
      <c r="I180" s="52">
        <f t="shared" si="6"/>
        <v>3.5600000000000023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1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48" t="s">
        <v>186</v>
      </c>
      <c r="D190" s="248"/>
      <c r="E190" s="249" t="s">
        <v>187</v>
      </c>
      <c r="F190" s="250"/>
      <c r="G190" s="250"/>
      <c r="H190" s="251"/>
      <c r="I190" s="116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19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48" t="s">
        <v>186</v>
      </c>
      <c r="D216" s="248"/>
      <c r="E216" s="249" t="s">
        <v>187</v>
      </c>
      <c r="F216" s="250"/>
      <c r="G216" s="250"/>
      <c r="H216" s="251"/>
      <c r="I216" s="116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19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48" t="s">
        <v>186</v>
      </c>
      <c r="D242" s="248"/>
      <c r="E242" s="249" t="s">
        <v>187</v>
      </c>
      <c r="F242" s="250"/>
      <c r="G242" s="250"/>
      <c r="H242" s="251"/>
      <c r="I242" s="116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19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48" t="s">
        <v>186</v>
      </c>
      <c r="D268" s="248"/>
      <c r="E268" s="249" t="s">
        <v>187</v>
      </c>
      <c r="F268" s="250"/>
      <c r="G268" s="250"/>
      <c r="H268" s="251"/>
      <c r="I268" s="116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20"/>
      <c r="K1" s="120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262" t="s">
        <v>191</v>
      </c>
      <c r="C2" s="263"/>
      <c r="D2" s="263"/>
      <c r="E2" s="263"/>
      <c r="F2" s="263"/>
      <c r="G2" s="26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261"/>
      <c r="C4" s="261"/>
      <c r="D4" s="261"/>
      <c r="E4" s="261"/>
      <c r="F4" s="261"/>
      <c r="G4" s="26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21" t="s">
        <v>301</v>
      </c>
      <c r="C5" s="121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5"/>
      <c r="B6" s="121"/>
      <c r="C6" s="121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22"/>
      <c r="B7" s="29" t="s">
        <v>300</v>
      </c>
      <c r="C7" s="123" t="s">
        <v>214</v>
      </c>
      <c r="D7" s="124"/>
      <c r="E7" s="124"/>
      <c r="F7" s="29" t="s">
        <v>300</v>
      </c>
      <c r="G7" s="123" t="s">
        <v>215</v>
      </c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</row>
    <row r="8" spans="1:38" ht="17.25" customHeight="1" x14ac:dyDescent="0.25">
      <c r="A8" s="128">
        <v>1</v>
      </c>
      <c r="B8" s="64">
        <v>0</v>
      </c>
      <c r="C8" s="52" t="s">
        <v>177</v>
      </c>
      <c r="D8" s="5"/>
      <c r="E8" s="128">
        <v>4</v>
      </c>
      <c r="F8" s="64">
        <v>0</v>
      </c>
      <c r="G8" s="125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28">
        <v>2</v>
      </c>
      <c r="B9" s="64">
        <v>1</v>
      </c>
      <c r="C9" s="131" t="s">
        <v>216</v>
      </c>
      <c r="D9" s="5"/>
      <c r="E9" s="128">
        <v>5</v>
      </c>
      <c r="F9" s="64">
        <v>0</v>
      </c>
      <c r="G9" s="126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28">
        <v>3</v>
      </c>
      <c r="B10" s="64">
        <v>0</v>
      </c>
      <c r="C10" s="132" t="s">
        <v>217</v>
      </c>
      <c r="D10" s="5"/>
      <c r="E10" s="5"/>
      <c r="F10" s="129">
        <f>SUM(F7:F9)</f>
        <v>0</v>
      </c>
      <c r="G10" s="127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5"/>
      <c r="B11" s="129">
        <v>0</v>
      </c>
      <c r="C11" s="127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122"/>
      <c r="B13" s="130"/>
      <c r="C13" s="121" t="s">
        <v>274</v>
      </c>
      <c r="D13" s="122"/>
      <c r="E13" s="122"/>
      <c r="F13" s="130"/>
      <c r="G13" s="121" t="s">
        <v>307</v>
      </c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</row>
    <row r="14" spans="1:38" s="4" customFormat="1" ht="21" customHeight="1" x14ac:dyDescent="0.25">
      <c r="A14" s="122"/>
      <c r="B14" s="130"/>
      <c r="C14" s="121" t="s">
        <v>306</v>
      </c>
      <c r="D14" s="122"/>
      <c r="E14" s="122"/>
      <c r="F14" s="130"/>
      <c r="G14" s="121" t="s">
        <v>299</v>
      </c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</row>
    <row r="15" spans="1:38" x14ac:dyDescent="0.25">
      <c r="A15" s="5"/>
      <c r="B15" s="29" t="s">
        <v>300</v>
      </c>
      <c r="C15" s="5"/>
      <c r="D15" s="5"/>
      <c r="E15" s="5"/>
      <c r="F15" s="5"/>
      <c r="G15" s="2" t="s">
        <v>149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5"/>
      <c r="B16" s="64">
        <v>0</v>
      </c>
      <c r="C16" s="133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5"/>
      <c r="B17" s="64">
        <v>0</v>
      </c>
      <c r="C17" s="133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5"/>
      <c r="B18" s="64">
        <v>0</v>
      </c>
      <c r="C18" s="133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5"/>
      <c r="B19" s="129">
        <f>SUM(B16:B18)</f>
        <v>0</v>
      </c>
      <c r="C19" s="127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100"/>
      <c r="C24" s="100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5"/>
      <c r="C25" s="5"/>
      <c r="D25" s="100"/>
      <c r="E25" s="10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268" t="s">
        <v>176</v>
      </c>
      <c r="C1" s="269"/>
      <c r="D1" s="269"/>
      <c r="E1" s="269"/>
      <c r="F1" s="269"/>
      <c r="G1" s="269"/>
      <c r="H1" s="270"/>
      <c r="I1" s="265" t="str">
        <f>IF('Données projet'!$B$9="","",'Données projet'!$B$9)</f>
        <v>Cèdre de l'Atlas</v>
      </c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7"/>
      <c r="AD1" s="266" t="str">
        <f>IF('Données projet'!$B$10="","",'Données projet'!$B$10)</f>
        <v>Douglas</v>
      </c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7"/>
      <c r="AY1" s="265" t="str">
        <f>IF('Données projet'!$B$11="","",'Données projet'!$B$11)</f>
        <v>Chêne rouge d'Amérique</v>
      </c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7"/>
      <c r="BT1" s="265" t="str">
        <f>IF('Données projet'!$B$12="","",'Données projet'!$B$12)</f>
        <v>Châtaignier</v>
      </c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7"/>
      <c r="CO1" s="265" t="str">
        <f>IF('Données projet'!$B$13="","",'Données projet'!$B$13)</f>
        <v>Pin maritime</v>
      </c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7"/>
      <c r="DJ1" s="265" t="str">
        <f>IF('Données projet'!$B$14="","",'Données projet'!$B$14)</f>
        <v>Erable sycomore</v>
      </c>
      <c r="DK1" s="266"/>
      <c r="DL1" s="266"/>
      <c r="DM1" s="266"/>
      <c r="DN1" s="266"/>
      <c r="DO1" s="266"/>
      <c r="DP1" s="266"/>
      <c r="DQ1" s="266"/>
      <c r="DR1" s="266"/>
      <c r="DS1" s="266"/>
      <c r="DT1" s="266"/>
      <c r="DU1" s="266"/>
      <c r="DV1" s="266"/>
      <c r="DW1" s="266"/>
      <c r="DX1" s="266"/>
      <c r="DY1" s="266"/>
      <c r="DZ1" s="266"/>
      <c r="EA1" s="266"/>
      <c r="EB1" s="266"/>
      <c r="EC1" s="266"/>
      <c r="ED1" s="267"/>
      <c r="EE1" s="265" t="str">
        <f>IF('Données projet'!$B$15="","",'Données projet'!$B$15)</f>
        <v/>
      </c>
      <c r="EF1" s="266"/>
      <c r="EG1" s="266"/>
      <c r="EH1" s="266"/>
      <c r="EI1" s="266"/>
      <c r="EJ1" s="266"/>
      <c r="EK1" s="266"/>
      <c r="EL1" s="266"/>
      <c r="EM1" s="266"/>
      <c r="EN1" s="266"/>
      <c r="EO1" s="266"/>
      <c r="EP1" s="266"/>
      <c r="EQ1" s="266"/>
      <c r="ER1" s="266"/>
      <c r="ES1" s="266"/>
      <c r="ET1" s="266"/>
      <c r="EU1" s="266"/>
      <c r="EV1" s="266"/>
      <c r="EW1" s="266"/>
      <c r="EX1" s="266"/>
      <c r="EY1" s="267"/>
      <c r="EZ1" s="265" t="str">
        <f>IF('Données projet'!$B$16="","",'Données projet'!$B$16)</f>
        <v/>
      </c>
      <c r="FA1" s="266"/>
      <c r="FB1" s="266"/>
      <c r="FC1" s="266"/>
      <c r="FD1" s="266"/>
      <c r="FE1" s="266"/>
      <c r="FF1" s="266"/>
      <c r="FG1" s="266"/>
      <c r="FH1" s="266"/>
      <c r="FI1" s="266"/>
      <c r="FJ1" s="266"/>
      <c r="FK1" s="266"/>
      <c r="FL1" s="266"/>
      <c r="FM1" s="266"/>
      <c r="FN1" s="266"/>
      <c r="FO1" s="266"/>
      <c r="FP1" s="266"/>
      <c r="FQ1" s="266"/>
      <c r="FR1" s="266"/>
      <c r="FS1" s="266"/>
      <c r="FT1" s="267"/>
      <c r="FU1" s="265" t="str">
        <f>IF('Données projet'!$B$17="","",'Données projet'!$B$17)</f>
        <v/>
      </c>
      <c r="FV1" s="266"/>
      <c r="FW1" s="266"/>
      <c r="FX1" s="266"/>
      <c r="FY1" s="266"/>
      <c r="FZ1" s="266"/>
      <c r="GA1" s="266"/>
      <c r="GB1" s="266"/>
      <c r="GC1" s="266"/>
      <c r="GD1" s="266"/>
      <c r="GE1" s="266"/>
      <c r="GF1" s="266"/>
      <c r="GG1" s="266"/>
      <c r="GH1" s="266"/>
      <c r="GI1" s="266"/>
      <c r="GJ1" s="266"/>
      <c r="GK1" s="266"/>
      <c r="GL1" s="266"/>
      <c r="GM1" s="266"/>
      <c r="GN1" s="266"/>
      <c r="GO1" s="267"/>
      <c r="GP1" s="265" t="str">
        <f>IF('Données projet'!$B$18="","",'Données projet'!$B$18)</f>
        <v/>
      </c>
      <c r="GQ1" s="266"/>
      <c r="GR1" s="266"/>
      <c r="GS1" s="266"/>
      <c r="GT1" s="266"/>
      <c r="GU1" s="266"/>
      <c r="GV1" s="266"/>
      <c r="GW1" s="266"/>
      <c r="GX1" s="266"/>
      <c r="GY1" s="266"/>
      <c r="GZ1" s="266"/>
      <c r="HA1" s="266"/>
      <c r="HB1" s="266"/>
      <c r="HC1" s="266"/>
      <c r="HD1" s="266"/>
      <c r="HE1" s="266"/>
      <c r="HF1" s="266"/>
      <c r="HG1" s="266"/>
      <c r="HH1" s="266"/>
      <c r="HI1" s="266"/>
      <c r="HJ1" s="267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300.03481708703549</v>
      </c>
      <c r="T3" s="62">
        <f>$R$33-$H$33</f>
        <v>102.6350860969182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328.27336939084597</v>
      </c>
      <c r="AO3" s="62">
        <f>$AM$33-$H$33</f>
        <v>448.79354389108755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348.65374983303883</v>
      </c>
      <c r="BJ3" s="62">
        <f>$BH$33-$H$33</f>
        <v>312.05848669315151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264.06656596707364</v>
      </c>
      <c r="CE3" s="62">
        <f>$CC$33-$H$33</f>
        <v>315.34415130230195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162.29089122912319</v>
      </c>
      <c r="CZ3" s="62">
        <f>$CX$33-$H$33</f>
        <v>253.15422514195427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290.20755061064017</v>
      </c>
      <c r="DU3" s="62">
        <f>$DS$33-$H$33</f>
        <v>343.54750327717181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</v>
      </c>
      <c r="N4" s="14">
        <f>IF(A4&lt;'Données projet'!$A$36,$K$205^A4,IF(A4='Données projet'!$A$36,'Données projet'!$B$36,N3+M4-V3))</f>
        <v>1.1812937373976771</v>
      </c>
      <c r="O4" s="14">
        <f>N4*VLOOKUP('Données projet'!$B$9,Paramètres!$A$1:$I$88,3,0)*VLOOKUP('Données projet'!$B$9,Paramètres!$A$1:$I$88,5,0)</f>
        <v>0.55284546910211285</v>
      </c>
      <c r="P4" s="14">
        <f>EXP(-1.0587+0.8836*LN(O4)+0.284)</f>
        <v>0.27297114564908254</v>
      </c>
      <c r="Q4" s="22">
        <f t="shared" ref="Q4:Q34" si="2">(O4+P4)*0.475*44/12</f>
        <v>1.4382972706916652</v>
      </c>
      <c r="R4" s="62">
        <f t="shared" si="0"/>
        <v>259.32718615958055</v>
      </c>
      <c r="S4" s="62">
        <f ca="1">AVERAGE(OFFSET($R$3,0,0,'Données projet'!$E$9+1,1))-AVERAGE(OFFSET($H$3,0,0,'Données projet'!$E$9+1,1))</f>
        <v>300.03481708703549</v>
      </c>
      <c r="T4" s="62">
        <f t="shared" ref="T4:T66" si="3">$R$33-$H$33</f>
        <v>102.6350860969182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12</v>
      </c>
      <c r="AI4" s="14">
        <f>IF(A4&lt;'Données projet'!$A$62,$AF$205^A4,IF(A4='Données projet'!$A$62,'Données projet'!$B$62,AI3+AH4-AQ3))</f>
        <v>1.3480061545972777</v>
      </c>
      <c r="AJ4" s="14">
        <f>AI4*VLOOKUP('Données projet'!$B$10,Paramètres!$A$1:$I$88,3,0)*VLOOKUP('Données projet'!$B$10,Paramètres!$A$1:$I$88,5,0)</f>
        <v>0.75353544041987819</v>
      </c>
      <c r="AK4" s="14">
        <f>EXP(-1.0587+0.8836*LN(AJ4)+0.284)</f>
        <v>0.35888960472024145</v>
      </c>
      <c r="AL4" s="22">
        <f t="shared" ref="AL4:AL67" si="5">(AJ4+AK4)*0.475*44/12</f>
        <v>1.9374736202857081</v>
      </c>
      <c r="AM4" s="62">
        <f t="shared" ref="AM4:AM67" si="6">AL4+(AD4+AE4)*44/12</f>
        <v>259.82636250917454</v>
      </c>
      <c r="AN4" s="62">
        <f ca="1">AVERAGE(OFFSET($AM$3,0,0,'Données projet'!$E$10+1,1))-AVERAGE(OFFSET($H$3,0,0,'Données projet'!$E$10+1,1))</f>
        <v>328.27336939084597</v>
      </c>
      <c r="AO4" s="62">
        <f t="shared" ref="AO4:AO67" si="7">$AM$33-$H$33</f>
        <v>448.79354389108755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4.75</v>
      </c>
      <c r="BD4" s="13">
        <f>IF(A4&lt;'Données projet'!$A$88,$BA$205^A4,IF(A4='Données projet'!$A$88,'Données projet'!$B$88,BD3+BC4-BL3))</f>
        <v>1.2557008269631629</v>
      </c>
      <c r="BE4" s="14">
        <f>BD4*VLOOKUP('Données projet'!$B$11,Paramètres!$A$1:$I$88,3,0)*VLOOKUP('Données projet'!$B$11,Paramètres!$A$1:$I$88,5,0)</f>
        <v>1.0969802424350192</v>
      </c>
      <c r="BF4" s="14">
        <f>EXP(-1.0587+0.8836*LN(BE4)+0.284)</f>
        <v>0.50011712916308415</v>
      </c>
      <c r="BG4" s="22">
        <f t="shared" ref="BG4:BG67" si="9">(BE4+BF4)*0.475*44/12</f>
        <v>2.7816112555333632</v>
      </c>
      <c r="BH4" s="62">
        <f t="shared" ref="BH4:BH67" si="10">BG4+(AY4+AZ4)*44/12</f>
        <v>260.67050014442225</v>
      </c>
      <c r="BI4" s="62">
        <f ca="1">AVERAGE(OFFSET($BH$3,0,0,'Données projet'!$E$11+1,1))-AVERAGE(OFFSET($H$3,0,0,'Données projet'!$E$11+1,1))</f>
        <v>348.65374983303883</v>
      </c>
      <c r="BJ4" s="62">
        <f t="shared" ref="BJ4:BJ67" si="11">$BH$33-$H$33</f>
        <v>312.05848669315151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1.1099999999999999</v>
      </c>
      <c r="BY4" s="13">
        <f>IF(A4&lt;'Données projet'!$A$114,$BV$205^A4,IF(A4='Données projet'!$A$114,'Données projet'!$B$114,BY3+BX4-CG3))</f>
        <v>1.2721323532877689</v>
      </c>
      <c r="BZ4" s="14">
        <f>BY4*VLOOKUP('Données projet'!$B$12,Paramètres!$A$1:$I$88,3,0)*VLOOKUP('Données projet'!$B$12,Paramètres!$A$1:$I$88,5,0)</f>
        <v>0.93272744143059216</v>
      </c>
      <c r="CA4" s="14">
        <f>EXP(-1.0587+0.8836*LN(BZ4)+0.284)</f>
        <v>0.43333858977228618</v>
      </c>
      <c r="CB4" s="22">
        <f t="shared" ref="CB4:CB67" si="13">(BZ4+CA4)*0.475*44/12</f>
        <v>2.3792316710116794</v>
      </c>
      <c r="CC4" s="62">
        <f t="shared" ref="CC4:CC67" si="14">CB4+(BT4+BU4)*44/12</f>
        <v>260.26812055990052</v>
      </c>
      <c r="CD4" s="62">
        <f ca="1">AVERAGE(OFFSET($CC$3,0,0,'Données projet'!$E$12+1,1))-AVERAGE(OFFSET($H$3,0,0,'Données projet'!$E$12+1,1))</f>
        <v>264.06656596707364</v>
      </c>
      <c r="CE4" s="62">
        <f t="shared" ref="CE4:CE67" si="15">$CC$33-$H$33</f>
        <v>315.34415130230195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3.2416666666666667</v>
      </c>
      <c r="CT4" s="13">
        <f>IF(A4&lt;'Données projet'!$A$140,$CQ$205^A4,IF(A4='Données projet'!$A$140,'Données projet'!$B$140,CT3+CS4-DB3))</f>
        <v>1.35673740976754</v>
      </c>
      <c r="CU4" s="18">
        <f>CT4*VLOOKUP('Données projet'!$B$13,Paramètres!$A$1:$I$88,3,0)*VLOOKUP('Données projet'!$B$13,Paramètres!$A$1:$I$88,5,0)</f>
        <v>0.811328971040989</v>
      </c>
      <c r="CV4" s="14">
        <f>EXP(-1.0587+0.8836*LN(CU4)+0.284)</f>
        <v>0.38310561741554328</v>
      </c>
      <c r="CW4" s="22">
        <f t="shared" ref="CW4:CW67" si="17">(CU4+CV4)*0.475*44/12</f>
        <v>2.0803069082284602</v>
      </c>
      <c r="CX4" s="62">
        <f t="shared" ref="CX4:CX67" si="18">CW4+(CO4+CP4)*44/12</f>
        <v>259.96919579711732</v>
      </c>
      <c r="CY4" s="62">
        <f ca="1">AVERAGE(OFFSET($CX$3,0,0,'Données projet'!$E$13+1,1))-AVERAGE(OFFSET($H$3,0,0,'Données projet'!$E$13+1,1))</f>
        <v>162.29089122912319</v>
      </c>
      <c r="CZ4" s="62">
        <f t="shared" ref="CZ4:CZ67" si="19">$CX$33-$H$33</f>
        <v>253.15422514195427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1.1099999999999999</v>
      </c>
      <c r="DO4" s="13">
        <f>IF(A4&lt;'Données projet'!$A$166,$DL$205^A4,IF(A4='Données projet'!$A$166,'Données projet'!$B$166,DO3+DN4-DW3))</f>
        <v>1.2721323532877689</v>
      </c>
      <c r="DP4" s="18">
        <f>DO4*VLOOKUP('Données projet'!$B$14,Paramètres!$A$1:$I$88,3,0)*VLOOKUP('Données projet'!$B$14,Paramètres!$A$1:$I$88,5,0)</f>
        <v>1.0121085002757488</v>
      </c>
      <c r="DQ4" s="14">
        <f>EXP(-1.0587+0.8836*LN(DP4)+0.284)</f>
        <v>0.46576913511432322</v>
      </c>
      <c r="DR4" s="22">
        <f t="shared" ref="DR4:DR67" si="21">(DP4+DQ4)*0.475*44/12</f>
        <v>2.5739702149710419</v>
      </c>
      <c r="DS4" s="62">
        <f t="shared" ref="DS4:DS67" si="22">DR4+(DJ4+DK4)*44/12</f>
        <v>260.4628591038599</v>
      </c>
      <c r="DT4" s="62">
        <f ca="1">AVERAGE(OFFSET($DS$3,0,0,'Données projet'!$E$14+1,1))-AVERAGE(OFFSET($H$3,0,0,'Données projet'!$E$14+1,1))</f>
        <v>290.20755061064017</v>
      </c>
      <c r="DU4" s="62">
        <f t="shared" ref="DU4:DU67" si="23">$DS$33-$H$33</f>
        <v>343.54750327717181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25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4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</v>
      </c>
      <c r="N5" s="14">
        <f>IF(A5&lt;'Données projet'!$A$36,$K$205^A5,IF(A5='Données projet'!$A$36,'Données projet'!$B$36,N4+M5-V4))</f>
        <v>1.395454894014972</v>
      </c>
      <c r="O5" s="14">
        <f>N5*VLOOKUP('Données projet'!$B$9,Paramètres!$A$1:$I$88,3,0)*VLOOKUP('Données projet'!$B$9,Paramètres!$A$1:$I$88,5,0)</f>
        <v>0.65307289039900684</v>
      </c>
      <c r="P5" s="14">
        <f t="shared" ref="P5:P68" si="43">EXP(-1.0587+0.8836*LN(O5)+0.284)</f>
        <v>0.31626576584246652</v>
      </c>
      <c r="Q5" s="22">
        <f t="shared" si="2"/>
        <v>1.6882648262872328</v>
      </c>
      <c r="R5" s="62">
        <f t="shared" si="0"/>
        <v>260.79937593739839</v>
      </c>
      <c r="S5" s="62">
        <f ca="1">AVERAGE(OFFSET($R$3,0,0,'Données projet'!$E$9+1,1))-AVERAGE(OFFSET($H$3,0,0,'Données projet'!$E$9+1,1))</f>
        <v>300.03481708703549</v>
      </c>
      <c r="T5" s="62">
        <f t="shared" si="3"/>
        <v>102.6350860969182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12</v>
      </c>
      <c r="AI5" s="14">
        <f>IF(A5&lt;'Données projet'!$A$62,$AF$205^A5,IF(A5='Données projet'!$A$62,'Données projet'!$B$62,AI4+AH5-AQ4))</f>
        <v>1.8171205928321397</v>
      </c>
      <c r="AJ5" s="14">
        <f>AI5*VLOOKUP('Données projet'!$B$10,Paramètres!$A$1:$I$88,3,0)*VLOOKUP('Données projet'!$B$10,Paramètres!$A$1:$I$88,5,0)</f>
        <v>1.015770411393166</v>
      </c>
      <c r="AK5" s="14">
        <f t="shared" ref="AK5:AK68" si="44">EXP(-1.0587+0.8836*LN(AJ5)+0.284)</f>
        <v>0.46725786464109814</v>
      </c>
      <c r="AL5" s="22">
        <f t="shared" si="5"/>
        <v>2.58294091409301</v>
      </c>
      <c r="AM5" s="62">
        <f t="shared" si="6"/>
        <v>261.69405202520414</v>
      </c>
      <c r="AN5" s="62">
        <f ca="1">AVERAGE(OFFSET($AM$3,0,0,'Données projet'!$E$10+1,1))-AVERAGE(OFFSET($H$3,0,0,'Données projet'!$E$10+1,1))</f>
        <v>328.27336939084597</v>
      </c>
      <c r="AO5" s="62">
        <f t="shared" si="7"/>
        <v>448.79354389108755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4.75</v>
      </c>
      <c r="BD5" s="13">
        <f>IF(A5&lt;'Données projet'!$A$88,$BA$205^A5,IF(A5='Données projet'!$A$88,'Données projet'!$B$88,BD4+BC5-BL4))</f>
        <v>1.576784566835971</v>
      </c>
      <c r="BE5" s="14">
        <f>BD5*VLOOKUP('Données projet'!$B$11,Paramètres!$A$1:$I$88,3,0)*VLOOKUP('Données projet'!$B$11,Paramètres!$A$1:$I$88,5,0)</f>
        <v>1.3774789975879045</v>
      </c>
      <c r="BF5" s="14">
        <f t="shared" ref="BF5:BF68" si="45">EXP(-1.0587+0.8836*LN(BE5)+0.284)</f>
        <v>0.61157195042276347</v>
      </c>
      <c r="BG5" s="22">
        <f t="shared" si="9"/>
        <v>3.4642637344519134</v>
      </c>
      <c r="BH5" s="62">
        <f t="shared" si="10"/>
        <v>262.57537484556303</v>
      </c>
      <c r="BI5" s="62">
        <f ca="1">AVERAGE(OFFSET($BH$3,0,0,'Données projet'!$E$11+1,1))-AVERAGE(OFFSET($H$3,0,0,'Données projet'!$E$11+1,1))</f>
        <v>348.65374983303883</v>
      </c>
      <c r="BJ5" s="62">
        <f t="shared" si="11"/>
        <v>312.05848669315151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1.1099999999999999</v>
      </c>
      <c r="BY5" s="13">
        <f>IF(A5&lt;'Données projet'!$A$114,$BV$205^A5,IF(A5='Données projet'!$A$114,'Données projet'!$B$114,BY4+BX5-CG4))</f>
        <v>1.6183207242814768</v>
      </c>
      <c r="BZ5" s="14">
        <f>BY5*VLOOKUP('Données projet'!$B$12,Paramètres!$A$1:$I$88,3,0)*VLOOKUP('Données projet'!$B$12,Paramètres!$A$1:$I$88,5,0)</f>
        <v>1.1865527550431787</v>
      </c>
      <c r="CA5" s="14">
        <f t="shared" ref="CA5:CA68" si="46">EXP(-1.0587+0.8836*LN(BZ5)+0.284)</f>
        <v>0.53603371205753736</v>
      </c>
      <c r="CB5" s="22">
        <f t="shared" si="13"/>
        <v>3.0001714302004134</v>
      </c>
      <c r="CC5" s="62">
        <f t="shared" si="14"/>
        <v>262.11128254131154</v>
      </c>
      <c r="CD5" s="62">
        <f ca="1">AVERAGE(OFFSET($CC$3,0,0,'Données projet'!$E$12+1,1))-AVERAGE(OFFSET($H$3,0,0,'Données projet'!$E$12+1,1))</f>
        <v>264.06656596707364</v>
      </c>
      <c r="CE5" s="62">
        <f t="shared" si="15"/>
        <v>315.34415130230195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3.2416666666666667</v>
      </c>
      <c r="CT5" s="13">
        <f>IF(A5&lt;'Données projet'!$A$140,$CQ$205^A5,IF(A5='Données projet'!$A$140,'Données projet'!$B$140,CT4+CS5-DB4))</f>
        <v>1.8407363990627337</v>
      </c>
      <c r="CU5" s="18">
        <f>CT5*VLOOKUP('Données projet'!$B$13,Paramètres!$A$1:$I$88,3,0)*VLOOKUP('Données projet'!$B$13,Paramètres!$A$1:$I$88,5,0)</f>
        <v>1.1007603666395147</v>
      </c>
      <c r="CV5" s="14">
        <f t="shared" ref="CV5:CV68" si="47">EXP(-1.0587+0.8836*LN(CU5)+0.284)</f>
        <v>0.50163959551967263</v>
      </c>
      <c r="CW5" s="22">
        <f t="shared" si="17"/>
        <v>2.7908466007605846</v>
      </c>
      <c r="CX5" s="62">
        <f t="shared" si="18"/>
        <v>261.90195771187172</v>
      </c>
      <c r="CY5" s="62">
        <f ca="1">AVERAGE(OFFSET($CX$3,0,0,'Données projet'!$E$13+1,1))-AVERAGE(OFFSET($H$3,0,0,'Données projet'!$E$13+1,1))</f>
        <v>162.29089122912319</v>
      </c>
      <c r="CZ5" s="62">
        <f t="shared" si="19"/>
        <v>253.15422514195427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1.1099999999999999</v>
      </c>
      <c r="DO5" s="13">
        <f>IF(A5&lt;'Données projet'!$A$166,$DL$205^A5,IF(A5='Données projet'!$A$166,'Données projet'!$B$166,DO4+DN5-DW4))</f>
        <v>1.6183207242814768</v>
      </c>
      <c r="DP5" s="18">
        <f>DO5*VLOOKUP('Données projet'!$B$14,Paramètres!$A$1:$I$88,3,0)*VLOOKUP('Données projet'!$B$14,Paramètres!$A$1:$I$88,5,0)</f>
        <v>1.2875359682383429</v>
      </c>
      <c r="DQ5" s="14">
        <f t="shared" ref="DQ5:DQ68" si="48">EXP(-1.0587+0.8836*LN(DP5)+0.284)</f>
        <v>0.57614983837086087</v>
      </c>
      <c r="DR5" s="22">
        <f t="shared" si="21"/>
        <v>3.2459194465110297</v>
      </c>
      <c r="DS5" s="62">
        <f t="shared" si="22"/>
        <v>262.35703055762218</v>
      </c>
      <c r="DT5" s="62">
        <f ca="1">AVERAGE(OFFSET($DS$3,0,0,'Données projet'!$E$14+1,1))-AVERAGE(OFFSET($H$3,0,0,'Données projet'!$E$14+1,1))</f>
        <v>290.20755061064017</v>
      </c>
      <c r="DU5" s="62">
        <f t="shared" si="23"/>
        <v>343.54750327717181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25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4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</v>
      </c>
      <c r="N6" s="14">
        <f>IF(A6&lt;'Données projet'!$A$36,$K$205^A6,IF(A6='Données projet'!$A$36,'Données projet'!$B$36,N5+M6-V5))</f>
        <v>1.6484421271208256</v>
      </c>
      <c r="O6" s="14">
        <f>N6*VLOOKUP('Données projet'!$B$9,Paramètres!$A$1:$I$88,3,0)*VLOOKUP('Données projet'!$B$9,Paramètres!$A$1:$I$88,5,0)</f>
        <v>0.77147091549254643</v>
      </c>
      <c r="P6" s="14">
        <f t="shared" si="43"/>
        <v>0.36642713428952517</v>
      </c>
      <c r="Q6" s="22">
        <f t="shared" si="2"/>
        <v>1.9818391033704412</v>
      </c>
      <c r="R6" s="62">
        <f t="shared" si="0"/>
        <v>262.31517243670373</v>
      </c>
      <c r="S6" s="62">
        <f ca="1">AVERAGE(OFFSET($R$3,0,0,'Données projet'!$E$9+1,1))-AVERAGE(OFFSET($H$3,0,0,'Données projet'!$E$9+1,1))</f>
        <v>300.03481708703549</v>
      </c>
      <c r="T6" s="62">
        <f t="shared" si="3"/>
        <v>102.6350860969182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12</v>
      </c>
      <c r="AI6" s="14">
        <f>IF(A6&lt;'Données projet'!$A$62,$AF$205^A6,IF(A6='Données projet'!$A$62,'Données projet'!$B$62,AI5+AH6-AQ5))</f>
        <v>2.4494897427831783</v>
      </c>
      <c r="AJ6" s="14">
        <f>AI6*VLOOKUP('Données projet'!$B$10,Paramètres!$A$1:$I$88,3,0)*VLOOKUP('Données projet'!$B$10,Paramètres!$A$1:$I$88,5,0)</f>
        <v>1.3692647662157968</v>
      </c>
      <c r="AK6" s="14">
        <f t="shared" si="44"/>
        <v>0.60834838679473446</v>
      </c>
      <c r="AL6" s="22">
        <f t="shared" si="5"/>
        <v>3.4443429081600083</v>
      </c>
      <c r="AM6" s="62">
        <f t="shared" si="6"/>
        <v>263.77767624149334</v>
      </c>
      <c r="AN6" s="62">
        <f ca="1">AVERAGE(OFFSET($AM$3,0,0,'Données projet'!$E$10+1,1))-AVERAGE(OFFSET($H$3,0,0,'Données projet'!$E$10+1,1))</f>
        <v>328.27336939084597</v>
      </c>
      <c r="AO6" s="62">
        <f t="shared" si="7"/>
        <v>448.79354389108755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4.75</v>
      </c>
      <c r="BD6" s="13">
        <f>IF(A6&lt;'Données projet'!$A$88,$BA$205^A6,IF(A6='Données projet'!$A$88,'Données projet'!$B$88,BD5+BC6-BL5))</f>
        <v>1.9799696845186814</v>
      </c>
      <c r="BE6" s="14">
        <f>BD6*VLOOKUP('Données projet'!$B$11,Paramètres!$A$1:$I$88,3,0)*VLOOKUP('Données projet'!$B$11,Paramètres!$A$1:$I$88,5,0)</f>
        <v>1.7297015163955203</v>
      </c>
      <c r="BF6" s="14">
        <f t="shared" si="45"/>
        <v>0.7478653074126923</v>
      </c>
      <c r="BG6" s="22">
        <f t="shared" si="9"/>
        <v>4.3150955514659701</v>
      </c>
      <c r="BH6" s="62">
        <f t="shared" si="10"/>
        <v>264.64842888479927</v>
      </c>
      <c r="BI6" s="62">
        <f ca="1">AVERAGE(OFFSET($BH$3,0,0,'Données projet'!$E$11+1,1))-AVERAGE(OFFSET($H$3,0,0,'Données projet'!$E$11+1,1))</f>
        <v>348.65374983303883</v>
      </c>
      <c r="BJ6" s="62">
        <f t="shared" si="11"/>
        <v>312.05848669315151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1.1099999999999999</v>
      </c>
      <c r="BY6" s="13">
        <f>IF(A6&lt;'Données projet'!$A$114,$BV$205^A6,IF(A6='Données projet'!$A$114,'Données projet'!$B$114,BY5+BX6-CG5))</f>
        <v>2.0587181513545616</v>
      </c>
      <c r="BZ6" s="14">
        <f>BY6*VLOOKUP('Données projet'!$B$12,Paramètres!$A$1:$I$88,3,0)*VLOOKUP('Données projet'!$B$12,Paramètres!$A$1:$I$88,5,0)</f>
        <v>1.5094521485731647</v>
      </c>
      <c r="CA6" s="14">
        <f t="shared" si="46"/>
        <v>0.66306612714360913</v>
      </c>
      <c r="CB6" s="22">
        <f t="shared" si="13"/>
        <v>3.7838026635400475</v>
      </c>
      <c r="CC6" s="62">
        <f t="shared" si="14"/>
        <v>264.11713599687334</v>
      </c>
      <c r="CD6" s="62">
        <f ca="1">AVERAGE(OFFSET($CC$3,0,0,'Données projet'!$E$12+1,1))-AVERAGE(OFFSET($H$3,0,0,'Données projet'!$E$12+1,1))</f>
        <v>264.06656596707364</v>
      </c>
      <c r="CE6" s="62">
        <f t="shared" si="15"/>
        <v>315.34415130230195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3.2416666666666667</v>
      </c>
      <c r="CT6" s="13">
        <f>IF(A6&lt;'Données projet'!$A$140,$CQ$205^A6,IF(A6='Données projet'!$A$140,'Données projet'!$B$140,CT5+CS6-DB5))</f>
        <v>2.497395934129202</v>
      </c>
      <c r="CU6" s="18">
        <f>CT6*VLOOKUP('Données projet'!$B$13,Paramètres!$A$1:$I$88,3,0)*VLOOKUP('Données projet'!$B$13,Paramètres!$A$1:$I$88,5,0)</f>
        <v>1.4934427686092631</v>
      </c>
      <c r="CV6" s="14">
        <f t="shared" si="47"/>
        <v>0.65684832681581917</v>
      </c>
      <c r="CW6" s="22">
        <f t="shared" si="17"/>
        <v>3.745090324532018</v>
      </c>
      <c r="CX6" s="62">
        <f t="shared" si="18"/>
        <v>264.07842365786536</v>
      </c>
      <c r="CY6" s="62">
        <f ca="1">AVERAGE(OFFSET($CX$3,0,0,'Données projet'!$E$13+1,1))-AVERAGE(OFFSET($H$3,0,0,'Données projet'!$E$13+1,1))</f>
        <v>162.29089122912319</v>
      </c>
      <c r="CZ6" s="62">
        <f t="shared" si="19"/>
        <v>253.15422514195427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1.1099999999999999</v>
      </c>
      <c r="DO6" s="13">
        <f>IF(A6&lt;'Données projet'!$A$166,$DL$205^A6,IF(A6='Données projet'!$A$166,'Données projet'!$B$166,DO5+DN6-DW5))</f>
        <v>2.0587181513545616</v>
      </c>
      <c r="DP6" s="18">
        <f>DO6*VLOOKUP('Données projet'!$B$14,Paramètres!$A$1:$I$88,3,0)*VLOOKUP('Données projet'!$B$14,Paramètres!$A$1:$I$88,5,0)</f>
        <v>1.6379161612176893</v>
      </c>
      <c r="DQ6" s="14">
        <f t="shared" si="48"/>
        <v>0.71268920851376738</v>
      </c>
      <c r="DR6" s="22">
        <f t="shared" si="21"/>
        <v>4.0939710189489533</v>
      </c>
      <c r="DS6" s="62">
        <f t="shared" si="22"/>
        <v>264.42730435228225</v>
      </c>
      <c r="DT6" s="62">
        <f ca="1">AVERAGE(OFFSET($DS$3,0,0,'Données projet'!$E$14+1,1))-AVERAGE(OFFSET($H$3,0,0,'Données projet'!$E$14+1,1))</f>
        <v>290.20755061064017</v>
      </c>
      <c r="DU6" s="62">
        <f t="shared" si="23"/>
        <v>343.54750327717181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25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4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</v>
      </c>
      <c r="N7" s="14">
        <f>IF(A7&lt;'Données projet'!$A$36,$K$205^A7,IF(A7='Données projet'!$A$36,'Données projet'!$B$36,N6+M7-V6))</f>
        <v>1.9472943612303368</v>
      </c>
      <c r="O7" s="14">
        <f>N7*VLOOKUP('Données projet'!$B$9,Paramètres!$A$1:$I$88,3,0)*VLOOKUP('Données projet'!$B$9,Paramètres!$A$1:$I$88,5,0)</f>
        <v>0.91133376105579766</v>
      </c>
      <c r="P7" s="14">
        <f t="shared" si="43"/>
        <v>0.42454435239289751</v>
      </c>
      <c r="Q7" s="22">
        <f t="shared" si="2"/>
        <v>2.3266543809231437</v>
      </c>
      <c r="R7" s="62">
        <f t="shared" si="0"/>
        <v>263.88220993647866</v>
      </c>
      <c r="S7" s="62">
        <f ca="1">AVERAGE(OFFSET($R$3,0,0,'Données projet'!$E$9+1,1))-AVERAGE(OFFSET($H$3,0,0,'Données projet'!$E$9+1,1))</f>
        <v>300.03481708703549</v>
      </c>
      <c r="T7" s="62">
        <f t="shared" si="3"/>
        <v>102.6350860969182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12</v>
      </c>
      <c r="AI7" s="14">
        <f>IF(A7&lt;'Données projet'!$A$62,$AF$205^A7,IF(A7='Données projet'!$A$62,'Données projet'!$B$62,AI6+AH7-AQ6))</f>
        <v>3.3019272488946267</v>
      </c>
      <c r="AJ7" s="14">
        <f>AI7*VLOOKUP('Données projet'!$B$10,Paramètres!$A$1:$I$88,3,0)*VLOOKUP('Données projet'!$B$10,Paramètres!$A$1:$I$88,5,0)</f>
        <v>1.8457773321320965</v>
      </c>
      <c r="AK7" s="14">
        <f t="shared" si="44"/>
        <v>0.79204179901823812</v>
      </c>
      <c r="AL7" s="22">
        <f t="shared" si="5"/>
        <v>4.5942016534201651</v>
      </c>
      <c r="AM7" s="62">
        <f t="shared" si="6"/>
        <v>266.1497572089757</v>
      </c>
      <c r="AN7" s="62">
        <f ca="1">AVERAGE(OFFSET($AM$3,0,0,'Données projet'!$E$10+1,1))-AVERAGE(OFFSET($H$3,0,0,'Données projet'!$E$10+1,1))</f>
        <v>328.27336939084597</v>
      </c>
      <c r="AO7" s="62">
        <f t="shared" si="7"/>
        <v>448.79354389108755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4.75</v>
      </c>
      <c r="BD7" s="13">
        <f>IF(A7&lt;'Données projet'!$A$88,$BA$205^A7,IF(A7='Données projet'!$A$88,'Données projet'!$B$88,BD6+BC7-BL6))</f>
        <v>2.4862495702121006</v>
      </c>
      <c r="BE7" s="14">
        <f>BD7*VLOOKUP('Données projet'!$B$11,Paramètres!$A$1:$I$88,3,0)*VLOOKUP('Données projet'!$B$11,Paramètres!$A$1:$I$88,5,0)</f>
        <v>2.1719876245372913</v>
      </c>
      <c r="BF7" s="14">
        <f t="shared" si="45"/>
        <v>0.91453265252739235</v>
      </c>
      <c r="BG7" s="22">
        <f t="shared" si="9"/>
        <v>5.375689482554324</v>
      </c>
      <c r="BH7" s="62">
        <f t="shared" si="10"/>
        <v>266.93124503810986</v>
      </c>
      <c r="BI7" s="62">
        <f ca="1">AVERAGE(OFFSET($BH$3,0,0,'Données projet'!$E$11+1,1))-AVERAGE(OFFSET($H$3,0,0,'Données projet'!$E$11+1,1))</f>
        <v>348.65374983303883</v>
      </c>
      <c r="BJ7" s="62">
        <f t="shared" si="11"/>
        <v>312.05848669315151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1.1099999999999999</v>
      </c>
      <c r="BY7" s="13">
        <f>IF(A7&lt;'Données projet'!$A$114,$BV$205^A7,IF(A7='Données projet'!$A$114,'Données projet'!$B$114,BY6+BX7-CG6))</f>
        <v>2.6189619666389237</v>
      </c>
      <c r="BZ7" s="14">
        <f>BY7*VLOOKUP('Données projet'!$B$12,Paramètres!$A$1:$I$88,3,0)*VLOOKUP('Données projet'!$B$12,Paramètres!$A$1:$I$88,5,0)</f>
        <v>1.9202229139396587</v>
      </c>
      <c r="CA7" s="14">
        <f t="shared" si="46"/>
        <v>0.82020342951495628</v>
      </c>
      <c r="CB7" s="22">
        <f t="shared" si="13"/>
        <v>4.7729092148501211</v>
      </c>
      <c r="CC7" s="62">
        <f t="shared" si="14"/>
        <v>266.32846477040567</v>
      </c>
      <c r="CD7" s="62">
        <f ca="1">AVERAGE(OFFSET($CC$3,0,0,'Données projet'!$E$12+1,1))-AVERAGE(OFFSET($H$3,0,0,'Données projet'!$E$12+1,1))</f>
        <v>264.06656596707364</v>
      </c>
      <c r="CE7" s="62">
        <f t="shared" si="15"/>
        <v>315.34415130230195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3.2416666666666667</v>
      </c>
      <c r="CT7" s="13">
        <f>IF(A7&lt;'Données projet'!$A$140,$CQ$205^A7,IF(A7='Données projet'!$A$140,'Données projet'!$B$140,CT6+CS7-DB6))</f>
        <v>3.3883104908344395</v>
      </c>
      <c r="CU7" s="18">
        <f>CT7*VLOOKUP('Données projet'!$B$13,Paramètres!$A$1:$I$88,3,0)*VLOOKUP('Données projet'!$B$13,Paramètres!$A$1:$I$88,5,0)</f>
        <v>2.0262096735189949</v>
      </c>
      <c r="CV7" s="14">
        <f t="shared" si="47"/>
        <v>0.86007908525199539</v>
      </c>
      <c r="CW7" s="22">
        <f t="shared" si="17"/>
        <v>5.0269529215261413</v>
      </c>
      <c r="CX7" s="62">
        <f t="shared" si="18"/>
        <v>266.58250847708166</v>
      </c>
      <c r="CY7" s="62">
        <f ca="1">AVERAGE(OFFSET($CX$3,0,0,'Données projet'!$E$13+1,1))-AVERAGE(OFFSET($H$3,0,0,'Données projet'!$E$13+1,1))</f>
        <v>162.29089122912319</v>
      </c>
      <c r="CZ7" s="62">
        <f t="shared" si="19"/>
        <v>253.15422514195427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1.1099999999999999</v>
      </c>
      <c r="DO7" s="13">
        <f>IF(A7&lt;'Données projet'!$A$166,$DL$205^A7,IF(A7='Données projet'!$A$166,'Données projet'!$B$166,DO6+DN7-DW6))</f>
        <v>2.6189619666389237</v>
      </c>
      <c r="DP7" s="18">
        <f>DO7*VLOOKUP('Données projet'!$B$14,Paramètres!$A$1:$I$88,3,0)*VLOOKUP('Données projet'!$B$14,Paramètres!$A$1:$I$88,5,0)</f>
        <v>2.0836461406579279</v>
      </c>
      <c r="DQ7" s="14">
        <f t="shared" si="48"/>
        <v>0.88158647994800687</v>
      </c>
      <c r="DR7" s="22">
        <f t="shared" si="21"/>
        <v>5.1644468142220035</v>
      </c>
      <c r="DS7" s="62">
        <f t="shared" si="22"/>
        <v>266.72000236977755</v>
      </c>
      <c r="DT7" s="62">
        <f ca="1">AVERAGE(OFFSET($DS$3,0,0,'Données projet'!$E$14+1,1))-AVERAGE(OFFSET($H$3,0,0,'Données projet'!$E$14+1,1))</f>
        <v>290.20755061064017</v>
      </c>
      <c r="DU7" s="62">
        <f t="shared" si="23"/>
        <v>343.54750327717181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25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4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</v>
      </c>
      <c r="N8" s="14">
        <f>IF(A8&lt;'Données projet'!$A$36,$K$205^A8,IF(A8='Données projet'!$A$36,'Données projet'!$B$36,N7+M8-V7))</f>
        <v>2.3003266337912067</v>
      </c>
      <c r="O8" s="14">
        <f>N8*VLOOKUP('Données projet'!$B$9,Paramètres!$A$1:$I$88,3,0)*VLOOKUP('Données projet'!$B$9,Paramètres!$A$1:$I$88,5,0)</f>
        <v>1.0765528646142848</v>
      </c>
      <c r="P8" s="14">
        <f t="shared" si="43"/>
        <v>0.49187925860941634</v>
      </c>
      <c r="Q8" s="22">
        <f t="shared" si="2"/>
        <v>2.7316859479479461</v>
      </c>
      <c r="R8" s="62">
        <f t="shared" si="0"/>
        <v>265.50946372572571</v>
      </c>
      <c r="S8" s="62">
        <f ca="1">AVERAGE(OFFSET($R$3,0,0,'Données projet'!$E$9+1,1))-AVERAGE(OFFSET($H$3,0,0,'Données projet'!$E$9+1,1))</f>
        <v>300.03481708703549</v>
      </c>
      <c r="T8" s="62">
        <f t="shared" si="3"/>
        <v>102.6350860969182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12</v>
      </c>
      <c r="AI8" s="14">
        <f>IF(A8&lt;'Données projet'!$A$62,$AF$205^A8,IF(A8='Données projet'!$A$62,'Données projet'!$B$62,AI7+AH8-AQ7))</f>
        <v>4.4510182535424141</v>
      </c>
      <c r="AJ8" s="14">
        <f>AI8*VLOOKUP('Données projet'!$B$10,Paramètres!$A$1:$I$88,3,0)*VLOOKUP('Données projet'!$B$10,Paramètres!$A$1:$I$88,5,0)</f>
        <v>2.4881192037302093</v>
      </c>
      <c r="AK8" s="14">
        <f t="shared" si="44"/>
        <v>1.0312022272259553</v>
      </c>
      <c r="AL8" s="22">
        <f t="shared" si="5"/>
        <v>6.1294848255819865</v>
      </c>
      <c r="AM8" s="62">
        <f t="shared" si="6"/>
        <v>268.90726260335975</v>
      </c>
      <c r="AN8" s="62">
        <f ca="1">AVERAGE(OFFSET($AM$3,0,0,'Données projet'!$E$10+1,1))-AVERAGE(OFFSET($H$3,0,0,'Données projet'!$E$10+1,1))</f>
        <v>328.27336939084597</v>
      </c>
      <c r="AO8" s="62">
        <f t="shared" si="7"/>
        <v>448.79354389108755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4.75</v>
      </c>
      <c r="BD8" s="13">
        <f>IF(A8&lt;'Données projet'!$A$88,$BA$205^A8,IF(A8='Données projet'!$A$88,'Données projet'!$B$88,BD7+BC8-BL7))</f>
        <v>3.121985641352143</v>
      </c>
      <c r="BE8" s="14">
        <f>BD8*VLOOKUP('Données projet'!$B$11,Paramètres!$A$1:$I$88,3,0)*VLOOKUP('Données projet'!$B$11,Paramètres!$A$1:$I$88,5,0)</f>
        <v>2.7273666562852323</v>
      </c>
      <c r="BF8" s="14">
        <f t="shared" si="45"/>
        <v>1.1183430548908408</v>
      </c>
      <c r="BG8" s="22">
        <f t="shared" si="9"/>
        <v>6.6979444136316602</v>
      </c>
      <c r="BH8" s="62">
        <f t="shared" si="10"/>
        <v>269.47572219140943</v>
      </c>
      <c r="BI8" s="62">
        <f ca="1">AVERAGE(OFFSET($BH$3,0,0,'Données projet'!$E$11+1,1))-AVERAGE(OFFSET($H$3,0,0,'Données projet'!$E$11+1,1))</f>
        <v>348.65374983303883</v>
      </c>
      <c r="BJ8" s="62">
        <f t="shared" si="11"/>
        <v>312.05848669315151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1.1099999999999999</v>
      </c>
      <c r="BY8" s="13">
        <f>IF(A8&lt;'Données projet'!$A$114,$BV$205^A8,IF(A8='Données projet'!$A$114,'Données projet'!$B$114,BY7+BX8-CG7))</f>
        <v>3.331666249791537</v>
      </c>
      <c r="BZ8" s="14">
        <f>BY8*VLOOKUP('Données projet'!$B$12,Paramètres!$A$1:$I$88,3,0)*VLOOKUP('Données projet'!$B$12,Paramètres!$A$1:$I$88,5,0)</f>
        <v>2.4427776943471549</v>
      </c>
      <c r="CA8" s="14">
        <f t="shared" si="46"/>
        <v>1.0145800520471964</v>
      </c>
      <c r="CB8" s="22">
        <f t="shared" si="13"/>
        <v>6.0215647416368272</v>
      </c>
      <c r="CC8" s="62">
        <f t="shared" si="14"/>
        <v>268.79934251941461</v>
      </c>
      <c r="CD8" s="62">
        <f ca="1">AVERAGE(OFFSET($CC$3,0,0,'Données projet'!$E$12+1,1))-AVERAGE(OFFSET($H$3,0,0,'Données projet'!$E$12+1,1))</f>
        <v>264.06656596707364</v>
      </c>
      <c r="CE8" s="62">
        <f t="shared" si="15"/>
        <v>315.34415130230195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3.2416666666666667</v>
      </c>
      <c r="CT8" s="13">
        <f>IF(A8&lt;'Données projet'!$A$140,$CQ$205^A8,IF(A8='Données projet'!$A$140,'Données projet'!$B$140,CT7+CS8-DB7))</f>
        <v>4.5970475988228996</v>
      </c>
      <c r="CU8" s="18">
        <f>CT8*VLOOKUP('Données projet'!$B$13,Paramètres!$A$1:$I$88,3,0)*VLOOKUP('Données projet'!$B$13,Paramètres!$A$1:$I$88,5,0)</f>
        <v>2.749034464096094</v>
      </c>
      <c r="CV8" s="14">
        <f t="shared" si="47"/>
        <v>1.126190023919071</v>
      </c>
      <c r="CW8" s="22">
        <f t="shared" si="17"/>
        <v>6.7493493166264118</v>
      </c>
      <c r="CX8" s="62">
        <f t="shared" si="18"/>
        <v>269.52712709440419</v>
      </c>
      <c r="CY8" s="62">
        <f ca="1">AVERAGE(OFFSET($CX$3,0,0,'Données projet'!$E$13+1,1))-AVERAGE(OFFSET($H$3,0,0,'Données projet'!$E$13+1,1))</f>
        <v>162.29089122912319</v>
      </c>
      <c r="CZ8" s="62">
        <f t="shared" si="19"/>
        <v>253.15422514195427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1.1099999999999999</v>
      </c>
      <c r="DO8" s="13">
        <f>IF(A8&lt;'Données projet'!$A$166,$DL$205^A8,IF(A8='Données projet'!$A$166,'Données projet'!$B$166,DO7+DN8-DW7))</f>
        <v>3.331666249791537</v>
      </c>
      <c r="DP8" s="18">
        <f>DO8*VLOOKUP('Données projet'!$B$14,Paramètres!$A$1:$I$88,3,0)*VLOOKUP('Données projet'!$B$14,Paramètres!$A$1:$I$88,5,0)</f>
        <v>2.650673668334147</v>
      </c>
      <c r="DQ8" s="14">
        <f t="shared" si="48"/>
        <v>1.0905100180313785</v>
      </c>
      <c r="DR8" s="22">
        <f t="shared" si="21"/>
        <v>6.5158949204199574</v>
      </c>
      <c r="DS8" s="62">
        <f t="shared" si="22"/>
        <v>269.29367269819772</v>
      </c>
      <c r="DT8" s="62">
        <f ca="1">AVERAGE(OFFSET($DS$3,0,0,'Données projet'!$E$14+1,1))-AVERAGE(OFFSET($H$3,0,0,'Données projet'!$E$14+1,1))</f>
        <v>290.20755061064017</v>
      </c>
      <c r="DU8" s="62">
        <f t="shared" si="23"/>
        <v>343.54750327717181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25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4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</v>
      </c>
      <c r="N9" s="14">
        <f>IF(A9&lt;'Données projet'!$A$36,$K$205^A9,IF(A9='Données projet'!$A$36,'Données projet'!$B$36,N8+M9-V8))</f>
        <v>2.7173614464666325</v>
      </c>
      <c r="O9" s="14">
        <f>N9*VLOOKUP('Données projet'!$B$9,Paramètres!$A$1:$I$88,3,0)*VLOOKUP('Données projet'!$B$9,Paramètres!$A$1:$I$88,5,0)</f>
        <v>1.2717251569463841</v>
      </c>
      <c r="P9" s="14">
        <f t="shared" si="43"/>
        <v>0.56989382543060962</v>
      </c>
      <c r="Q9" s="22">
        <f t="shared" si="2"/>
        <v>3.2074863943065974</v>
      </c>
      <c r="R9" s="62">
        <f t="shared" si="0"/>
        <v>267.20748639430661</v>
      </c>
      <c r="S9" s="62">
        <f ca="1">AVERAGE(OFFSET($R$3,0,0,'Données projet'!$E$9+1,1))-AVERAGE(OFFSET($H$3,0,0,'Données projet'!$E$9+1,1))</f>
        <v>300.03481708703549</v>
      </c>
      <c r="T9" s="62">
        <f t="shared" si="3"/>
        <v>102.6350860969182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12</v>
      </c>
      <c r="AI9" s="14">
        <f>IF(A9&lt;'Données projet'!$A$62,$AF$205^A9,IF(A9='Données projet'!$A$62,'Données projet'!$B$62,AI8+AH9-AQ8))</f>
        <v>6</v>
      </c>
      <c r="AJ9" s="14">
        <f>AI9*VLOOKUP('Données projet'!$B$10,Paramètres!$A$1:$I$88,3,0)*VLOOKUP('Données projet'!$B$10,Paramètres!$A$1:$I$88,5,0)</f>
        <v>3.3540000000000001</v>
      </c>
      <c r="AK9" s="14">
        <f t="shared" si="44"/>
        <v>1.3425781754875346</v>
      </c>
      <c r="AL9" s="22">
        <f t="shared" si="5"/>
        <v>8.1798736556407885</v>
      </c>
      <c r="AM9" s="62">
        <f t="shared" si="6"/>
        <v>272.17987365564079</v>
      </c>
      <c r="AN9" s="62">
        <f ca="1">AVERAGE(OFFSET($AM$3,0,0,'Données projet'!$E$10+1,1))-AVERAGE(OFFSET($H$3,0,0,'Données projet'!$E$10+1,1))</f>
        <v>328.27336939084597</v>
      </c>
      <c r="AO9" s="62">
        <f t="shared" si="7"/>
        <v>448.79354389108755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4.75</v>
      </c>
      <c r="BD9" s="13">
        <f>IF(A9&lt;'Données projet'!$A$88,$BA$205^A9,IF(A9='Données projet'!$A$88,'Données projet'!$B$88,BD8+BC9-BL8))</f>
        <v>3.920279951613006</v>
      </c>
      <c r="BE9" s="14">
        <f>BD9*VLOOKUP('Données projet'!$B$11,Paramètres!$A$1:$I$88,3,0)*VLOOKUP('Données projet'!$B$11,Paramètres!$A$1:$I$88,5,0)</f>
        <v>3.4247565657291221</v>
      </c>
      <c r="BF9" s="14">
        <f t="shared" si="45"/>
        <v>1.3675741210181858</v>
      </c>
      <c r="BG9" s="22">
        <f t="shared" si="9"/>
        <v>8.3466426127515607</v>
      </c>
      <c r="BH9" s="62">
        <f t="shared" si="10"/>
        <v>272.34664261275157</v>
      </c>
      <c r="BI9" s="62">
        <f ca="1">AVERAGE(OFFSET($BH$3,0,0,'Données projet'!$E$11+1,1))-AVERAGE(OFFSET($H$3,0,0,'Données projet'!$E$11+1,1))</f>
        <v>348.65374983303883</v>
      </c>
      <c r="BJ9" s="62">
        <f t="shared" si="11"/>
        <v>312.05848669315151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1.1099999999999999</v>
      </c>
      <c r="BY9" s="13">
        <f>IF(A9&lt;'Données projet'!$A$114,$BV$205^A9,IF(A9='Données projet'!$A$114,'Données projet'!$B$114,BY8+BX9-CG8))</f>
        <v>4.2383204267167436</v>
      </c>
      <c r="BZ9" s="14">
        <f>BY9*VLOOKUP('Données projet'!$B$12,Paramètres!$A$1:$I$88,3,0)*VLOOKUP('Données projet'!$B$12,Paramètres!$A$1:$I$88,5,0)</f>
        <v>3.1075365368687162</v>
      </c>
      <c r="CA9" s="14">
        <f t="shared" si="46"/>
        <v>1.2550211873910744</v>
      </c>
      <c r="CB9" s="22">
        <f t="shared" si="13"/>
        <v>7.5981213697524668</v>
      </c>
      <c r="CC9" s="62">
        <f t="shared" si="14"/>
        <v>271.59812136975245</v>
      </c>
      <c r="CD9" s="62">
        <f ca="1">AVERAGE(OFFSET($CC$3,0,0,'Données projet'!$E$12+1,1))-AVERAGE(OFFSET($H$3,0,0,'Données projet'!$E$12+1,1))</f>
        <v>264.06656596707364</v>
      </c>
      <c r="CE9" s="62">
        <f t="shared" si="15"/>
        <v>315.34415130230195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3.2416666666666667</v>
      </c>
      <c r="CT9" s="13">
        <f>IF(A9&lt;'Données projet'!$A$140,$CQ$205^A9,IF(A9='Données projet'!$A$140,'Données projet'!$B$140,CT8+CS9-DB8))</f>
        <v>6.2369864518050697</v>
      </c>
      <c r="CU9" s="18">
        <f>CT9*VLOOKUP('Données projet'!$B$13,Paramètres!$A$1:$I$88,3,0)*VLOOKUP('Données projet'!$B$13,Paramètres!$A$1:$I$88,5,0)</f>
        <v>3.7297178981794317</v>
      </c>
      <c r="CV9" s="14">
        <f t="shared" si="47"/>
        <v>1.4746364511389511</v>
      </c>
      <c r="CW9" s="22">
        <f t="shared" si="17"/>
        <v>9.0642504917295152</v>
      </c>
      <c r="CX9" s="62">
        <f t="shared" si="18"/>
        <v>273.06425049172952</v>
      </c>
      <c r="CY9" s="62">
        <f ca="1">AVERAGE(OFFSET($CX$3,0,0,'Données projet'!$E$13+1,1))-AVERAGE(OFFSET($H$3,0,0,'Données projet'!$E$13+1,1))</f>
        <v>162.29089122912319</v>
      </c>
      <c r="CZ9" s="62">
        <f t="shared" si="19"/>
        <v>253.15422514195427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1.1099999999999999</v>
      </c>
      <c r="DO9" s="13">
        <f>IF(A9&lt;'Données projet'!$A$166,$DL$205^A9,IF(A9='Données projet'!$A$166,'Données projet'!$B$166,DO8+DN9-DW8))</f>
        <v>4.2383204267167436</v>
      </c>
      <c r="DP9" s="18">
        <f>DO9*VLOOKUP('Données projet'!$B$14,Paramètres!$A$1:$I$88,3,0)*VLOOKUP('Données projet'!$B$14,Paramètres!$A$1:$I$88,5,0)</f>
        <v>3.3720077314958417</v>
      </c>
      <c r="DQ9" s="14">
        <f t="shared" si="48"/>
        <v>1.3489454823501079</v>
      </c>
      <c r="DR9" s="22">
        <f t="shared" si="21"/>
        <v>8.2223268474483628</v>
      </c>
      <c r="DS9" s="62">
        <f t="shared" si="22"/>
        <v>272.22232684744836</v>
      </c>
      <c r="DT9" s="62">
        <f ca="1">AVERAGE(OFFSET($DS$3,0,0,'Données projet'!$E$14+1,1))-AVERAGE(OFFSET($H$3,0,0,'Données projet'!$E$14+1,1))</f>
        <v>290.20755061064017</v>
      </c>
      <c r="DU9" s="62">
        <f t="shared" si="23"/>
        <v>343.54750327717181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25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4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1.4</v>
      </c>
      <c r="N10" s="14">
        <f>IF(A10&lt;'Données projet'!$A$36,$K$205^A10,IF(A10='Données projet'!$A$36,'Données projet'!$B$36,N9+M10-V9))</f>
        <v>3.2100020589569258</v>
      </c>
      <c r="O10" s="14">
        <f>N10*VLOOKUP('Données projet'!$B$9,Paramètres!$A$1:$I$88,3,0)*VLOOKUP('Données projet'!$B$9,Paramètres!$A$1:$I$88,5,0)</f>
        <v>1.5022809635918413</v>
      </c>
      <c r="P10" s="14">
        <f t="shared" si="43"/>
        <v>0.66028190166446799</v>
      </c>
      <c r="Q10" s="22">
        <f t="shared" si="2"/>
        <v>3.7664636569880714</v>
      </c>
      <c r="R10" s="62">
        <f t="shared" si="0"/>
        <v>268.98868587921032</v>
      </c>
      <c r="S10" s="62">
        <f ca="1">AVERAGE(OFFSET($R$3,0,0,'Données projet'!$E$9+1,1))-AVERAGE(OFFSET($H$3,0,0,'Données projet'!$E$9+1,1))</f>
        <v>300.03481708703549</v>
      </c>
      <c r="T10" s="62">
        <f t="shared" si="3"/>
        <v>102.6350860969182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12</v>
      </c>
      <c r="AI10" s="14">
        <f>IF(A10&lt;'Données projet'!$A$62,$AF$205^A10,IF(A10='Données projet'!$A$62,'Données projet'!$B$62,AI9+AH10-AQ9))</f>
        <v>8.0880369275836674</v>
      </c>
      <c r="AJ10" s="14">
        <f>AI10*VLOOKUP('Données projet'!$B$10,Paramètres!$A$1:$I$88,3,0)*VLOOKUP('Données projet'!$B$10,Paramètres!$A$1:$I$88,5,0)</f>
        <v>4.52121264251927</v>
      </c>
      <c r="AK10" s="14">
        <f t="shared" si="44"/>
        <v>1.7479754307207032</v>
      </c>
      <c r="AL10" s="22">
        <f t="shared" si="5"/>
        <v>10.918835894226286</v>
      </c>
      <c r="AM10" s="62">
        <f t="shared" si="6"/>
        <v>276.14105811644851</v>
      </c>
      <c r="AN10" s="62">
        <f ca="1">AVERAGE(OFFSET($AM$3,0,0,'Données projet'!$E$10+1,1))-AVERAGE(OFFSET($H$3,0,0,'Données projet'!$E$10+1,1))</f>
        <v>328.27336939084597</v>
      </c>
      <c r="AO10" s="62">
        <f t="shared" si="7"/>
        <v>448.79354389108755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4.75</v>
      </c>
      <c r="BD10" s="13">
        <f>IF(A10&lt;'Données projet'!$A$88,$BA$205^A10,IF(A10='Données projet'!$A$88,'Données projet'!$B$88,BD9+BC10-BL9))</f>
        <v>4.9226987771675601</v>
      </c>
      <c r="BE10" s="14">
        <f>BD10*VLOOKUP('Données projet'!$B$11,Paramètres!$A$1:$I$88,3,0)*VLOOKUP('Données projet'!$B$11,Paramètres!$A$1:$I$88,5,0)</f>
        <v>4.3004696517335805</v>
      </c>
      <c r="BF10" s="14">
        <f t="shared" si="45"/>
        <v>1.6723481835913181</v>
      </c>
      <c r="BG10" s="22">
        <f t="shared" si="9"/>
        <v>10.40265772985753</v>
      </c>
      <c r="BH10" s="62">
        <f t="shared" si="10"/>
        <v>275.62487995207977</v>
      </c>
      <c r="BI10" s="62">
        <f ca="1">AVERAGE(OFFSET($BH$3,0,0,'Données projet'!$E$11+1,1))-AVERAGE(OFFSET($H$3,0,0,'Données projet'!$E$11+1,1))</f>
        <v>348.65374983303883</v>
      </c>
      <c r="BJ10" s="62">
        <f t="shared" si="11"/>
        <v>312.05848669315151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1.1099999999999999</v>
      </c>
      <c r="BY10" s="13">
        <f>IF(A10&lt;'Données projet'!$A$114,$BV$205^A10,IF(A10='Données projet'!$A$114,'Données projet'!$B$114,BY9+BX10-CG9))</f>
        <v>5.3917045384267919</v>
      </c>
      <c r="BZ10" s="14">
        <f>BY10*VLOOKUP('Données projet'!$B$12,Paramètres!$A$1:$I$88,3,0)*VLOOKUP('Données projet'!$B$12,Paramètres!$A$1:$I$88,5,0)</f>
        <v>3.9531977675745238</v>
      </c>
      <c r="CA10" s="14">
        <f t="shared" si="46"/>
        <v>1.5524434741471074</v>
      </c>
      <c r="CB10" s="22">
        <f t="shared" si="13"/>
        <v>9.5889918293318406</v>
      </c>
      <c r="CC10" s="62">
        <f t="shared" si="14"/>
        <v>274.81121405155409</v>
      </c>
      <c r="CD10" s="62">
        <f ca="1">AVERAGE(OFFSET($CC$3,0,0,'Données projet'!$E$12+1,1))-AVERAGE(OFFSET($H$3,0,0,'Données projet'!$E$12+1,1))</f>
        <v>264.06656596707364</v>
      </c>
      <c r="CE10" s="62">
        <f t="shared" si="15"/>
        <v>315.34415130230195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3.2416666666666667</v>
      </c>
      <c r="CT10" s="13">
        <f>IF(A10&lt;'Données projet'!$A$140,$CQ$205^A10,IF(A10='Données projet'!$A$140,'Données projet'!$B$140,CT9+CS10-DB9))</f>
        <v>8.4619528433772508</v>
      </c>
      <c r="CU10" s="18">
        <f>CT10*VLOOKUP('Données projet'!$B$13,Paramètres!$A$1:$I$88,3,0)*VLOOKUP('Données projet'!$B$13,Paramètres!$A$1:$I$88,5,0)</f>
        <v>5.0602478003395959</v>
      </c>
      <c r="CV10" s="14">
        <f t="shared" si="47"/>
        <v>1.9308932034936452</v>
      </c>
      <c r="CW10" s="22">
        <f t="shared" si="17"/>
        <v>12.176237248342895</v>
      </c>
      <c r="CX10" s="62">
        <f t="shared" si="18"/>
        <v>277.39845947056511</v>
      </c>
      <c r="CY10" s="62">
        <f ca="1">AVERAGE(OFFSET($CX$3,0,0,'Données projet'!$E$13+1,1))-AVERAGE(OFFSET($H$3,0,0,'Données projet'!$E$13+1,1))</f>
        <v>162.29089122912319</v>
      </c>
      <c r="CZ10" s="62">
        <f t="shared" si="19"/>
        <v>253.15422514195427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1.1099999999999999</v>
      </c>
      <c r="DO10" s="13">
        <f>IF(A10&lt;'Données projet'!$A$166,$DL$205^A10,IF(A10='Données projet'!$A$166,'Données projet'!$B$166,DO9+DN10-DW9))</f>
        <v>5.3917045384267919</v>
      </c>
      <c r="DP10" s="18">
        <f>DO10*VLOOKUP('Données projet'!$B$14,Paramètres!$A$1:$I$88,3,0)*VLOOKUP('Données projet'!$B$14,Paramètres!$A$1:$I$88,5,0)</f>
        <v>4.289640130772356</v>
      </c>
      <c r="DQ10" s="14">
        <f t="shared" si="48"/>
        <v>1.6686264997708673</v>
      </c>
      <c r="DR10" s="22">
        <f t="shared" si="21"/>
        <v>10.377314381529446</v>
      </c>
      <c r="DS10" s="62">
        <f t="shared" si="22"/>
        <v>275.59953660375169</v>
      </c>
      <c r="DT10" s="62">
        <f ca="1">AVERAGE(OFFSET($DS$3,0,0,'Données projet'!$E$14+1,1))-AVERAGE(OFFSET($H$3,0,0,'Données projet'!$E$14+1,1))</f>
        <v>290.20755061064017</v>
      </c>
      <c r="DU10" s="62">
        <f t="shared" si="23"/>
        <v>343.54750327717181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25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4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1.4</v>
      </c>
      <c r="N11" s="14">
        <f>IF(A11&lt;'Données projet'!$A$36,$K$205^A11,IF(A11='Données projet'!$A$36,'Données projet'!$B$36,N10+M11-V10))</f>
        <v>3.7919553292794657</v>
      </c>
      <c r="O11" s="14">
        <f>N11*VLOOKUP('Données projet'!$B$9,Paramètres!$A$1:$I$88,3,0)*VLOOKUP('Données projet'!$B$9,Paramètres!$A$1:$I$88,5,0)</f>
        <v>1.7746350941027897</v>
      </c>
      <c r="P11" s="14">
        <f t="shared" si="43"/>
        <v>0.76500598920549345</v>
      </c>
      <c r="Q11" s="22">
        <f t="shared" si="2"/>
        <v>4.42320822009526</v>
      </c>
      <c r="R11" s="62">
        <f t="shared" si="0"/>
        <v>270.86765266453972</v>
      </c>
      <c r="S11" s="62">
        <f ca="1">AVERAGE(OFFSET($R$3,0,0,'Données projet'!$E$9+1,1))-AVERAGE(OFFSET($H$3,0,0,'Données projet'!$E$9+1,1))</f>
        <v>300.03481708703549</v>
      </c>
      <c r="T11" s="62">
        <f t="shared" si="3"/>
        <v>102.6350860969182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12</v>
      </c>
      <c r="AI11" s="14">
        <f>IF(A11&lt;'Données projet'!$A$62,$AF$205^A11,IF(A11='Données projet'!$A$62,'Données projet'!$B$62,AI10+AH11-AQ10))</f>
        <v>10.902723556992838</v>
      </c>
      <c r="AJ11" s="14">
        <f>AI11*VLOOKUP('Données projet'!$B$10,Paramètres!$A$1:$I$88,3,0)*VLOOKUP('Données projet'!$B$10,Paramètres!$A$1:$I$88,5,0)</f>
        <v>6.0946224683589971</v>
      </c>
      <c r="AK11" s="14">
        <f t="shared" si="44"/>
        <v>2.2757841310013132</v>
      </c>
      <c r="AL11" s="22">
        <f t="shared" si="5"/>
        <v>14.578458160552538</v>
      </c>
      <c r="AM11" s="62">
        <f t="shared" si="6"/>
        <v>281.022902604997</v>
      </c>
      <c r="AN11" s="62">
        <f ca="1">AVERAGE(OFFSET($AM$3,0,0,'Données projet'!$E$10+1,1))-AVERAGE(OFFSET($H$3,0,0,'Données projet'!$E$10+1,1))</f>
        <v>328.27336939084597</v>
      </c>
      <c r="AO11" s="62">
        <f t="shared" si="7"/>
        <v>448.79354389108755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4.75</v>
      </c>
      <c r="BD11" s="13">
        <f>IF(A11&lt;'Données projet'!$A$88,$BA$205^A11,IF(A11='Données projet'!$A$88,'Données projet'!$B$88,BD10+BC11-BL10))</f>
        <v>6.1814369253798551</v>
      </c>
      <c r="BE11" s="14">
        <f>BD11*VLOOKUP('Données projet'!$B$11,Paramètres!$A$1:$I$88,3,0)*VLOOKUP('Données projet'!$B$11,Paramètres!$A$1:$I$88,5,0)</f>
        <v>5.4001032980118424</v>
      </c>
      <c r="BF11" s="14">
        <f t="shared" si="45"/>
        <v>2.0450434124030847</v>
      </c>
      <c r="BG11" s="22">
        <f t="shared" si="9"/>
        <v>12.966963853972665</v>
      </c>
      <c r="BH11" s="62">
        <f t="shared" si="10"/>
        <v>279.41140829841714</v>
      </c>
      <c r="BI11" s="62">
        <f ca="1">AVERAGE(OFFSET($BH$3,0,0,'Données projet'!$E$11+1,1))-AVERAGE(OFFSET($H$3,0,0,'Données projet'!$E$11+1,1))</f>
        <v>348.65374983303883</v>
      </c>
      <c r="BJ11" s="62">
        <f t="shared" si="11"/>
        <v>312.05848669315151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1.1099999999999999</v>
      </c>
      <c r="BY11" s="13">
        <f>IF(A11&lt;'Données projet'!$A$114,$BV$205^A11,IF(A11='Données projet'!$A$114,'Données projet'!$B$114,BY10+BX11-CG10))</f>
        <v>6.8589617827012184</v>
      </c>
      <c r="BZ11" s="14">
        <f>BY11*VLOOKUP('Données projet'!$B$12,Paramètres!$A$1:$I$88,3,0)*VLOOKUP('Données projet'!$B$12,Paramètres!$A$1:$I$88,5,0)</f>
        <v>5.0289907790765334</v>
      </c>
      <c r="CA11" s="14">
        <f t="shared" si="46"/>
        <v>1.920350640001538</v>
      </c>
      <c r="CB11" s="22">
        <f t="shared" si="13"/>
        <v>12.103436304894307</v>
      </c>
      <c r="CC11" s="62">
        <f t="shared" si="14"/>
        <v>278.54788074933879</v>
      </c>
      <c r="CD11" s="62">
        <f ca="1">AVERAGE(OFFSET($CC$3,0,0,'Données projet'!$E$12+1,1))-AVERAGE(OFFSET($H$3,0,0,'Données projet'!$E$12+1,1))</f>
        <v>264.06656596707364</v>
      </c>
      <c r="CE11" s="62">
        <f t="shared" si="15"/>
        <v>315.34415130230195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3.2416666666666667</v>
      </c>
      <c r="CT11" s="13">
        <f>IF(A11&lt;'Données projet'!$A$140,$CQ$205^A11,IF(A11='Données projet'!$A$140,'Données projet'!$B$140,CT10+CS11-DB10))</f>
        <v>11.48064798229872</v>
      </c>
      <c r="CU11" s="18">
        <f>CT11*VLOOKUP('Données projet'!$B$13,Paramètres!$A$1:$I$88,3,0)*VLOOKUP('Données projet'!$B$13,Paramètres!$A$1:$I$88,5,0)</f>
        <v>6.8654274934146358</v>
      </c>
      <c r="CV11" s="14">
        <f t="shared" si="47"/>
        <v>2.5283171051538313</v>
      </c>
      <c r="CW11" s="22">
        <f t="shared" si="17"/>
        <v>16.360771842506747</v>
      </c>
      <c r="CX11" s="62">
        <f t="shared" si="18"/>
        <v>282.80521628695118</v>
      </c>
      <c r="CY11" s="62">
        <f ca="1">AVERAGE(OFFSET($CX$3,0,0,'Données projet'!$E$13+1,1))-AVERAGE(OFFSET($H$3,0,0,'Données projet'!$E$13+1,1))</f>
        <v>162.29089122912319</v>
      </c>
      <c r="CZ11" s="62">
        <f t="shared" si="19"/>
        <v>253.15422514195427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1.1099999999999999</v>
      </c>
      <c r="DO11" s="13">
        <f>IF(A11&lt;'Données projet'!$A$166,$DL$205^A11,IF(A11='Données projet'!$A$166,'Données projet'!$B$166,DO10+DN11-DW10))</f>
        <v>6.8589617827012184</v>
      </c>
      <c r="DP11" s="18">
        <f>DO11*VLOOKUP('Données projet'!$B$14,Paramètres!$A$1:$I$88,3,0)*VLOOKUP('Données projet'!$B$14,Paramètres!$A$1:$I$88,5,0)</f>
        <v>5.4569899943170901</v>
      </c>
      <c r="DQ11" s="14">
        <f t="shared" si="48"/>
        <v>2.0640674009203073</v>
      </c>
      <c r="DR11" s="22">
        <f t="shared" si="21"/>
        <v>13.0991749633718</v>
      </c>
      <c r="DS11" s="62">
        <f t="shared" si="22"/>
        <v>279.54361940781627</v>
      </c>
      <c r="DT11" s="62">
        <f ca="1">AVERAGE(OFFSET($DS$3,0,0,'Données projet'!$E$14+1,1))-AVERAGE(OFFSET($H$3,0,0,'Données projet'!$E$14+1,1))</f>
        <v>290.20755061064017</v>
      </c>
      <c r="DU11" s="62">
        <f t="shared" si="23"/>
        <v>343.54750327717181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25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4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1.4</v>
      </c>
      <c r="N12" s="14">
        <f>IF(A12&lt;'Données projet'!$A$36,$K$205^A12,IF(A12='Données projet'!$A$36,'Données projet'!$B$36,N11+M12-V11))</f>
        <v>4.4794130829695789</v>
      </c>
      <c r="O12" s="14">
        <f>N12*VLOOKUP('Données projet'!$B$9,Paramètres!$A$1:$I$88,3,0)*VLOOKUP('Données projet'!$B$9,Paramètres!$A$1:$I$88,5,0)</f>
        <v>2.096365322829763</v>
      </c>
      <c r="P12" s="14">
        <f t="shared" si="43"/>
        <v>0.88633985278862137</v>
      </c>
      <c r="Q12" s="22">
        <f t="shared" si="2"/>
        <v>5.1948781808686864</v>
      </c>
      <c r="R12" s="62">
        <f t="shared" si="0"/>
        <v>272.86154484753536</v>
      </c>
      <c r="S12" s="62">
        <f ca="1">AVERAGE(OFFSET($R$3,0,0,'Données projet'!$E$9+1,1))-AVERAGE(OFFSET($H$3,0,0,'Données projet'!$E$9+1,1))</f>
        <v>300.03481708703549</v>
      </c>
      <c r="T12" s="62">
        <f t="shared" si="3"/>
        <v>102.6350860969182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12</v>
      </c>
      <c r="AI12" s="14">
        <f>IF(A12&lt;'Données projet'!$A$62,$AF$205^A12,IF(A12='Données projet'!$A$62,'Données projet'!$B$62,AI11+AH12-AQ11))</f>
        <v>14.696938456699069</v>
      </c>
      <c r="AJ12" s="14">
        <f>AI12*VLOOKUP('Données projet'!$B$10,Paramètres!$A$1:$I$88,3,0)*VLOOKUP('Données projet'!$B$10,Paramètres!$A$1:$I$88,5,0)</f>
        <v>8.2155885972947793</v>
      </c>
      <c r="AK12" s="14">
        <f t="shared" si="44"/>
        <v>2.9629669387183442</v>
      </c>
      <c r="AL12" s="22">
        <f t="shared" si="5"/>
        <v>19.469317558556188</v>
      </c>
      <c r="AM12" s="62">
        <f t="shared" si="6"/>
        <v>287.1359842252229</v>
      </c>
      <c r="AN12" s="62">
        <f ca="1">AVERAGE(OFFSET($AM$3,0,0,'Données projet'!$E$10+1,1))-AVERAGE(OFFSET($H$3,0,0,'Données projet'!$E$10+1,1))</f>
        <v>328.27336939084597</v>
      </c>
      <c r="AO12" s="62">
        <f t="shared" si="7"/>
        <v>448.79354389108755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4.75</v>
      </c>
      <c r="BD12" s="13">
        <f>IF(A12&lt;'Données projet'!$A$88,$BA$205^A12,IF(A12='Données projet'!$A$88,'Données projet'!$B$88,BD11+BC12-BL11))</f>
        <v>7.7620354590201153</v>
      </c>
      <c r="BE12" s="14">
        <f>BD12*VLOOKUP('Données projet'!$B$11,Paramètres!$A$1:$I$88,3,0)*VLOOKUP('Données projet'!$B$11,Paramètres!$A$1:$I$88,5,0)</f>
        <v>6.7809141769999739</v>
      </c>
      <c r="BF12" s="14">
        <f t="shared" si="45"/>
        <v>2.5007965444325708</v>
      </c>
      <c r="BG12" s="22">
        <f t="shared" si="9"/>
        <v>16.165646173161679</v>
      </c>
      <c r="BH12" s="62">
        <f t="shared" si="10"/>
        <v>283.83231283982838</v>
      </c>
      <c r="BI12" s="62">
        <f ca="1">AVERAGE(OFFSET($BH$3,0,0,'Données projet'!$E$11+1,1))-AVERAGE(OFFSET($H$3,0,0,'Données projet'!$E$11+1,1))</f>
        <v>348.65374983303883</v>
      </c>
      <c r="BJ12" s="62">
        <f t="shared" si="11"/>
        <v>312.05848669315151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1.1099999999999999</v>
      </c>
      <c r="BY12" s="13">
        <f>IF(A12&lt;'Données projet'!$A$114,$BV$205^A12,IF(A12='Données projet'!$A$114,'Données projet'!$B$114,BY11+BX12-CG11))</f>
        <v>8.7255071937385704</v>
      </c>
      <c r="BZ12" s="14">
        <f>BY12*VLOOKUP('Données projet'!$B$12,Paramètres!$A$1:$I$88,3,0)*VLOOKUP('Données projet'!$B$12,Paramètres!$A$1:$I$88,5,0)</f>
        <v>6.3975418744491197</v>
      </c>
      <c r="CA12" s="14">
        <f t="shared" si="46"/>
        <v>2.3754466052815975</v>
      </c>
      <c r="CB12" s="22">
        <f t="shared" si="13"/>
        <v>15.279621602197665</v>
      </c>
      <c r="CC12" s="62">
        <f t="shared" si="14"/>
        <v>282.94628826886435</v>
      </c>
      <c r="CD12" s="62">
        <f ca="1">AVERAGE(OFFSET($CC$3,0,0,'Données projet'!$E$12+1,1))-AVERAGE(OFFSET($H$3,0,0,'Données projet'!$E$12+1,1))</f>
        <v>264.06656596707364</v>
      </c>
      <c r="CE12" s="62">
        <f t="shared" si="15"/>
        <v>315.34415130230195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3.2416666666666667</v>
      </c>
      <c r="CT12" s="13">
        <f>IF(A12&lt;'Données projet'!$A$140,$CQ$205^A12,IF(A12='Données projet'!$A$140,'Données projet'!$B$140,CT11+CS12-DB11))</f>
        <v>15.576224605956899</v>
      </c>
      <c r="CU12" s="18">
        <f>CT12*VLOOKUP('Données projet'!$B$13,Paramètres!$A$1:$I$88,3,0)*VLOOKUP('Données projet'!$B$13,Paramètres!$A$1:$I$88,5,0)</f>
        <v>9.3145823143622266</v>
      </c>
      <c r="CV12" s="14">
        <f t="shared" si="47"/>
        <v>3.3105856774716673</v>
      </c>
      <c r="CW12" s="22">
        <f t="shared" si="17"/>
        <v>21.988834252444033</v>
      </c>
      <c r="CX12" s="62">
        <f t="shared" si="18"/>
        <v>289.65550091911069</v>
      </c>
      <c r="CY12" s="62">
        <f ca="1">AVERAGE(OFFSET($CX$3,0,0,'Données projet'!$E$13+1,1))-AVERAGE(OFFSET($H$3,0,0,'Données projet'!$E$13+1,1))</f>
        <v>162.29089122912319</v>
      </c>
      <c r="CZ12" s="62">
        <f t="shared" si="19"/>
        <v>253.15422514195427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1.1099999999999999</v>
      </c>
      <c r="DO12" s="13">
        <f>IF(A12&lt;'Données projet'!$A$166,$DL$205^A12,IF(A12='Données projet'!$A$166,'Données projet'!$B$166,DO11+DN12-DW11))</f>
        <v>8.7255071937385704</v>
      </c>
      <c r="DP12" s="18">
        <f>DO12*VLOOKUP('Données projet'!$B$14,Paramètres!$A$1:$I$88,3,0)*VLOOKUP('Données projet'!$B$14,Paramètres!$A$1:$I$88,5,0)</f>
        <v>6.9420135233384066</v>
      </c>
      <c r="DQ12" s="14">
        <f t="shared" si="48"/>
        <v>2.5532222076821487</v>
      </c>
      <c r="DR12" s="22">
        <f t="shared" si="21"/>
        <v>16.5375355648608</v>
      </c>
      <c r="DS12" s="62">
        <f t="shared" si="22"/>
        <v>284.20420223152746</v>
      </c>
      <c r="DT12" s="62">
        <f ca="1">AVERAGE(OFFSET($DS$3,0,0,'Données projet'!$E$14+1,1))-AVERAGE(OFFSET($H$3,0,0,'Données projet'!$E$14+1,1))</f>
        <v>290.20755061064017</v>
      </c>
      <c r="DU12" s="62">
        <f t="shared" si="23"/>
        <v>343.54750327717181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25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4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1.4</v>
      </c>
      <c r="N13" s="14">
        <f>IF(A13&lt;'Données projet'!$A$36,$K$205^A13,IF(A13='Données projet'!$A$36,'Données projet'!$B$36,N12+M13-V12))</f>
        <v>5.291502622129185</v>
      </c>
      <c r="O13" s="14">
        <f>N13*VLOOKUP('Données projet'!$B$9,Paramètres!$A$1:$I$88,3,0)*VLOOKUP('Données projet'!$B$9,Paramètres!$A$1:$I$88,5,0)</f>
        <v>2.4764232271564586</v>
      </c>
      <c r="P13" s="14">
        <f t="shared" si="43"/>
        <v>1.026917887868104</v>
      </c>
      <c r="Q13" s="22">
        <f t="shared" si="2"/>
        <v>6.1016524420011136</v>
      </c>
      <c r="R13" s="62">
        <f t="shared" si="0"/>
        <v>274.99054133088998</v>
      </c>
      <c r="S13" s="62">
        <f ca="1">AVERAGE(OFFSET($R$3,0,0,'Données projet'!$E$9+1,1))-AVERAGE(OFFSET($H$3,0,0,'Données projet'!$E$9+1,1))</f>
        <v>300.03481708703549</v>
      </c>
      <c r="T13" s="62">
        <f t="shared" si="3"/>
        <v>102.6350860969182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12</v>
      </c>
      <c r="AI13" s="14">
        <f>IF(A13&lt;'Données projet'!$A$62,$AF$205^A13,IF(A13='Données projet'!$A$62,'Données projet'!$B$62,AI12+AH13-AQ12))</f>
        <v>19.81156349336776</v>
      </c>
      <c r="AJ13" s="14">
        <f>AI13*VLOOKUP('Données projet'!$B$10,Paramètres!$A$1:$I$88,3,0)*VLOOKUP('Données projet'!$B$10,Paramètres!$A$1:$I$88,5,0)</f>
        <v>11.07466399279258</v>
      </c>
      <c r="AK13" s="14">
        <f t="shared" si="44"/>
        <v>3.8576475511652535</v>
      </c>
      <c r="AL13" s="22">
        <f t="shared" si="5"/>
        <v>26.007109272393226</v>
      </c>
      <c r="AM13" s="62">
        <f t="shared" si="6"/>
        <v>294.89599816128208</v>
      </c>
      <c r="AN13" s="62">
        <f ca="1">AVERAGE(OFFSET($AM$3,0,0,'Données projet'!$E$10+1,1))-AVERAGE(OFFSET($H$3,0,0,'Données projet'!$E$10+1,1))</f>
        <v>328.27336939084597</v>
      </c>
      <c r="AO13" s="62">
        <f t="shared" si="7"/>
        <v>448.79354389108755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4.75</v>
      </c>
      <c r="BD13" s="13">
        <f>IF(A13&lt;'Données projet'!$A$88,$BA$205^A13,IF(A13='Données projet'!$A$88,'Données projet'!$B$88,BD12+BC13-BL12))</f>
        <v>9.7467943448089507</v>
      </c>
      <c r="BE13" s="14">
        <f>BD13*VLOOKUP('Données projet'!$B$11,Paramètres!$A$1:$I$88,3,0)*VLOOKUP('Données projet'!$B$11,Paramètres!$A$1:$I$88,5,0)</f>
        <v>8.5147995396251002</v>
      </c>
      <c r="BF13" s="14">
        <f t="shared" si="45"/>
        <v>3.0581176510561066</v>
      </c>
      <c r="BG13" s="22">
        <f t="shared" si="9"/>
        <v>20.156164107103098</v>
      </c>
      <c r="BH13" s="62">
        <f t="shared" si="10"/>
        <v>289.04505299599197</v>
      </c>
      <c r="BI13" s="62">
        <f ca="1">AVERAGE(OFFSET($BH$3,0,0,'Données projet'!$E$11+1,1))-AVERAGE(OFFSET($H$3,0,0,'Données projet'!$E$11+1,1))</f>
        <v>348.65374983303883</v>
      </c>
      <c r="BJ13" s="62">
        <f t="shared" si="11"/>
        <v>312.05848669315151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11.1</v>
      </c>
      <c r="BW13" s="13">
        <f>VLOOKUP(A13,'Données projet'!$A$113:$I$133,9,0)</f>
        <v>1.1099999999999999</v>
      </c>
      <c r="BX13" s="13">
        <f t="array" ref="BX13">INDEX(BW:BW,MIN(IF(ISNUMBER(BW13:BW209),ROW(BW13:BW209),"")))</f>
        <v>1.1099999999999999</v>
      </c>
      <c r="BY13" s="13">
        <f>IF(A13&lt;'Données projet'!$A$114,$BV$205^A13,IF(A13='Données projet'!$A$114,'Données projet'!$B$114,BY12+BX13-CG12))</f>
        <v>11.1</v>
      </c>
      <c r="BZ13" s="14">
        <f>BY13*VLOOKUP('Données projet'!$B$12,Paramètres!$A$1:$I$88,3,0)*VLOOKUP('Données projet'!$B$12,Paramètres!$A$1:$I$88,5,0)</f>
        <v>8.1385199999999998</v>
      </c>
      <c r="CA13" s="14">
        <f t="shared" si="46"/>
        <v>2.9383938833896224</v>
      </c>
      <c r="CB13" s="22">
        <f t="shared" si="13"/>
        <v>19.292291680236925</v>
      </c>
      <c r="CC13" s="62">
        <f t="shared" si="14"/>
        <v>288.18118056912579</v>
      </c>
      <c r="CD13" s="62">
        <f ca="1">AVERAGE(OFFSET($CC$3,0,0,'Données projet'!$E$12+1,1))-AVERAGE(OFFSET($H$3,0,0,'Données projet'!$E$12+1,1))</f>
        <v>264.06656596707364</v>
      </c>
      <c r="CE13" s="62">
        <f t="shared" si="15"/>
        <v>315.34415130230195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3.2416666666666667</v>
      </c>
      <c r="CT13" s="13">
        <f>IF(A13&lt;'Données projet'!$A$140,$CQ$205^A13,IF(A13='Données projet'!$A$140,'Données projet'!$B$140,CT12+CS13-DB12))</f>
        <v>21.132846625843385</v>
      </c>
      <c r="CU13" s="18">
        <f>CT13*VLOOKUP('Données projet'!$B$13,Paramètres!$A$1:$I$88,3,0)*VLOOKUP('Données projet'!$B$13,Paramètres!$A$1:$I$88,5,0)</f>
        <v>12.637442282254346</v>
      </c>
      <c r="CV13" s="14">
        <f t="shared" si="47"/>
        <v>4.3348903923243052</v>
      </c>
      <c r="CW13" s="22">
        <f t="shared" si="17"/>
        <v>29.560146074891151</v>
      </c>
      <c r="CX13" s="62">
        <f t="shared" si="18"/>
        <v>298.44903496378004</v>
      </c>
      <c r="CY13" s="62">
        <f ca="1">AVERAGE(OFFSET($CX$3,0,0,'Données projet'!$E$13+1,1))-AVERAGE(OFFSET($H$3,0,0,'Données projet'!$E$13+1,1))</f>
        <v>162.29089122912319</v>
      </c>
      <c r="CZ13" s="62">
        <f t="shared" si="19"/>
        <v>253.15422514195427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11.1</v>
      </c>
      <c r="DM13" s="13">
        <f>VLOOKUP(A13,'Données projet'!$A$165:$I$185,9,0)</f>
        <v>1.1099999999999999</v>
      </c>
      <c r="DN13" s="13">
        <f t="array" ref="DN13">INDEX(DM:DM,MIN(IF(ISNUMBER(DM13:DM209),ROW(DM13:DM209),"")))</f>
        <v>1.1099999999999999</v>
      </c>
      <c r="DO13" s="13">
        <f>IF(A13&lt;'Données projet'!$A$166,$DL$205^A13,IF(A13='Données projet'!$A$166,'Données projet'!$B$166,DO12+DN13-DW12))</f>
        <v>11.1</v>
      </c>
      <c r="DP13" s="18">
        <f>DO13*VLOOKUP('Données projet'!$B$14,Paramètres!$A$1:$I$88,3,0)*VLOOKUP('Données projet'!$B$14,Paramètres!$A$1:$I$88,5,0)</f>
        <v>8.8311599999999988</v>
      </c>
      <c r="DQ13" s="14">
        <f t="shared" si="48"/>
        <v>3.1582997914189717</v>
      </c>
      <c r="DR13" s="22">
        <f t="shared" si="21"/>
        <v>20.881642470054704</v>
      </c>
      <c r="DS13" s="62">
        <f t="shared" si="22"/>
        <v>289.77053135894357</v>
      </c>
      <c r="DT13" s="62">
        <f ca="1">AVERAGE(OFFSET($DS$3,0,0,'Données projet'!$E$14+1,1))-AVERAGE(OFFSET($H$3,0,0,'Données projet'!$E$14+1,1))</f>
        <v>290.20755061064017</v>
      </c>
      <c r="DU13" s="62">
        <f t="shared" si="23"/>
        <v>343.54750327717181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25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4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1.4</v>
      </c>
      <c r="N14" s="14">
        <f>IF(A14&lt;'Données projet'!$A$36,$K$205^A14,IF(A14='Données projet'!$A$36,'Données projet'!$B$36,N13+M14-V13))</f>
        <v>6.2508189089445931</v>
      </c>
      <c r="O14" s="14">
        <f>N14*VLOOKUP('Données projet'!$B$9,Paramètres!$A$1:$I$88,3,0)*VLOOKUP('Données projet'!$B$9,Paramètres!$A$1:$I$88,5,0)</f>
        <v>2.9253832493860692</v>
      </c>
      <c r="P14" s="14">
        <f t="shared" si="43"/>
        <v>1.1897923184945451</v>
      </c>
      <c r="Q14" s="22">
        <f t="shared" si="2"/>
        <v>7.1672641140587361</v>
      </c>
      <c r="R14" s="62">
        <f t="shared" si="0"/>
        <v>277.2783752251699</v>
      </c>
      <c r="S14" s="62">
        <f ca="1">AVERAGE(OFFSET($R$3,0,0,'Données projet'!$E$9+1,1))-AVERAGE(OFFSET($H$3,0,0,'Données projet'!$E$9+1,1))</f>
        <v>300.03481708703549</v>
      </c>
      <c r="T14" s="62">
        <f t="shared" si="3"/>
        <v>102.6350860969182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12</v>
      </c>
      <c r="AI14" s="14">
        <f>IF(A14&lt;'Données projet'!$A$62,$AF$205^A14,IF(A14='Données projet'!$A$62,'Données projet'!$B$62,AI13+AH14-AQ13))</f>
        <v>26.706109521254486</v>
      </c>
      <c r="AJ14" s="14">
        <f>AI14*VLOOKUP('Données projet'!$B$10,Paramètres!$A$1:$I$88,3,0)*VLOOKUP('Données projet'!$B$10,Paramètres!$A$1:$I$88,5,0)</f>
        <v>14.928715222381259</v>
      </c>
      <c r="AK14" s="14">
        <f t="shared" si="44"/>
        <v>5.0224808230389391</v>
      </c>
      <c r="AL14" s="22">
        <f t="shared" si="5"/>
        <v>34.748333112440179</v>
      </c>
      <c r="AM14" s="62">
        <f t="shared" si="6"/>
        <v>304.85944422355135</v>
      </c>
      <c r="AN14" s="62">
        <f ca="1">AVERAGE(OFFSET($AM$3,0,0,'Données projet'!$E$10+1,1))-AVERAGE(OFFSET($H$3,0,0,'Données projet'!$E$10+1,1))</f>
        <v>328.27336939084597</v>
      </c>
      <c r="AO14" s="62">
        <f t="shared" si="7"/>
        <v>448.79354389108755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4.75</v>
      </c>
      <c r="BD14" s="13">
        <f>IF(A14&lt;'Données projet'!$A$88,$BA$205^A14,IF(A14='Données projet'!$A$88,'Données projet'!$B$88,BD13+BC14-BL13))</f>
        <v>12.239057719016479</v>
      </c>
      <c r="BE14" s="14">
        <f>BD14*VLOOKUP('Données projet'!$B$11,Paramètres!$A$1:$I$88,3,0)*VLOOKUP('Données projet'!$B$11,Paramètres!$A$1:$I$88,5,0)</f>
        <v>10.692040823332798</v>
      </c>
      <c r="BF14" s="14">
        <f t="shared" si="45"/>
        <v>3.7396419107028573</v>
      </c>
      <c r="BG14" s="22">
        <f t="shared" si="9"/>
        <v>25.135180761778766</v>
      </c>
      <c r="BH14" s="62">
        <f t="shared" si="10"/>
        <v>295.24629187288991</v>
      </c>
      <c r="BI14" s="62">
        <f ca="1">AVERAGE(OFFSET($BH$3,0,0,'Données projet'!$E$11+1,1))-AVERAGE(OFFSET($H$3,0,0,'Données projet'!$E$11+1,1))</f>
        <v>348.65374983303883</v>
      </c>
      <c r="BJ14" s="62">
        <f t="shared" si="11"/>
        <v>312.05848669315151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10.68</v>
      </c>
      <c r="BY14" s="13">
        <f>IF(A14&lt;'Données projet'!$A$114,$BV$205^A14,IF(A14='Données projet'!$A$114,'Données projet'!$B$114,BY13+BX14-CG13))</f>
        <v>21.78</v>
      </c>
      <c r="BZ14" s="14">
        <f>BY14*VLOOKUP('Données projet'!$B$12,Paramètres!$A$1:$I$88,3,0)*VLOOKUP('Données projet'!$B$12,Paramètres!$A$1:$I$88,5,0)</f>
        <v>15.969095999999999</v>
      </c>
      <c r="CA14" s="14">
        <f t="shared" si="46"/>
        <v>5.3305321367080518</v>
      </c>
      <c r="CB14" s="22">
        <f t="shared" si="13"/>
        <v>37.096852338099858</v>
      </c>
      <c r="CC14" s="62">
        <f t="shared" si="14"/>
        <v>307.20796344921098</v>
      </c>
      <c r="CD14" s="62">
        <f ca="1">AVERAGE(OFFSET($CC$3,0,0,'Données projet'!$E$12+1,1))-AVERAGE(OFFSET($H$3,0,0,'Données projet'!$E$12+1,1))</f>
        <v>264.06656596707364</v>
      </c>
      <c r="CE14" s="62">
        <f t="shared" si="15"/>
        <v>315.34415130230195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3.2416666666666667</v>
      </c>
      <c r="CT14" s="13">
        <f>IF(A14&lt;'Données projet'!$A$140,$CQ$205^A14,IF(A14='Données projet'!$A$140,'Données projet'!$B$140,CT13+CS14-DB13))</f>
        <v>28.671723592161449</v>
      </c>
      <c r="CU14" s="18">
        <f>CT14*VLOOKUP('Données projet'!$B$13,Paramètres!$A$1:$I$88,3,0)*VLOOKUP('Données projet'!$B$13,Paramètres!$A$1:$I$88,5,0)</f>
        <v>17.14569070811255</v>
      </c>
      <c r="CV14" s="14">
        <f t="shared" si="47"/>
        <v>5.676117927211199</v>
      </c>
      <c r="CW14" s="22">
        <f t="shared" si="17"/>
        <v>39.747983373188866</v>
      </c>
      <c r="CX14" s="62">
        <f t="shared" si="18"/>
        <v>309.85909448429999</v>
      </c>
      <c r="CY14" s="62">
        <f ca="1">AVERAGE(OFFSET($CX$3,0,0,'Données projet'!$E$13+1,1))-AVERAGE(OFFSET($H$3,0,0,'Données projet'!$E$13+1,1))</f>
        <v>162.29089122912319</v>
      </c>
      <c r="CZ14" s="62">
        <f t="shared" si="19"/>
        <v>253.15422514195427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10.68</v>
      </c>
      <c r="DO14" s="13">
        <f>IF(A14&lt;'Données projet'!$A$166,$DL$205^A14,IF(A14='Données projet'!$A$166,'Données projet'!$B$166,DO13+DN14-DW13))</f>
        <v>21.78</v>
      </c>
      <c r="DP14" s="18">
        <f>DO14*VLOOKUP('Données projet'!$B$14,Paramètres!$A$1:$I$88,3,0)*VLOOKUP('Données projet'!$B$14,Paramètres!$A$1:$I$88,5,0)</f>
        <v>17.328168000000002</v>
      </c>
      <c r="DQ14" s="14">
        <f t="shared" si="48"/>
        <v>5.7294628302508057</v>
      </c>
      <c r="DR14" s="22">
        <f t="shared" si="21"/>
        <v>40.158707029353486</v>
      </c>
      <c r="DS14" s="62">
        <f t="shared" si="22"/>
        <v>310.26981814046462</v>
      </c>
      <c r="DT14" s="62">
        <f ca="1">AVERAGE(OFFSET($DS$3,0,0,'Données projet'!$E$14+1,1))-AVERAGE(OFFSET($H$3,0,0,'Données projet'!$E$14+1,1))</f>
        <v>290.20755061064017</v>
      </c>
      <c r="DU14" s="62">
        <f t="shared" si="23"/>
        <v>343.54750327717181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25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4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1.4</v>
      </c>
      <c r="N15" s="14">
        <f>IF(A15&lt;'Données projet'!$A$36,$K$205^A15,IF(A15='Données projet'!$A$36,'Données projet'!$B$36,N14+M15-V14))</f>
        <v>7.3840532307432287</v>
      </c>
      <c r="O15" s="14">
        <f>N15*VLOOKUP('Données projet'!$B$9,Paramètres!$A$1:$I$88,3,0)*VLOOKUP('Données projet'!$B$9,Paramètres!$A$1:$I$88,5,0)</f>
        <v>3.455736911987831</v>
      </c>
      <c r="P15" s="14">
        <f t="shared" si="43"/>
        <v>1.3784994670678521</v>
      </c>
      <c r="Q15" s="22">
        <f t="shared" si="2"/>
        <v>8.4196283601886481</v>
      </c>
      <c r="R15" s="62">
        <f t="shared" si="0"/>
        <v>279.75296169352197</v>
      </c>
      <c r="S15" s="62">
        <f ca="1">AVERAGE(OFFSET($R$3,0,0,'Données projet'!$E$9+1,1))-AVERAGE(OFFSET($H$3,0,0,'Données projet'!$E$9+1,1))</f>
        <v>300.03481708703549</v>
      </c>
      <c r="T15" s="62">
        <f t="shared" si="3"/>
        <v>102.6350860969182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12</v>
      </c>
      <c r="AI15" s="14">
        <f>IF(A15&lt;'Données projet'!$A$62,$AF$205^A15,IF(A15='Données projet'!$A$62,'Données projet'!$B$62,AI14+AH15-AQ14))</f>
        <v>36</v>
      </c>
      <c r="AJ15" s="14">
        <f>AI15*VLOOKUP('Données projet'!$B$10,Paramètres!$A$1:$I$88,3,0)*VLOOKUP('Données projet'!$B$10,Paramètres!$A$1:$I$88,5,0)</f>
        <v>20.124000000000002</v>
      </c>
      <c r="AK15" s="14">
        <f t="shared" si="44"/>
        <v>6.539040511923969</v>
      </c>
      <c r="AL15" s="22">
        <f t="shared" si="5"/>
        <v>46.438128891600911</v>
      </c>
      <c r="AM15" s="62">
        <f t="shared" si="6"/>
        <v>317.77146222493423</v>
      </c>
      <c r="AN15" s="62">
        <f ca="1">AVERAGE(OFFSET($AM$3,0,0,'Données projet'!$E$10+1,1))-AVERAGE(OFFSET($H$3,0,0,'Données projet'!$E$10+1,1))</f>
        <v>328.27336939084597</v>
      </c>
      <c r="AO15" s="62">
        <f t="shared" si="7"/>
        <v>448.79354389108755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4.75</v>
      </c>
      <c r="BD15" s="13">
        <f>IF(A15&lt;'Données projet'!$A$88,$BA$205^A15,IF(A15='Données projet'!$A$88,'Données projet'!$B$88,BD14+BC15-BL14))</f>
        <v>15.368594899018873</v>
      </c>
      <c r="BE15" s="14">
        <f>BD15*VLOOKUP('Données projet'!$B$11,Paramètres!$A$1:$I$88,3,0)*VLOOKUP('Données projet'!$B$11,Paramètres!$A$1:$I$88,5,0)</f>
        <v>13.42600450378289</v>
      </c>
      <c r="BF15" s="14">
        <f t="shared" si="45"/>
        <v>4.5730489196371114</v>
      </c>
      <c r="BG15" s="22">
        <f t="shared" si="9"/>
        <v>31.348351379123169</v>
      </c>
      <c r="BH15" s="62">
        <f t="shared" si="10"/>
        <v>302.6816847124565</v>
      </c>
      <c r="BI15" s="62">
        <f ca="1">AVERAGE(OFFSET($BH$3,0,0,'Données projet'!$E$11+1,1))-AVERAGE(OFFSET($H$3,0,0,'Données projet'!$E$11+1,1))</f>
        <v>348.65374983303883</v>
      </c>
      <c r="BJ15" s="62">
        <f t="shared" si="11"/>
        <v>312.05848669315151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10.68</v>
      </c>
      <c r="BY15" s="13">
        <f>IF(A15&lt;'Données projet'!$A$114,$BV$205^A15,IF(A15='Données projet'!$A$114,'Données projet'!$B$114,BY14+BX15-CG14))</f>
        <v>32.46</v>
      </c>
      <c r="BZ15" s="14">
        <f>BY15*VLOOKUP('Données projet'!$B$12,Paramètres!$A$1:$I$88,3,0)*VLOOKUP('Données projet'!$B$12,Paramètres!$A$1:$I$88,5,0)</f>
        <v>23.799672000000001</v>
      </c>
      <c r="CA15" s="14">
        <f t="shared" si="46"/>
        <v>7.5838577005088039</v>
      </c>
      <c r="CB15" s="22">
        <f t="shared" si="13"/>
        <v>54.659647561719503</v>
      </c>
      <c r="CC15" s="62">
        <f t="shared" si="14"/>
        <v>325.99298089505282</v>
      </c>
      <c r="CD15" s="62">
        <f ca="1">AVERAGE(OFFSET($CC$3,0,0,'Données projet'!$E$12+1,1))-AVERAGE(OFFSET($H$3,0,0,'Données projet'!$E$12+1,1))</f>
        <v>264.06656596707364</v>
      </c>
      <c r="CE15" s="62">
        <f t="shared" si="15"/>
        <v>315.34415130230195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>
        <f>VLOOKUP(A15,'Données projet'!$A$139:$I$159,2,0)</f>
        <v>38.9</v>
      </c>
      <c r="CR15" s="13">
        <f>VLOOKUP(A15,'Données projet'!$A$139:$I$159,9,0)</f>
        <v>3.2416666666666667</v>
      </c>
      <c r="CS15" s="13">
        <f t="array" ref="CS15">INDEX(CR:CR,MIN(IF(ISNUMBER(CR15:CR211),ROW(CR15:CR211),"")))</f>
        <v>3.2416666666666667</v>
      </c>
      <c r="CT15" s="13">
        <f>IF(A15&lt;'Données projet'!$A$140,$CQ$205^A15,IF(A15='Données projet'!$A$140,'Données projet'!$B$140,CT14+CS15-DB14))</f>
        <v>38.9</v>
      </c>
      <c r="CU15" s="18">
        <f>CT15*VLOOKUP('Données projet'!$B$13,Paramètres!$A$1:$I$88,3,0)*VLOOKUP('Données projet'!$B$13,Paramètres!$A$1:$I$88,5,0)</f>
        <v>23.2622</v>
      </c>
      <c r="CV15" s="14">
        <f t="shared" si="47"/>
        <v>7.432325112684885</v>
      </c>
      <c r="CW15" s="22">
        <f t="shared" si="17"/>
        <v>53.459631237926175</v>
      </c>
      <c r="CX15" s="62">
        <f t="shared" si="18"/>
        <v>324.79296457125952</v>
      </c>
      <c r="CY15" s="62">
        <f ca="1">AVERAGE(OFFSET($CX$3,0,0,'Données projet'!$E$13+1,1))-AVERAGE(OFFSET($H$3,0,0,'Données projet'!$E$13+1,1))</f>
        <v>162.29089122912319</v>
      </c>
      <c r="CZ15" s="62">
        <f t="shared" si="19"/>
        <v>253.15422514195427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10.68</v>
      </c>
      <c r="DO15" s="13">
        <f>IF(A15&lt;'Données projet'!$A$166,$DL$205^A15,IF(A15='Données projet'!$A$166,'Données projet'!$B$166,DO14+DN15-DW14))</f>
        <v>32.46</v>
      </c>
      <c r="DP15" s="18">
        <f>DO15*VLOOKUP('Données projet'!$B$14,Paramètres!$A$1:$I$88,3,0)*VLOOKUP('Données projet'!$B$14,Paramètres!$A$1:$I$88,5,0)</f>
        <v>25.825176000000003</v>
      </c>
      <c r="DQ15" s="14">
        <f t="shared" si="48"/>
        <v>8.1514246027621944</v>
      </c>
      <c r="DR15" s="22">
        <f t="shared" si="21"/>
        <v>59.175912716477491</v>
      </c>
      <c r="DS15" s="62">
        <f t="shared" si="22"/>
        <v>330.50924604981083</v>
      </c>
      <c r="DT15" s="62">
        <f ca="1">AVERAGE(OFFSET($DS$3,0,0,'Données projet'!$E$14+1,1))-AVERAGE(OFFSET($H$3,0,0,'Données projet'!$E$14+1,1))</f>
        <v>290.20755061064017</v>
      </c>
      <c r="DU15" s="62">
        <f t="shared" si="23"/>
        <v>343.54750327717181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25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4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1.4</v>
      </c>
      <c r="N16" s="14">
        <f>IF(A16&lt;'Données projet'!$A$36,$K$205^A16,IF(A16='Données projet'!$A$36,'Données projet'!$B$36,N15+M16-V15))</f>
        <v>8.7227358380880595</v>
      </c>
      <c r="O16" s="14">
        <f>N16*VLOOKUP('Données projet'!$B$9,Paramètres!$A$1:$I$88,3,0)*VLOOKUP('Données projet'!$B$9,Paramètres!$A$1:$I$88,5,0)</f>
        <v>4.0822403722252121</v>
      </c>
      <c r="P16" s="14">
        <f t="shared" si="43"/>
        <v>1.5971365348120328</v>
      </c>
      <c r="Q16" s="22">
        <f t="shared" si="2"/>
        <v>9.891581446423201</v>
      </c>
      <c r="R16" s="62">
        <f t="shared" si="0"/>
        <v>282.44713700197872</v>
      </c>
      <c r="S16" s="62">
        <f ca="1">AVERAGE(OFFSET($R$3,0,0,'Données projet'!$E$9+1,1))-AVERAGE(OFFSET($H$3,0,0,'Données projet'!$E$9+1,1))</f>
        <v>300.03481708703549</v>
      </c>
      <c r="T16" s="62">
        <f t="shared" si="3"/>
        <v>102.6350860969182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12</v>
      </c>
      <c r="AI16" s="14">
        <f>IF(A16&lt;'Données projet'!$A$62,$AF$205^A16,IF(A16='Données projet'!$A$62,'Données projet'!$B$62,AI15+AH16-AQ15))</f>
        <v>48.528221565501994</v>
      </c>
      <c r="AJ16" s="14">
        <f>AI16*VLOOKUP('Données projet'!$B$10,Paramètres!$A$1:$I$88,3,0)*VLOOKUP('Données projet'!$B$10,Paramètres!$A$1:$I$88,5,0)</f>
        <v>27.127275855115617</v>
      </c>
      <c r="AK16" s="14">
        <f t="shared" si="44"/>
        <v>8.513531922399812</v>
      </c>
      <c r="AL16" s="22">
        <f t="shared" si="5"/>
        <v>62.074406879172699</v>
      </c>
      <c r="AM16" s="62">
        <f t="shared" si="6"/>
        <v>334.62996243472821</v>
      </c>
      <c r="AN16" s="62">
        <f ca="1">AVERAGE(OFFSET($AM$3,0,0,'Données projet'!$E$10+1,1))-AVERAGE(OFFSET($H$3,0,0,'Données projet'!$E$10+1,1))</f>
        <v>328.27336939084597</v>
      </c>
      <c r="AO16" s="62">
        <f t="shared" si="7"/>
        <v>448.79354389108755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4.75</v>
      </c>
      <c r="BD16" s="13">
        <f>IF(A16&lt;'Données projet'!$A$88,$BA$205^A16,IF(A16='Données projet'!$A$88,'Données projet'!$B$88,BD15+BC16-BL15))</f>
        <v>19.298357323959845</v>
      </c>
      <c r="BE16" s="14">
        <f>BD16*VLOOKUP('Données projet'!$B$11,Paramètres!$A$1:$I$88,3,0)*VLOOKUP('Données projet'!$B$11,Paramètres!$A$1:$I$88,5,0)</f>
        <v>16.859044958211321</v>
      </c>
      <c r="BF16" s="14">
        <f t="shared" si="45"/>
        <v>5.5921868779847026</v>
      </c>
      <c r="BG16" s="22">
        <f t="shared" si="9"/>
        <v>39.102562114708071</v>
      </c>
      <c r="BH16" s="62">
        <f t="shared" si="10"/>
        <v>311.65811767026361</v>
      </c>
      <c r="BI16" s="62">
        <f ca="1">AVERAGE(OFFSET($BH$3,0,0,'Données projet'!$E$11+1,1))-AVERAGE(OFFSET($H$3,0,0,'Données projet'!$E$11+1,1))</f>
        <v>348.65374983303883</v>
      </c>
      <c r="BJ16" s="62">
        <f t="shared" si="11"/>
        <v>312.05848669315151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10.68</v>
      </c>
      <c r="BY16" s="13">
        <f>IF(A16&lt;'Données projet'!$A$114,$BV$205^A16,IF(A16='Données projet'!$A$114,'Données projet'!$B$114,BY15+BX16-CG15))</f>
        <v>43.14</v>
      </c>
      <c r="BZ16" s="14">
        <f>BY16*VLOOKUP('Données projet'!$B$12,Paramètres!$A$1:$I$88,3,0)*VLOOKUP('Données projet'!$B$12,Paramètres!$A$1:$I$88,5,0)</f>
        <v>31.630248000000002</v>
      </c>
      <c r="CA16" s="14">
        <f t="shared" si="46"/>
        <v>9.7508554785621282</v>
      </c>
      <c r="CB16" s="22">
        <f t="shared" si="13"/>
        <v>72.072088558495707</v>
      </c>
      <c r="CC16" s="62">
        <f t="shared" si="14"/>
        <v>344.62764411405124</v>
      </c>
      <c r="CD16" s="62">
        <f ca="1">AVERAGE(OFFSET($CC$3,0,0,'Données projet'!$E$12+1,1))-AVERAGE(OFFSET($H$3,0,0,'Données projet'!$E$12+1,1))</f>
        <v>264.06656596707364</v>
      </c>
      <c r="CE16" s="62">
        <f t="shared" si="15"/>
        <v>315.34415130230195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>
        <f>VLOOKUP(A16,'Données projet'!$A$139:$I$159,2,0)</f>
        <v>53.7</v>
      </c>
      <c r="CR16" s="13">
        <f>VLOOKUP(A16,'Données projet'!$A$139:$I$159,9,0)</f>
        <v>14.800000000000004</v>
      </c>
      <c r="CS16" s="13">
        <f t="array" ref="CS16">INDEX(CR:CR,MIN(IF(ISNUMBER(CR16:CR212),ROW(CR16:CR212),"")))</f>
        <v>14.800000000000004</v>
      </c>
      <c r="CT16" s="13">
        <f>IF(A16&lt;'Données projet'!$A$140,$CQ$205^A16,IF(A16='Données projet'!$A$140,'Données projet'!$B$140,CT15+CS16-DB15))</f>
        <v>53.7</v>
      </c>
      <c r="CU16" s="18">
        <f>CT16*VLOOKUP('Données projet'!$B$13,Paramètres!$A$1:$I$88,3,0)*VLOOKUP('Données projet'!$B$13,Paramètres!$A$1:$I$88,5,0)</f>
        <v>32.1126</v>
      </c>
      <c r="CV16" s="14">
        <f t="shared" si="47"/>
        <v>9.8821287968694467</v>
      </c>
      <c r="CW16" s="22">
        <f t="shared" si="17"/>
        <v>73.140819321214281</v>
      </c>
      <c r="CX16" s="62">
        <f t="shared" si="18"/>
        <v>345.69637487676982</v>
      </c>
      <c r="CY16" s="62">
        <f ca="1">AVERAGE(OFFSET($CX$3,0,0,'Données projet'!$E$13+1,1))-AVERAGE(OFFSET($H$3,0,0,'Données projet'!$E$13+1,1))</f>
        <v>162.29089122912319</v>
      </c>
      <c r="CZ16" s="62">
        <f t="shared" si="19"/>
        <v>253.15422514195427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10.68</v>
      </c>
      <c r="DO16" s="13">
        <f>IF(A16&lt;'Données projet'!$A$166,$DL$205^A16,IF(A16='Données projet'!$A$166,'Données projet'!$B$166,DO15+DN16-DW15))</f>
        <v>43.14</v>
      </c>
      <c r="DP16" s="18">
        <f>DO16*VLOOKUP('Données projet'!$B$14,Paramètres!$A$1:$I$88,3,0)*VLOOKUP('Données projet'!$B$14,Paramètres!$A$1:$I$88,5,0)</f>
        <v>34.322184</v>
      </c>
      <c r="DQ16" s="14">
        <f t="shared" si="48"/>
        <v>10.480597920580347</v>
      </c>
      <c r="DR16" s="22">
        <f t="shared" si="21"/>
        <v>78.031511845010769</v>
      </c>
      <c r="DS16" s="62">
        <f t="shared" si="22"/>
        <v>350.5870674005663</v>
      </c>
      <c r="DT16" s="62">
        <f ca="1">AVERAGE(OFFSET($DS$3,0,0,'Données projet'!$E$14+1,1))-AVERAGE(OFFSET($H$3,0,0,'Données projet'!$E$14+1,1))</f>
        <v>290.20755061064017</v>
      </c>
      <c r="DU16" s="62">
        <f t="shared" si="23"/>
        <v>343.54750327717181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25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4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1.4</v>
      </c>
      <c r="N17" s="14">
        <f>IF(A17&lt;'Données projet'!$A$36,$K$205^A17,IF(A17='Données projet'!$A$36,'Données projet'!$B$36,N16+M17-V16))</f>
        <v>10.304113218507704</v>
      </c>
      <c r="O17" s="14">
        <f>N17*VLOOKUP('Données projet'!$B$9,Paramètres!$A$1:$I$88,3,0)*VLOOKUP('Données projet'!$B$9,Paramètres!$A$1:$I$88,5,0)</f>
        <v>4.8223249862616049</v>
      </c>
      <c r="P17" s="14">
        <f t="shared" si="43"/>
        <v>1.8504505600260996</v>
      </c>
      <c r="Q17" s="22">
        <f t="shared" si="2"/>
        <v>11.621750743117751</v>
      </c>
      <c r="R17" s="62">
        <f t="shared" si="0"/>
        <v>285.3995285208955</v>
      </c>
      <c r="S17" s="62">
        <f ca="1">AVERAGE(OFFSET($R$3,0,0,'Données projet'!$E$9+1,1))-AVERAGE(OFFSET($H$3,0,0,'Données projet'!$E$9+1,1))</f>
        <v>300.03481708703549</v>
      </c>
      <c r="T17" s="62">
        <f t="shared" si="3"/>
        <v>102.6350860969182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12</v>
      </c>
      <c r="AI17" s="14">
        <f>IF(A17&lt;'Données projet'!$A$62,$AF$205^A17,IF(A17='Données projet'!$A$62,'Données projet'!$B$62,AI16+AH17-AQ16))</f>
        <v>65.416341341957022</v>
      </c>
      <c r="AJ17" s="14">
        <f>AI17*VLOOKUP('Données projet'!$B$10,Paramètres!$A$1:$I$88,3,0)*VLOOKUP('Données projet'!$B$10,Paramètres!$A$1:$I$88,5,0)</f>
        <v>36.567734810153979</v>
      </c>
      <c r="AK17" s="14">
        <f t="shared" si="44"/>
        <v>11.08422950760936</v>
      </c>
      <c r="AL17" s="22">
        <f t="shared" si="5"/>
        <v>82.99383785343781</v>
      </c>
      <c r="AM17" s="62">
        <f t="shared" si="6"/>
        <v>356.77161563121558</v>
      </c>
      <c r="AN17" s="62">
        <f ca="1">AVERAGE(OFFSET($AM$3,0,0,'Données projet'!$E$10+1,1))-AVERAGE(OFFSET($H$3,0,0,'Données projet'!$E$10+1,1))</f>
        <v>328.27336939084597</v>
      </c>
      <c r="AO17" s="62">
        <f t="shared" si="7"/>
        <v>448.79354389108755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4.75</v>
      </c>
      <c r="BD17" s="13">
        <f>IF(A17&lt;'Données projet'!$A$88,$BA$205^A17,IF(A17='Données projet'!$A$88,'Données projet'!$B$88,BD16+BC17-BL16))</f>
        <v>24.232963250726986</v>
      </c>
      <c r="BE17" s="14">
        <f>BD17*VLOOKUP('Données projet'!$B$11,Paramètres!$A$1:$I$88,3,0)*VLOOKUP('Données projet'!$B$11,Paramètres!$A$1:$I$88,5,0)</f>
        <v>21.169916695835099</v>
      </c>
      <c r="BF17" s="14">
        <f t="shared" si="45"/>
        <v>6.838447308975188</v>
      </c>
      <c r="BG17" s="22">
        <f t="shared" si="9"/>
        <v>48.781233975044579</v>
      </c>
      <c r="BH17" s="62">
        <f t="shared" si="10"/>
        <v>322.55901175282236</v>
      </c>
      <c r="BI17" s="62">
        <f ca="1">AVERAGE(OFFSET($BH$3,0,0,'Données projet'!$E$11+1,1))-AVERAGE(OFFSET($H$3,0,0,'Données projet'!$E$11+1,1))</f>
        <v>348.65374983303883</v>
      </c>
      <c r="BJ17" s="62">
        <f t="shared" si="11"/>
        <v>312.05848669315151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10.68</v>
      </c>
      <c r="BY17" s="13">
        <f>IF(A17&lt;'Données projet'!$A$114,$BV$205^A17,IF(A17='Données projet'!$A$114,'Données projet'!$B$114,BY16+BX17-CG16))</f>
        <v>53.82</v>
      </c>
      <c r="BZ17" s="14">
        <f>BY17*VLOOKUP('Données projet'!$B$12,Paramètres!$A$1:$I$88,3,0)*VLOOKUP('Données projet'!$B$12,Paramètres!$A$1:$I$88,5,0)</f>
        <v>39.460823999999995</v>
      </c>
      <c r="CA17" s="14">
        <f t="shared" si="46"/>
        <v>11.85562557008577</v>
      </c>
      <c r="CB17" s="22">
        <f t="shared" si="13"/>
        <v>89.376149667899369</v>
      </c>
      <c r="CC17" s="62">
        <f t="shared" si="14"/>
        <v>363.15392744567714</v>
      </c>
      <c r="CD17" s="62">
        <f ca="1">AVERAGE(OFFSET($CC$3,0,0,'Données projet'!$E$12+1,1))-AVERAGE(OFFSET($H$3,0,0,'Données projet'!$E$12+1,1))</f>
        <v>264.06656596707364</v>
      </c>
      <c r="CE17" s="62">
        <f t="shared" si="15"/>
        <v>315.34415130230195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>
        <f>VLOOKUP(A17,'Données projet'!$A$139:$I$159,2,0)</f>
        <v>70.400000000000006</v>
      </c>
      <c r="CR17" s="13">
        <f>VLOOKUP(A17,'Données projet'!$A$139:$I$159,9,0)</f>
        <v>16.700000000000003</v>
      </c>
      <c r="CS17" s="13">
        <f t="array" ref="CS17">INDEX(CR:CR,MIN(IF(ISNUMBER(CR17:CR213),ROW(CR17:CR213),"")))</f>
        <v>16.700000000000003</v>
      </c>
      <c r="CT17" s="13">
        <f>IF(A17&lt;'Données projet'!$A$140,$CQ$205^A17,IF(A17='Données projet'!$A$140,'Données projet'!$B$140,CT16+CS17-DB16))</f>
        <v>70.400000000000006</v>
      </c>
      <c r="CU17" s="18">
        <f>CT17*VLOOKUP('Données projet'!$B$13,Paramètres!$A$1:$I$88,3,0)*VLOOKUP('Données projet'!$B$13,Paramètres!$A$1:$I$88,5,0)</f>
        <v>42.09920000000001</v>
      </c>
      <c r="CV17" s="14">
        <f t="shared" si="47"/>
        <v>12.553372982508934</v>
      </c>
      <c r="CW17" s="22">
        <f t="shared" si="17"/>
        <v>95.186564611203053</v>
      </c>
      <c r="CX17" s="62">
        <f t="shared" si="18"/>
        <v>368.96434238898081</v>
      </c>
      <c r="CY17" s="62">
        <f ca="1">AVERAGE(OFFSET($CX$3,0,0,'Données projet'!$E$13+1,1))-AVERAGE(OFFSET($H$3,0,0,'Données projet'!$E$13+1,1))</f>
        <v>162.29089122912319</v>
      </c>
      <c r="CZ17" s="62">
        <f t="shared" si="19"/>
        <v>253.15422514195427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10.68</v>
      </c>
      <c r="DO17" s="13">
        <f>IF(A17&lt;'Données projet'!$A$166,$DL$205^A17,IF(A17='Données projet'!$A$166,'Données projet'!$B$166,DO16+DN17-DW16))</f>
        <v>53.82</v>
      </c>
      <c r="DP17" s="18">
        <f>DO17*VLOOKUP('Données projet'!$B$14,Paramètres!$A$1:$I$88,3,0)*VLOOKUP('Données projet'!$B$14,Paramètres!$A$1:$I$88,5,0)</f>
        <v>42.819192000000001</v>
      </c>
      <c r="DQ17" s="14">
        <f t="shared" si="48"/>
        <v>12.742886505722554</v>
      </c>
      <c r="DR17" s="22">
        <f t="shared" si="21"/>
        <v>96.770620064133439</v>
      </c>
      <c r="DS17" s="62">
        <f t="shared" si="22"/>
        <v>370.5483978419112</v>
      </c>
      <c r="DT17" s="62">
        <f ca="1">AVERAGE(OFFSET($DS$3,0,0,'Données projet'!$E$14+1,1))-AVERAGE(OFFSET($H$3,0,0,'Données projet'!$E$14+1,1))</f>
        <v>290.20755061064017</v>
      </c>
      <c r="DU17" s="62">
        <f t="shared" si="23"/>
        <v>343.54750327717181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25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4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1.4</v>
      </c>
      <c r="N18" s="14">
        <f>IF(A18&lt;'Données projet'!$A$36,$K$205^A18,IF(A18='Données projet'!$A$36,'Données projet'!$B$36,N17+M18-V17))</f>
        <v>12.172184414459773</v>
      </c>
      <c r="O18" s="14">
        <f>N18*VLOOKUP('Données projet'!$B$9,Paramètres!$A$1:$I$88,3,0)*VLOOKUP('Données projet'!$B$9,Paramètres!$A$1:$I$88,5,0)</f>
        <v>5.6965823059671736</v>
      </c>
      <c r="P18" s="14">
        <f t="shared" si="43"/>
        <v>2.1439414855686696</v>
      </c>
      <c r="Q18" s="22">
        <f t="shared" si="2"/>
        <v>13.655578936924925</v>
      </c>
      <c r="R18" s="62">
        <f t="shared" si="0"/>
        <v>288.65557893692494</v>
      </c>
      <c r="S18" s="62">
        <f ca="1">AVERAGE(OFFSET($R$3,0,0,'Données projet'!$E$9+1,1))-AVERAGE(OFFSET($H$3,0,0,'Données projet'!$E$9+1,1))</f>
        <v>300.03481708703549</v>
      </c>
      <c r="T18" s="62">
        <f t="shared" si="3"/>
        <v>102.6350860969182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12</v>
      </c>
      <c r="AI18" s="14">
        <f>IF(A18&lt;'Données projet'!$A$62,$AF$205^A18,IF(A18='Données projet'!$A$62,'Données projet'!$B$62,AI17+AH18-AQ17))</f>
        <v>88.181630740194421</v>
      </c>
      <c r="AJ18" s="14">
        <f>AI18*VLOOKUP('Données projet'!$B$10,Paramètres!$A$1:$I$88,3,0)*VLOOKUP('Données projet'!$B$10,Paramètres!$A$1:$I$88,5,0)</f>
        <v>49.293531583768683</v>
      </c>
      <c r="AK18" s="14">
        <f t="shared" si="44"/>
        <v>14.431160286614153</v>
      </c>
      <c r="AL18" s="22">
        <f t="shared" si="5"/>
        <v>110.98717167425009</v>
      </c>
      <c r="AM18" s="62">
        <f t="shared" si="6"/>
        <v>385.98717167425008</v>
      </c>
      <c r="AN18" s="62">
        <f ca="1">AVERAGE(OFFSET($AM$3,0,0,'Données projet'!$E$10+1,1))-AVERAGE(OFFSET($H$3,0,0,'Données projet'!$E$10+1,1))</f>
        <v>328.27336939084597</v>
      </c>
      <c r="AO18" s="62">
        <f t="shared" si="7"/>
        <v>448.79354389108755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4.75</v>
      </c>
      <c r="BD18" s="13">
        <f>IF(A18&lt;'Données projet'!$A$88,$BA$205^A18,IF(A18='Données projet'!$A$88,'Données projet'!$B$88,BD17+BC18-BL17))</f>
        <v>30.429351993705815</v>
      </c>
      <c r="BE18" s="14">
        <f>BD18*VLOOKUP('Données projet'!$B$11,Paramètres!$A$1:$I$88,3,0)*VLOOKUP('Données projet'!$B$11,Paramètres!$A$1:$I$88,5,0)</f>
        <v>26.583081901701402</v>
      </c>
      <c r="BF18" s="14">
        <f t="shared" si="45"/>
        <v>8.3624461445900025</v>
      </c>
      <c r="BG18" s="22">
        <f t="shared" si="9"/>
        <v>60.863461347290858</v>
      </c>
      <c r="BH18" s="62">
        <f t="shared" si="10"/>
        <v>335.86346134729087</v>
      </c>
      <c r="BI18" s="62">
        <f ca="1">AVERAGE(OFFSET($BH$3,0,0,'Données projet'!$E$11+1,1))-AVERAGE(OFFSET($H$3,0,0,'Données projet'!$E$11+1,1))</f>
        <v>348.65374983303883</v>
      </c>
      <c r="BJ18" s="62">
        <f t="shared" si="11"/>
        <v>312.05848669315151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64.5</v>
      </c>
      <c r="BW18" s="13">
        <f>VLOOKUP(A18,'Données projet'!$A$113:$I$133,9,0)</f>
        <v>10.68</v>
      </c>
      <c r="BX18" s="13">
        <f t="array" ref="BX18">INDEX(BW:BW,MIN(IF(ISNUMBER(BW18:BW214),ROW(BW18:BW214),"")))</f>
        <v>10.68</v>
      </c>
      <c r="BY18" s="13">
        <f>IF(A18&lt;'Données projet'!$A$114,$BV$205^A18,IF(A18='Données projet'!$A$114,'Données projet'!$B$114,BY17+BX18-CG17))</f>
        <v>64.5</v>
      </c>
      <c r="BZ18" s="14">
        <f>BY18*VLOOKUP('Données projet'!$B$12,Paramètres!$A$1:$I$88,3,0)*VLOOKUP('Données projet'!$B$12,Paramètres!$A$1:$I$88,5,0)</f>
        <v>47.291399999999996</v>
      </c>
      <c r="CA18" s="14">
        <f t="shared" si="46"/>
        <v>13.91200070808976</v>
      </c>
      <c r="CB18" s="22">
        <f t="shared" si="13"/>
        <v>106.595922899923</v>
      </c>
      <c r="CC18" s="62">
        <f t="shared" si="14"/>
        <v>381.59592289992298</v>
      </c>
      <c r="CD18" s="62">
        <f ca="1">AVERAGE(OFFSET($CC$3,0,0,'Données projet'!$E$12+1,1))-AVERAGE(OFFSET($H$3,0,0,'Données projet'!$E$12+1,1))</f>
        <v>264.06656596707364</v>
      </c>
      <c r="CE18" s="62">
        <f t="shared" si="15"/>
        <v>315.34415130230195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88.9</v>
      </c>
      <c r="CR18" s="13">
        <f>VLOOKUP(A18,'Données projet'!$A$139:$I$159,9,0)</f>
        <v>18.5</v>
      </c>
      <c r="CS18" s="13">
        <f t="array" ref="CS18">INDEX(CR:CR,MIN(IF(ISNUMBER(CR18:CR214),ROW(CR18:CR214),"")))</f>
        <v>18.5</v>
      </c>
      <c r="CT18" s="13">
        <f>IF(A18&lt;'Données projet'!$A$140,$CQ$205^A18,IF(A18='Données projet'!$A$140,'Données projet'!$B$140,CT17+CS18-DB17))</f>
        <v>88.9</v>
      </c>
      <c r="CU18" s="18">
        <f>CT18*VLOOKUP('Données projet'!$B$13,Paramètres!$A$1:$I$88,3,0)*VLOOKUP('Données projet'!$B$13,Paramètres!$A$1:$I$88,5,0)</f>
        <v>53.162200000000006</v>
      </c>
      <c r="CV18" s="14">
        <f t="shared" si="47"/>
        <v>15.427474137354887</v>
      </c>
      <c r="CW18" s="22">
        <f t="shared" si="17"/>
        <v>119.46034912255978</v>
      </c>
      <c r="CX18" s="62">
        <f t="shared" si="18"/>
        <v>394.46034912255976</v>
      </c>
      <c r="CY18" s="62">
        <f ca="1">AVERAGE(OFFSET($CX$3,0,0,'Données projet'!$E$13+1,1))-AVERAGE(OFFSET($H$3,0,0,'Données projet'!$E$13+1,1))</f>
        <v>162.29089122912319</v>
      </c>
      <c r="CZ18" s="62">
        <f t="shared" si="19"/>
        <v>253.15422514195427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23.3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1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12.346313865147595</v>
      </c>
      <c r="DI18" s="24">
        <f t="shared" si="20"/>
        <v>12.346313865147595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64.5</v>
      </c>
      <c r="DM18" s="13">
        <f>VLOOKUP(A18,'Données projet'!$A$165:$I$185,9,0)</f>
        <v>10.68</v>
      </c>
      <c r="DN18" s="13">
        <f t="array" ref="DN18">INDEX(DM:DM,MIN(IF(ISNUMBER(DM18:DM214),ROW(DM18:DM214),"")))</f>
        <v>10.68</v>
      </c>
      <c r="DO18" s="13">
        <f>IF(A18&lt;'Données projet'!$A$166,$DL$205^A18,IF(A18='Données projet'!$A$166,'Données projet'!$B$166,DO17+DN18-DW17))</f>
        <v>64.5</v>
      </c>
      <c r="DP18" s="18">
        <f>DO18*VLOOKUP('Données projet'!$B$14,Paramètres!$A$1:$I$88,3,0)*VLOOKUP('Données projet'!$B$14,Paramètres!$A$1:$I$88,5,0)</f>
        <v>51.316200000000009</v>
      </c>
      <c r="DQ18" s="14">
        <f t="shared" si="48"/>
        <v>14.953158316506878</v>
      </c>
      <c r="DR18" s="22">
        <f t="shared" si="21"/>
        <v>115.41913240124948</v>
      </c>
      <c r="DS18" s="62">
        <f t="shared" si="22"/>
        <v>390.4191324012495</v>
      </c>
      <c r="DT18" s="62">
        <f ca="1">AVERAGE(OFFSET($DS$3,0,0,'Données projet'!$E$14+1,1))-AVERAGE(OFFSET($H$3,0,0,'Données projet'!$E$14+1,1))</f>
        <v>290.20755061064017</v>
      </c>
      <c r="DU18" s="62">
        <f t="shared" si="23"/>
        <v>343.54750327717181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25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4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1.4</v>
      </c>
      <c r="N19" s="14">
        <f>IF(A19&lt;'Données projet'!$A$36,$K$205^A19,IF(A19='Données projet'!$A$36,'Données projet'!$B$36,N18+M19-V18))</f>
        <v>14.378925219250942</v>
      </c>
      <c r="O19" s="14">
        <f>N19*VLOOKUP('Données projet'!$B$9,Paramètres!$A$1:$I$88,3,0)*VLOOKUP('Données projet'!$B$9,Paramètres!$A$1:$I$88,5,0)</f>
        <v>6.7293370026094408</v>
      </c>
      <c r="P19" s="14">
        <f t="shared" si="43"/>
        <v>2.4839815733728994</v>
      </c>
      <c r="Q19" s="22">
        <f t="shared" si="2"/>
        <v>16.04652985316924</v>
      </c>
      <c r="R19" s="62">
        <f t="shared" si="0"/>
        <v>292.26875207539149</v>
      </c>
      <c r="S19" s="62">
        <f ca="1">AVERAGE(OFFSET($R$3,0,0,'Données projet'!$E$9+1,1))-AVERAGE(OFFSET($H$3,0,0,'Données projet'!$E$9+1,1))</f>
        <v>300.03481708703549</v>
      </c>
      <c r="T19" s="62">
        <f t="shared" si="3"/>
        <v>102.6350860969182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</v>
      </c>
      <c r="AI19" s="14">
        <f>IF(A19&lt;'Données projet'!$A$62,$AF$205^A19,IF(A19='Données projet'!$A$62,'Données projet'!$B$62,AI18+AH19-AQ18))</f>
        <v>118.86938096020656</v>
      </c>
      <c r="AJ19" s="14">
        <f>AI19*VLOOKUP('Données projet'!$B$10,Paramètres!$A$1:$I$88,3,0)*VLOOKUP('Données projet'!$B$10,Paramètres!$A$1:$I$88,5,0)</f>
        <v>66.447983956755465</v>
      </c>
      <c r="AK19" s="14">
        <f t="shared" si="44"/>
        <v>18.788711211273579</v>
      </c>
      <c r="AL19" s="22">
        <f t="shared" si="5"/>
        <v>148.45391075098391</v>
      </c>
      <c r="AM19" s="62">
        <f t="shared" si="6"/>
        <v>424.67613297320611</v>
      </c>
      <c r="AN19" s="62">
        <f ca="1">AVERAGE(OFFSET($AM$3,0,0,'Données projet'!$E$10+1,1))-AVERAGE(OFFSET($H$3,0,0,'Données projet'!$E$10+1,1))</f>
        <v>328.27336939084597</v>
      </c>
      <c r="AO19" s="62">
        <f t="shared" si="7"/>
        <v>448.79354389108755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4.75</v>
      </c>
      <c r="BD19" s="13">
        <f>IF(A19&lt;'Données projet'!$A$88,$BA$205^A19,IF(A19='Données projet'!$A$88,'Données projet'!$B$88,BD18+BC19-BL18))</f>
        <v>38.21016246244956</v>
      </c>
      <c r="BE19" s="14">
        <f>BD19*VLOOKUP('Données projet'!$B$11,Paramètres!$A$1:$I$88,3,0)*VLOOKUP('Données projet'!$B$11,Paramètres!$A$1:$I$88,5,0)</f>
        <v>33.380397927195943</v>
      </c>
      <c r="BF19" s="14">
        <f t="shared" si="45"/>
        <v>10.22607945364838</v>
      </c>
      <c r="BG19" s="22">
        <f t="shared" si="9"/>
        <v>75.947948104970536</v>
      </c>
      <c r="BH19" s="62">
        <f t="shared" si="10"/>
        <v>352.17017032719275</v>
      </c>
      <c r="BI19" s="62">
        <f ca="1">AVERAGE(OFFSET($BH$3,0,0,'Données projet'!$E$11+1,1))-AVERAGE(OFFSET($H$3,0,0,'Données projet'!$E$11+1,1))</f>
        <v>348.65374983303883</v>
      </c>
      <c r="BJ19" s="62">
        <f t="shared" si="11"/>
        <v>312.05848669315151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13.760000000000002</v>
      </c>
      <c r="BY19" s="13">
        <f>IF(A19&lt;'Données projet'!$A$114,$BV$205^A19,IF(A19='Données projet'!$A$114,'Données projet'!$B$114,BY18+BX19-CG18))</f>
        <v>78.260000000000005</v>
      </c>
      <c r="BZ19" s="14">
        <f>BY19*VLOOKUP('Données projet'!$B$12,Paramètres!$A$1:$I$88,3,0)*VLOOKUP('Données projet'!$B$12,Paramètres!$A$1:$I$88,5,0)</f>
        <v>57.380232000000007</v>
      </c>
      <c r="CA19" s="14">
        <f t="shared" si="46"/>
        <v>16.504198297054995</v>
      </c>
      <c r="CB19" s="22">
        <f t="shared" si="13"/>
        <v>128.68204943403745</v>
      </c>
      <c r="CC19" s="62">
        <f t="shared" si="14"/>
        <v>404.90427165625965</v>
      </c>
      <c r="CD19" s="62">
        <f ca="1">AVERAGE(OFFSET($CC$3,0,0,'Données projet'!$E$12+1,1))-AVERAGE(OFFSET($H$3,0,0,'Données projet'!$E$12+1,1))</f>
        <v>264.06656596707364</v>
      </c>
      <c r="CE19" s="62">
        <f t="shared" si="15"/>
        <v>315.34415130230195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11.666666666666663</v>
      </c>
      <c r="CT19" s="13">
        <f>IF(A19&lt;'Données projet'!$A$140,$CQ$205^A19,IF(A19='Données projet'!$A$140,'Données projet'!$B$140,CT18+CS19-DB18))</f>
        <v>77.266666666666666</v>
      </c>
      <c r="CU19" s="18">
        <f>CT19*VLOOKUP('Données projet'!$B$13,Paramètres!$A$1:$I$88,3,0)*VLOOKUP('Données projet'!$B$13,Paramètres!$A$1:$I$88,5,0)</f>
        <v>46.205466666666673</v>
      </c>
      <c r="CV19" s="14">
        <f t="shared" si="47"/>
        <v>13.629349191963051</v>
      </c>
      <c r="CW19" s="22">
        <f t="shared" si="17"/>
        <v>104.21230428711344</v>
      </c>
      <c r="CX19" s="62">
        <f t="shared" si="18"/>
        <v>380.43452650933568</v>
      </c>
      <c r="CY19" s="62">
        <f ca="1">AVERAGE(OFFSET($CX$3,0,0,'Données projet'!$E$13+1,1))-AVERAGE(OFFSET($H$3,0,0,'Données projet'!$E$13+1,1))</f>
        <v>162.29089122912319</v>
      </c>
      <c r="CZ19" s="62">
        <f t="shared" si="19"/>
        <v>253.15422514195427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8.730162256703359</v>
      </c>
      <c r="DI19" s="24">
        <f t="shared" si="20"/>
        <v>8.730162256703359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13.760000000000002</v>
      </c>
      <c r="DO19" s="13">
        <f>IF(A19&lt;'Données projet'!$A$166,$DL$205^A19,IF(A19='Données projet'!$A$166,'Données projet'!$B$166,DO18+DN19-DW18))</f>
        <v>78.260000000000005</v>
      </c>
      <c r="DP19" s="18">
        <f>DO19*VLOOKUP('Données projet'!$B$14,Paramètres!$A$1:$I$88,3,0)*VLOOKUP('Données projet'!$B$14,Paramètres!$A$1:$I$88,5,0)</f>
        <v>62.263656000000012</v>
      </c>
      <c r="DQ19" s="14">
        <f t="shared" si="48"/>
        <v>17.739352894036266</v>
      </c>
      <c r="DR19" s="22">
        <f t="shared" si="21"/>
        <v>139.33857382377983</v>
      </c>
      <c r="DS19" s="62">
        <f t="shared" si="22"/>
        <v>415.56079604600205</v>
      </c>
      <c r="DT19" s="62">
        <f ca="1">AVERAGE(OFFSET($DS$3,0,0,'Données projet'!$E$14+1,1))-AVERAGE(OFFSET($H$3,0,0,'Données projet'!$E$14+1,1))</f>
        <v>290.20755061064017</v>
      </c>
      <c r="DU19" s="62">
        <f t="shared" si="23"/>
        <v>343.54750327717181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25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4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1.4</v>
      </c>
      <c r="N20" s="14">
        <f>IF(A20&lt;'Données projet'!$A$36,$K$205^A20,IF(A20='Données projet'!$A$36,'Données projet'!$B$36,N19+M20-V19))</f>
        <v>16.985734312010656</v>
      </c>
      <c r="O20" s="14">
        <f>N20*VLOOKUP('Données projet'!$B$9,Paramètres!$A$1:$I$88,3,0)*VLOOKUP('Données projet'!$B$9,Paramètres!$A$1:$I$88,5,0)</f>
        <v>7.9493236580209867</v>
      </c>
      <c r="P20" s="14">
        <f t="shared" si="43"/>
        <v>2.8779537587144066</v>
      </c>
      <c r="Q20" s="22">
        <f t="shared" si="2"/>
        <v>18.857508167480809</v>
      </c>
      <c r="R20" s="62">
        <f t="shared" si="0"/>
        <v>296.30195261192529</v>
      </c>
      <c r="S20" s="62">
        <f ca="1">AVERAGE(OFFSET($R$3,0,0,'Données projet'!$E$9+1,1))-AVERAGE(OFFSET($H$3,0,0,'Données projet'!$E$9+1,1))</f>
        <v>300.03481708703549</v>
      </c>
      <c r="T20" s="62">
        <f t="shared" si="3"/>
        <v>102.6350860969182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</v>
      </c>
      <c r="AI20" s="14">
        <f>IF(A20&lt;'Données projet'!$A$62,$AF$205^A20,IF(A20='Données projet'!$A$62,'Données projet'!$B$62,AI19+AH20-AQ19))</f>
        <v>160.23665712752688</v>
      </c>
      <c r="AJ20" s="14">
        <f>AI20*VLOOKUP('Données projet'!$B$10,Paramètres!$A$1:$I$88,3,0)*VLOOKUP('Données projet'!$B$10,Paramètres!$A$1:$I$88,5,0)</f>
        <v>89.572291334287527</v>
      </c>
      <c r="AK20" s="14">
        <f t="shared" si="44"/>
        <v>24.462043381784262</v>
      </c>
      <c r="AL20" s="22">
        <f t="shared" si="5"/>
        <v>198.60979963049166</v>
      </c>
      <c r="AM20" s="62">
        <f t="shared" si="6"/>
        <v>476.05424407493615</v>
      </c>
      <c r="AN20" s="62">
        <f ca="1">AVERAGE(OFFSET($AM$3,0,0,'Données projet'!$E$10+1,1))-AVERAGE(OFFSET($H$3,0,0,'Données projet'!$E$10+1,1))</f>
        <v>328.27336939084597</v>
      </c>
      <c r="AO20" s="62">
        <f t="shared" si="7"/>
        <v>448.79354389108755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4.75</v>
      </c>
      <c r="BD20" s="13">
        <f>IF(A20&lt;'Données projet'!$A$88,$BA$205^A20,IF(A20='Données projet'!$A$88,'Données projet'!$B$88,BD19+BC20-BL19))</f>
        <v>47.980532602494719</v>
      </c>
      <c r="BE20" s="14">
        <f>BD20*VLOOKUP('Données projet'!$B$11,Paramètres!$A$1:$I$88,3,0)*VLOOKUP('Données projet'!$B$11,Paramètres!$A$1:$I$88,5,0)</f>
        <v>41.915793281539393</v>
      </c>
      <c r="BF20" s="14">
        <f t="shared" si="45"/>
        <v>12.50503730418423</v>
      </c>
      <c r="BG20" s="22">
        <f t="shared" si="9"/>
        <v>94.782946603468645</v>
      </c>
      <c r="BH20" s="62">
        <f t="shared" si="10"/>
        <v>372.2273910479131</v>
      </c>
      <c r="BI20" s="62">
        <f ca="1">AVERAGE(OFFSET($BH$3,0,0,'Données projet'!$E$11+1,1))-AVERAGE(OFFSET($H$3,0,0,'Données projet'!$E$11+1,1))</f>
        <v>348.65374983303883</v>
      </c>
      <c r="BJ20" s="62">
        <f t="shared" si="11"/>
        <v>312.05848669315151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13.760000000000002</v>
      </c>
      <c r="BY20" s="13">
        <f>IF(A20&lt;'Données projet'!$A$114,$BV$205^A20,IF(A20='Données projet'!$A$114,'Données projet'!$B$114,BY19+BX20-CG19))</f>
        <v>92.02000000000001</v>
      </c>
      <c r="BZ20" s="14">
        <f>BY20*VLOOKUP('Données projet'!$B$12,Paramètres!$A$1:$I$88,3,0)*VLOOKUP('Données projet'!$B$12,Paramètres!$A$1:$I$88,5,0)</f>
        <v>67.469064000000003</v>
      </c>
      <c r="CA20" s="14">
        <f t="shared" si="46"/>
        <v>19.043596226295445</v>
      </c>
      <c r="CB20" s="22">
        <f t="shared" si="13"/>
        <v>150.67621656079791</v>
      </c>
      <c r="CC20" s="62">
        <f t="shared" si="14"/>
        <v>428.12066100524237</v>
      </c>
      <c r="CD20" s="62">
        <f ca="1">AVERAGE(OFFSET($CC$3,0,0,'Données projet'!$E$12+1,1))-AVERAGE(OFFSET($H$3,0,0,'Données projet'!$E$12+1,1))</f>
        <v>264.06656596707364</v>
      </c>
      <c r="CE20" s="62">
        <f t="shared" si="15"/>
        <v>315.34415130230195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11.666666666666663</v>
      </c>
      <c r="CT20" s="13">
        <f>IF(A20&lt;'Données projet'!$A$140,$CQ$205^A20,IF(A20='Données projet'!$A$140,'Données projet'!$B$140,CT19+CS20-DB19))</f>
        <v>88.933333333333323</v>
      </c>
      <c r="CU20" s="18">
        <f>CT20*VLOOKUP('Données projet'!$B$13,Paramètres!$A$1:$I$88,3,0)*VLOOKUP('Données projet'!$B$13,Paramètres!$A$1:$I$88,5,0)</f>
        <v>53.182133333333333</v>
      </c>
      <c r="CV20" s="14">
        <f t="shared" si="47"/>
        <v>15.432585280479836</v>
      </c>
      <c r="CW20" s="22">
        <f t="shared" si="17"/>
        <v>119.50396825239126</v>
      </c>
      <c r="CX20" s="62">
        <f t="shared" si="18"/>
        <v>396.9484126968357</v>
      </c>
      <c r="CY20" s="62">
        <f ca="1">AVERAGE(OFFSET($CX$3,0,0,'Données projet'!$E$13+1,1))-AVERAGE(OFFSET($H$3,0,0,'Données projet'!$E$13+1,1))</f>
        <v>162.29089122912319</v>
      </c>
      <c r="CZ20" s="62">
        <f t="shared" si="19"/>
        <v>253.15422514195427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6.1731569325737983</v>
      </c>
      <c r="DI20" s="24">
        <f t="shared" si="20"/>
        <v>6.1731569325737983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13.760000000000002</v>
      </c>
      <c r="DO20" s="13">
        <f>IF(A20&lt;'Données projet'!$A$166,$DL$205^A20,IF(A20='Données projet'!$A$166,'Données projet'!$B$166,DO19+DN20-DW19))</f>
        <v>92.02000000000001</v>
      </c>
      <c r="DP20" s="18">
        <f>DO20*VLOOKUP('Données projet'!$B$14,Paramètres!$A$1:$I$88,3,0)*VLOOKUP('Données projet'!$B$14,Paramètres!$A$1:$I$88,5,0)</f>
        <v>73.211112000000014</v>
      </c>
      <c r="DQ20" s="14">
        <f t="shared" si="48"/>
        <v>20.468796348022103</v>
      </c>
      <c r="DR20" s="22">
        <f t="shared" si="21"/>
        <v>163.15917370613849</v>
      </c>
      <c r="DS20" s="62">
        <f t="shared" si="22"/>
        <v>440.60361815058297</v>
      </c>
      <c r="DT20" s="62">
        <f ca="1">AVERAGE(OFFSET($DS$3,0,0,'Données projet'!$E$14+1,1))-AVERAGE(OFFSET($H$3,0,0,'Données projet'!$E$14+1,1))</f>
        <v>290.20755061064017</v>
      </c>
      <c r="DU20" s="62">
        <f t="shared" si="23"/>
        <v>343.54750327717181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25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4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1.4</v>
      </c>
      <c r="N21" s="14">
        <f>IF(A21&lt;'Données projet'!$A$36,$K$205^A21,IF(A21='Données projet'!$A$36,'Données projet'!$B$36,N20+M21-V20))</f>
        <v>20.065141567879031</v>
      </c>
      <c r="O21" s="14">
        <f>N21*VLOOKUP('Données projet'!$B$9,Paramètres!$A$1:$I$88,3,0)*VLOOKUP('Données projet'!$B$9,Paramètres!$A$1:$I$88,5,0)</f>
        <v>9.3904862537673868</v>
      </c>
      <c r="P21" s="14">
        <f t="shared" si="43"/>
        <v>3.3344119481738947</v>
      </c>
      <c r="Q21" s="22">
        <f t="shared" si="2"/>
        <v>22.162531035047731</v>
      </c>
      <c r="R21" s="62">
        <f t="shared" si="0"/>
        <v>300.82919770171441</v>
      </c>
      <c r="S21" s="62">
        <f ca="1">AVERAGE(OFFSET($R$3,0,0,'Données projet'!$E$9+1,1))-AVERAGE(OFFSET($H$3,0,0,'Données projet'!$E$9+1,1))</f>
        <v>300.03481708703549</v>
      </c>
      <c r="T21" s="62">
        <f t="shared" si="3"/>
        <v>102.6350860969182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216</v>
      </c>
      <c r="AG21" s="13">
        <f>VLOOKUP(A21,'Données projet'!$A$61:$I$81,9,0)</f>
        <v>12</v>
      </c>
      <c r="AH21" s="13">
        <f t="array" ref="AH21">INDEX(AG:AG,MIN(IF(ISNUMBER(AG21:AG217),ROW(AG21:AG217),"")))</f>
        <v>12</v>
      </c>
      <c r="AI21" s="14">
        <f>IF(A21&lt;'Données projet'!$A$62,$AF$205^A21,IF(A21='Données projet'!$A$62,'Données projet'!$B$62,AI20+AH21-AQ20))</f>
        <v>216</v>
      </c>
      <c r="AJ21" s="14">
        <f>AI21*VLOOKUP('Données projet'!$B$10,Paramètres!$A$1:$I$88,3,0)*VLOOKUP('Données projet'!$B$10,Paramètres!$A$1:$I$88,5,0)</f>
        <v>120.744</v>
      </c>
      <c r="AK21" s="14">
        <f t="shared" si="44"/>
        <v>31.848462605207807</v>
      </c>
      <c r="AL21" s="22">
        <f t="shared" si="5"/>
        <v>265.76520570407024</v>
      </c>
      <c r="AM21" s="62">
        <f t="shared" si="6"/>
        <v>544.43187237073698</v>
      </c>
      <c r="AN21" s="62">
        <f ca="1">AVERAGE(OFFSET($AM$3,0,0,'Données projet'!$E$10+1,1))-AVERAGE(OFFSET($H$3,0,0,'Données projet'!$E$10+1,1))</f>
        <v>328.27336939084597</v>
      </c>
      <c r="AO21" s="62">
        <f t="shared" si="7"/>
        <v>448.79354389108755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63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0.5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16.691368530135161</v>
      </c>
      <c r="AX21" s="23">
        <f t="shared" si="8"/>
        <v>16.691368530135161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4.75</v>
      </c>
      <c r="BD21" s="13">
        <f>IF(A21&lt;'Données projet'!$A$88,$BA$205^A21,IF(A21='Données projet'!$A$88,'Données projet'!$B$88,BD20+BC21-BL20))</f>
        <v>60.249194467085609</v>
      </c>
      <c r="BE21" s="14">
        <f>BD21*VLOOKUP('Données projet'!$B$11,Paramètres!$A$1:$I$88,3,0)*VLOOKUP('Données projet'!$B$11,Paramètres!$A$1:$I$88,5,0)</f>
        <v>52.633696286445996</v>
      </c>
      <c r="BF21" s="14">
        <f t="shared" si="45"/>
        <v>15.291877858747567</v>
      </c>
      <c r="BG21" s="22">
        <f t="shared" si="9"/>
        <v>118.30370830287877</v>
      </c>
      <c r="BH21" s="62">
        <f t="shared" si="10"/>
        <v>396.97037496954545</v>
      </c>
      <c r="BI21" s="62">
        <f ca="1">AVERAGE(OFFSET($BH$3,0,0,'Données projet'!$E$11+1,1))-AVERAGE(OFFSET($H$3,0,0,'Données projet'!$E$11+1,1))</f>
        <v>348.65374983303883</v>
      </c>
      <c r="BJ21" s="62">
        <f t="shared" si="11"/>
        <v>312.05848669315151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13.760000000000002</v>
      </c>
      <c r="BY21" s="13">
        <f>IF(A21&lt;'Données projet'!$A$114,$BV$205^A21,IF(A21='Données projet'!$A$114,'Données projet'!$B$114,BY20+BX21-CG20))</f>
        <v>105.78000000000002</v>
      </c>
      <c r="BZ21" s="14">
        <f>BY21*VLOOKUP('Données projet'!$B$12,Paramètres!$A$1:$I$88,3,0)*VLOOKUP('Données projet'!$B$12,Paramètres!$A$1:$I$88,5,0)</f>
        <v>77.557896000000014</v>
      </c>
      <c r="CA21" s="14">
        <f t="shared" si="46"/>
        <v>21.539003916671845</v>
      </c>
      <c r="CB21" s="22">
        <f t="shared" si="13"/>
        <v>172.59376735487015</v>
      </c>
      <c r="CC21" s="62">
        <f t="shared" si="14"/>
        <v>451.26043402153687</v>
      </c>
      <c r="CD21" s="62">
        <f ca="1">AVERAGE(OFFSET($CC$3,0,0,'Données projet'!$E$12+1,1))-AVERAGE(OFFSET($H$3,0,0,'Données projet'!$E$12+1,1))</f>
        <v>264.06656596707364</v>
      </c>
      <c r="CE21" s="62">
        <f t="shared" si="15"/>
        <v>315.34415130230195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>
        <f>VLOOKUP(A21,'Données projet'!$A$139:$I$159,2,0)</f>
        <v>100.6</v>
      </c>
      <c r="CR21" s="13">
        <f>VLOOKUP(A21,'Données projet'!$A$139:$I$159,9,0)</f>
        <v>11.666666666666663</v>
      </c>
      <c r="CS21" s="13">
        <f t="array" ref="CS21">INDEX(CR:CR,MIN(IF(ISNUMBER(CR21:CR217),ROW(CR21:CR217),"")))</f>
        <v>11.666666666666663</v>
      </c>
      <c r="CT21" s="13">
        <f>IF(A21&lt;'Données projet'!$A$140,$CQ$205^A21,IF(A21='Données projet'!$A$140,'Données projet'!$B$140,CT20+CS21-DB20))</f>
        <v>100.59999999999998</v>
      </c>
      <c r="CU21" s="18">
        <f>CT21*VLOOKUP('Données projet'!$B$13,Paramètres!$A$1:$I$88,3,0)*VLOOKUP('Données projet'!$B$13,Paramètres!$A$1:$I$88,5,0)</f>
        <v>60.158799999999999</v>
      </c>
      <c r="CV21" s="14">
        <f t="shared" si="47"/>
        <v>17.208412456441273</v>
      </c>
      <c r="CW21" s="22">
        <f t="shared" si="17"/>
        <v>134.74789502830188</v>
      </c>
      <c r="CX21" s="62">
        <f t="shared" si="18"/>
        <v>413.4145616949686</v>
      </c>
      <c r="CY21" s="62">
        <f ca="1">AVERAGE(OFFSET($CX$3,0,0,'Données projet'!$E$13+1,1))-AVERAGE(OFFSET($H$3,0,0,'Données projet'!$E$13+1,1))</f>
        <v>162.29089122912319</v>
      </c>
      <c r="CZ21" s="62">
        <f t="shared" si="19"/>
        <v>253.15422514195427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4.3650811283516804</v>
      </c>
      <c r="DI21" s="24">
        <f t="shared" si="20"/>
        <v>4.3650811283516804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13.760000000000002</v>
      </c>
      <c r="DO21" s="13">
        <f>IF(A21&lt;'Données projet'!$A$166,$DL$205^A21,IF(A21='Données projet'!$A$166,'Données projet'!$B$166,DO20+DN21-DW20))</f>
        <v>105.78000000000002</v>
      </c>
      <c r="DP21" s="18">
        <f>DO21*VLOOKUP('Données projet'!$B$14,Paramètres!$A$1:$I$88,3,0)*VLOOKUP('Données projet'!$B$14,Paramètres!$A$1:$I$88,5,0)</f>
        <v>84.158568000000017</v>
      </c>
      <c r="DQ21" s="14">
        <f t="shared" si="48"/>
        <v>23.15095738591862</v>
      </c>
      <c r="DR21" s="22">
        <f t="shared" si="21"/>
        <v>186.89742338047495</v>
      </c>
      <c r="DS21" s="62">
        <f t="shared" si="22"/>
        <v>465.56409004714163</v>
      </c>
      <c r="DT21" s="62">
        <f ca="1">AVERAGE(OFFSET($DS$3,0,0,'Données projet'!$E$14+1,1))-AVERAGE(OFFSET($H$3,0,0,'Données projet'!$E$14+1,1))</f>
        <v>290.20755061064017</v>
      </c>
      <c r="DU21" s="62">
        <f t="shared" si="23"/>
        <v>343.54750327717181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25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4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1.4</v>
      </c>
      <c r="N22" s="14">
        <f>IF(A22&lt;'Données projet'!$A$36,$K$205^A22,IF(A22='Données projet'!$A$36,'Données projet'!$B$36,N21+M22-V21))</f>
        <v>23.702826074133306</v>
      </c>
      <c r="O22" s="14">
        <f>N22*VLOOKUP('Données projet'!$B$9,Paramètres!$A$1:$I$88,3,0)*VLOOKUP('Données projet'!$B$9,Paramètres!$A$1:$I$88,5,0)</f>
        <v>11.092922602694387</v>
      </c>
      <c r="P22" s="14">
        <f t="shared" si="43"/>
        <v>3.8632667416767035</v>
      </c>
      <c r="Q22" s="22">
        <f t="shared" si="2"/>
        <v>26.048696441446314</v>
      </c>
      <c r="R22" s="62">
        <f t="shared" si="0"/>
        <v>305.9375853303352</v>
      </c>
      <c r="S22" s="62">
        <f ca="1">AVERAGE(OFFSET($R$3,0,0,'Données projet'!$E$9+1,1))-AVERAGE(OFFSET($H$3,0,0,'Données projet'!$E$9+1,1))</f>
        <v>300.03481708703549</v>
      </c>
      <c r="T22" s="62">
        <f t="shared" si="3"/>
        <v>102.6350860969182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24.333333333333332</v>
      </c>
      <c r="AI22" s="14">
        <f>IF(A22&lt;'Données projet'!$A$62,$AF$205^A22,IF(A22='Données projet'!$A$62,'Données projet'!$B$62,AI21+AH22-AQ21))</f>
        <v>177.33333333333334</v>
      </c>
      <c r="AJ22" s="14">
        <f>AI22*VLOOKUP('Données projet'!$B$10,Paramètres!$A$1:$I$88,3,0)*VLOOKUP('Données projet'!$B$10,Paramètres!$A$1:$I$88,5,0)</f>
        <v>99.129333333333335</v>
      </c>
      <c r="AK22" s="14">
        <f t="shared" si="44"/>
        <v>26.754467771372262</v>
      </c>
      <c r="AL22" s="22">
        <f t="shared" si="5"/>
        <v>219.24762025736223</v>
      </c>
      <c r="AM22" s="62">
        <f t="shared" si="6"/>
        <v>499.13650914625111</v>
      </c>
      <c r="AN22" s="62">
        <f ca="1">AVERAGE(OFFSET($AM$3,0,0,'Données projet'!$E$10+1,1))-AVERAGE(OFFSET($H$3,0,0,'Données projet'!$E$10+1,1))</f>
        <v>328.27336939084597</v>
      </c>
      <c r="AO22" s="62">
        <f t="shared" si="7"/>
        <v>448.79354389108755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11.80257987494231</v>
      </c>
      <c r="AX22" s="23">
        <f t="shared" si="8"/>
        <v>11.80257987494231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4.75</v>
      </c>
      <c r="BD22" s="13">
        <f>IF(A22&lt;'Données projet'!$A$88,$BA$205^A22,IF(A22='Données projet'!$A$88,'Données projet'!$B$88,BD21+BC22-BL21))</f>
        <v>75.65496331618381</v>
      </c>
      <c r="BE22" s="14">
        <f>BD22*VLOOKUP('Données projet'!$B$11,Paramètres!$A$1:$I$88,3,0)*VLOOKUP('Données projet'!$B$11,Paramètres!$A$1:$I$88,5,0)</f>
        <v>66.092175953018184</v>
      </c>
      <c r="BF22" s="14">
        <f t="shared" si="45"/>
        <v>18.699786554703834</v>
      </c>
      <c r="BG22" s="22">
        <f t="shared" si="9"/>
        <v>147.67933470094917</v>
      </c>
      <c r="BH22" s="62">
        <f t="shared" si="10"/>
        <v>427.568223589838</v>
      </c>
      <c r="BI22" s="62">
        <f ca="1">AVERAGE(OFFSET($BH$3,0,0,'Données projet'!$E$11+1,1))-AVERAGE(OFFSET($H$3,0,0,'Données projet'!$E$11+1,1))</f>
        <v>348.65374983303883</v>
      </c>
      <c r="BJ22" s="62">
        <f t="shared" si="11"/>
        <v>312.05848669315151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13.760000000000002</v>
      </c>
      <c r="BY22" s="13">
        <f>IF(A22&lt;'Données projet'!$A$114,$BV$205^A22,IF(A22='Données projet'!$A$114,'Données projet'!$B$114,BY21+BX22-CG21))</f>
        <v>119.54000000000002</v>
      </c>
      <c r="BZ22" s="14">
        <f>BY22*VLOOKUP('Données projet'!$B$12,Paramètres!$A$1:$I$88,3,0)*VLOOKUP('Données projet'!$B$12,Paramètres!$A$1:$I$88,5,0)</f>
        <v>87.64672800000001</v>
      </c>
      <c r="CA22" s="14">
        <f t="shared" si="46"/>
        <v>23.996800240409819</v>
      </c>
      <c r="CB22" s="22">
        <f t="shared" si="13"/>
        <v>194.44581168538045</v>
      </c>
      <c r="CC22" s="62">
        <f t="shared" si="14"/>
        <v>474.33470057426928</v>
      </c>
      <c r="CD22" s="62">
        <f ca="1">AVERAGE(OFFSET($CC$3,0,0,'Données projet'!$E$12+1,1))-AVERAGE(OFFSET($H$3,0,0,'Données projet'!$E$12+1,1))</f>
        <v>264.06656596707364</v>
      </c>
      <c r="CE22" s="62">
        <f t="shared" si="15"/>
        <v>315.34415130230195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14.799999999999997</v>
      </c>
      <c r="CT22" s="13">
        <f>IF(A22&lt;'Données projet'!$A$140,$CQ$205^A22,IF(A22='Données projet'!$A$140,'Données projet'!$B$140,CT21+CS22-DB21))</f>
        <v>115.39999999999998</v>
      </c>
      <c r="CU22" s="18">
        <f>CT22*VLOOKUP('Données projet'!$B$13,Paramètres!$A$1:$I$88,3,0)*VLOOKUP('Données projet'!$B$13,Paramètres!$A$1:$I$88,5,0)</f>
        <v>69.009199999999993</v>
      </c>
      <c r="CV22" s="14">
        <f t="shared" si="47"/>
        <v>19.427203244108959</v>
      </c>
      <c r="CW22" s="22">
        <f t="shared" si="17"/>
        <v>154.02673565015644</v>
      </c>
      <c r="CX22" s="62">
        <f t="shared" si="18"/>
        <v>433.91562453904533</v>
      </c>
      <c r="CY22" s="62">
        <f ca="1">AVERAGE(OFFSET($CX$3,0,0,'Données projet'!$E$13+1,1))-AVERAGE(OFFSET($H$3,0,0,'Données projet'!$E$13+1,1))</f>
        <v>162.29089122912319</v>
      </c>
      <c r="CZ22" s="62">
        <f t="shared" si="19"/>
        <v>253.15422514195427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3.0865784662869</v>
      </c>
      <c r="DI22" s="24">
        <f t="shared" si="20"/>
        <v>3.0865784662869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13.760000000000002</v>
      </c>
      <c r="DO22" s="13">
        <f>IF(A22&lt;'Données projet'!$A$166,$DL$205^A22,IF(A22='Données projet'!$A$166,'Données projet'!$B$166,DO21+DN22-DW21))</f>
        <v>119.54000000000002</v>
      </c>
      <c r="DP22" s="18">
        <f>DO22*VLOOKUP('Données projet'!$B$14,Paramètres!$A$1:$I$88,3,0)*VLOOKUP('Données projet'!$B$14,Paramètres!$A$1:$I$88,5,0)</f>
        <v>95.106024000000019</v>
      </c>
      <c r="DQ22" s="14">
        <f t="shared" si="48"/>
        <v>25.792692267172022</v>
      </c>
      <c r="DR22" s="22">
        <f t="shared" si="21"/>
        <v>210.56526416532461</v>
      </c>
      <c r="DS22" s="62">
        <f t="shared" si="22"/>
        <v>490.45415305421346</v>
      </c>
      <c r="DT22" s="62">
        <f ca="1">AVERAGE(OFFSET($DS$3,0,0,'Données projet'!$E$14+1,1))-AVERAGE(OFFSET($H$3,0,0,'Données projet'!$E$14+1,1))</f>
        <v>290.20755061064017</v>
      </c>
      <c r="DU22" s="62">
        <f t="shared" si="23"/>
        <v>343.54750327717181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25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4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28</v>
      </c>
      <c r="L23" s="13">
        <f>VLOOKUP(A23,'Données projet'!$A$35:$I$55,9,0)</f>
        <v>1.4</v>
      </c>
      <c r="M23" s="13">
        <f t="array" ref="M23">INDEX(L:L,MIN(IF(ISNUMBER(L23:L219),ROW(L23:L219),"")))</f>
        <v>1.4</v>
      </c>
      <c r="N23" s="14">
        <f>IF(A23&lt;'Données projet'!$A$36,$K$205^A23,IF(A23='Données projet'!$A$36,'Données projet'!$B$36,N22+M23-V22))</f>
        <v>28</v>
      </c>
      <c r="O23" s="14">
        <f>N23*VLOOKUP('Données projet'!$B$9,Paramètres!$A$1:$I$88,3,0)*VLOOKUP('Données projet'!$B$9,Paramètres!$A$1:$I$88,5,0)</f>
        <v>13.104000000000001</v>
      </c>
      <c r="P23" s="14">
        <f t="shared" si="43"/>
        <v>4.4760006109979793</v>
      </c>
      <c r="Q23" s="22">
        <f t="shared" si="2"/>
        <v>30.618501064154817</v>
      </c>
      <c r="R23" s="62">
        <f t="shared" si="0"/>
        <v>311.72961217526597</v>
      </c>
      <c r="S23" s="62">
        <f ca="1">AVERAGE(OFFSET($R$3,0,0,'Données projet'!$E$9+1,1))-AVERAGE(OFFSET($H$3,0,0,'Données projet'!$E$9+1,1))</f>
        <v>300.03481708703549</v>
      </c>
      <c r="T23" s="62">
        <f t="shared" si="3"/>
        <v>102.6350860969182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24.333333333333332</v>
      </c>
      <c r="AI23" s="14">
        <f>IF(A23&lt;'Données projet'!$A$62,$AF$205^A23,IF(A23='Données projet'!$A$62,'Données projet'!$B$62,AI22+AH23-AQ22))</f>
        <v>201.66666666666669</v>
      </c>
      <c r="AJ23" s="14">
        <f>AI23*VLOOKUP('Données projet'!$B$10,Paramètres!$A$1:$I$88,3,0)*VLOOKUP('Données projet'!$B$10,Paramètres!$A$1:$I$88,5,0)</f>
        <v>112.73166666666667</v>
      </c>
      <c r="AK23" s="14">
        <f t="shared" si="44"/>
        <v>29.973664832526055</v>
      </c>
      <c r="AL23" s="22">
        <f t="shared" si="5"/>
        <v>248.54511902776062</v>
      </c>
      <c r="AM23" s="62">
        <f t="shared" si="6"/>
        <v>529.65623013887171</v>
      </c>
      <c r="AN23" s="62">
        <f ca="1">AVERAGE(OFFSET($AM$3,0,0,'Données projet'!$E$10+1,1))-AVERAGE(OFFSET($H$3,0,0,'Données projet'!$E$10+1,1))</f>
        <v>328.27336939084597</v>
      </c>
      <c r="AO23" s="62">
        <f t="shared" si="7"/>
        <v>448.79354389108755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8.3456842650675824</v>
      </c>
      <c r="AX23" s="23">
        <f t="shared" si="8"/>
        <v>8.3456842650675824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</v>
      </c>
      <c r="BB23" s="13">
        <f>VLOOKUP(A23,'Données projet'!$A$87:$I$107,9,0)</f>
        <v>4.75</v>
      </c>
      <c r="BC23" s="13">
        <f t="array" ref="BC23">INDEX(BB:BB,MIN(IF(ISNUMBER(BB23:BB219),ROW(BB23:BB219),"")))</f>
        <v>4.75</v>
      </c>
      <c r="BD23" s="13">
        <f>IF(A23&lt;'Données projet'!$A$88,$BA$205^A23,IF(A23='Données projet'!$A$88,'Données projet'!$B$88,BD22+BC23-BL22))</f>
        <v>95</v>
      </c>
      <c r="BE23" s="14">
        <f>BD23*VLOOKUP('Données projet'!$B$11,Paramètres!$A$1:$I$88,3,0)*VLOOKUP('Données projet'!$B$11,Paramètres!$A$1:$I$88,5,0)</f>
        <v>82.992000000000004</v>
      </c>
      <c r="BF23" s="14">
        <f t="shared" si="45"/>
        <v>22.867173045817324</v>
      </c>
      <c r="BG23" s="22">
        <f t="shared" si="9"/>
        <v>184.37139305479852</v>
      </c>
      <c r="BH23" s="62">
        <f t="shared" si="10"/>
        <v>465.48250416590963</v>
      </c>
      <c r="BI23" s="62">
        <f ca="1">AVERAGE(OFFSET($BH$3,0,0,'Données projet'!$E$11+1,1))-AVERAGE(OFFSET($H$3,0,0,'Données projet'!$E$11+1,1))</f>
        <v>348.65374983303883</v>
      </c>
      <c r="BJ23" s="62">
        <f t="shared" si="11"/>
        <v>312.05848669315151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33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133.30000000000001</v>
      </c>
      <c r="BW23" s="13">
        <f>VLOOKUP(A23,'Données projet'!$A$113:$I$133,9,0)</f>
        <v>13.760000000000002</v>
      </c>
      <c r="BX23" s="13">
        <f t="array" ref="BX23">INDEX(BW:BW,MIN(IF(ISNUMBER(BW23:BW219),ROW(BW23:BW219),"")))</f>
        <v>13.760000000000002</v>
      </c>
      <c r="BY23" s="13">
        <f>IF(A23&lt;'Données projet'!$A$114,$BV$205^A23,IF(A23='Données projet'!$A$114,'Données projet'!$B$114,BY22+BX23-CG22))</f>
        <v>133.30000000000001</v>
      </c>
      <c r="BZ23" s="14">
        <f>BY23*VLOOKUP('Données projet'!$B$12,Paramètres!$A$1:$I$88,3,0)*VLOOKUP('Données projet'!$B$12,Paramètres!$A$1:$I$88,5,0)</f>
        <v>97.735560000000007</v>
      </c>
      <c r="CA23" s="14">
        <f t="shared" si="46"/>
        <v>26.421808908404628</v>
      </c>
      <c r="CB23" s="22">
        <f t="shared" si="13"/>
        <v>216.24075084880474</v>
      </c>
      <c r="CC23" s="62">
        <f t="shared" si="14"/>
        <v>497.35186195991588</v>
      </c>
      <c r="CD23" s="62">
        <f ca="1">AVERAGE(OFFSET($CC$3,0,0,'Données projet'!$E$12+1,1))-AVERAGE(OFFSET($H$3,0,0,'Données projet'!$E$12+1,1))</f>
        <v>264.06656596707364</v>
      </c>
      <c r="CE23" s="62">
        <f t="shared" si="15"/>
        <v>315.34415130230195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66.5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130.19999999999999</v>
      </c>
      <c r="CR23" s="13">
        <f>VLOOKUP(A23,'Données projet'!$A$139:$I$159,9,0)</f>
        <v>14.799999999999997</v>
      </c>
      <c r="CS23" s="13">
        <f t="array" ref="CS23">INDEX(CR:CR,MIN(IF(ISNUMBER(CR23:CR219),ROW(CR23:CR219),"")))</f>
        <v>14.799999999999997</v>
      </c>
      <c r="CT23" s="13">
        <f>IF(A23&lt;'Données projet'!$A$140,$CQ$205^A23,IF(A23='Données projet'!$A$140,'Données projet'!$B$140,CT22+CS23-DB22))</f>
        <v>130.19999999999999</v>
      </c>
      <c r="CU23" s="18">
        <f>CT23*VLOOKUP('Données projet'!$B$13,Paramètres!$A$1:$I$88,3,0)*VLOOKUP('Données projet'!$B$13,Paramètres!$A$1:$I$88,5,0)</f>
        <v>77.8596</v>
      </c>
      <c r="CV23" s="14">
        <f t="shared" si="47"/>
        <v>21.613022058435771</v>
      </c>
      <c r="CW23" s="22">
        <f t="shared" si="17"/>
        <v>173.24815008510896</v>
      </c>
      <c r="CX23" s="62">
        <f t="shared" si="18"/>
        <v>454.35926119622013</v>
      </c>
      <c r="CY23" s="62">
        <f ca="1">AVERAGE(OFFSET($CX$3,0,0,'Données projet'!$E$13+1,1))-AVERAGE(OFFSET($H$3,0,0,'Données projet'!$E$13+1,1))</f>
        <v>162.29089122912319</v>
      </c>
      <c r="CZ23" s="62">
        <f t="shared" si="19"/>
        <v>253.15422514195427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34.1</v>
      </c>
      <c r="DC23" s="17">
        <f>IF(ISNA(VLOOKUP(A23,'Données projet'!$A$139:$I$159,5,0)),0%,VLOOKUP(A23,'Données projet'!$A$139:$I$159,5,0)*VLOOKUP('Données projet'!$B$13,Paramètres!$A$1:$I$88,7,0))</f>
        <v>0.1125</v>
      </c>
      <c r="DD23" s="17">
        <f>IF(ISNA(VLOOKUP(A23,'Données projet'!$A$139:$I$159,6,0)),0%,VLOOKUP(A23,'Données projet'!$A$139:$I$159,6,0)*VLOOKUP('Données projet'!$B$13,Paramètres!$A$1:$I$88,7,0))</f>
        <v>0.1575</v>
      </c>
      <c r="DE23" s="17">
        <f>IF(ISNA(VLOOKUP(A23,'Données projet'!$A$139:$I$159,7,0)),0%,VLOOKUP(A23,'Données projet'!$A$139:$I$159,7,0))</f>
        <v>0.4</v>
      </c>
      <c r="DF23" s="23">
        <f>EXP(-LN(2)/35)*DF22+(1-EXP(-LN(2)/35))/(LN(2)/35)*DB23*DC23*VLOOKUP('Données projet'!$B$9,Paramètres!$A$1:$I$88,3,0)*0.475*44/12</f>
        <v>2.38166739354021</v>
      </c>
      <c r="DG23" s="23">
        <f>EXP(-LN(2)/25)*DG22+(1-EXP(-LN(2)/25))/(LN(2)/25)*Calculateur!DB23*Calculateur!DD23*VLOOKUP('Données projet'!$B$9,Paramètres!$A$1:$I$88,3,0)*0.475*44/12</f>
        <v>3.3212058061355871</v>
      </c>
      <c r="DH23" s="23">
        <f>EXP(-LN(2)/2)*DH22+(1-EXP(-LN(2)/2))/(LN(2)/2)*DB23*DE23*VLOOKUP('Données projet'!$B$9,Paramètres!$A$1:$I$88,3,0)*0.475*44/12</f>
        <v>9.410168080081986</v>
      </c>
      <c r="DI23" s="24">
        <f t="shared" si="20"/>
        <v>15.113041279757784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133.30000000000001</v>
      </c>
      <c r="DM23" s="13">
        <f>VLOOKUP(A23,'Données projet'!$A$165:$I$185,9,0)</f>
        <v>13.760000000000002</v>
      </c>
      <c r="DN23" s="13">
        <f t="array" ref="DN23">INDEX(DM:DM,MIN(IF(ISNUMBER(DM23:DM219),ROW(DM23:DM219),"")))</f>
        <v>13.760000000000002</v>
      </c>
      <c r="DO23" s="13">
        <f>IF(A23&lt;'Données projet'!$A$166,$DL$205^A23,IF(A23='Données projet'!$A$166,'Données projet'!$B$166,DO22+DN23-DW22))</f>
        <v>133.30000000000001</v>
      </c>
      <c r="DP23" s="18">
        <f>DO23*VLOOKUP('Données projet'!$B$14,Paramètres!$A$1:$I$88,3,0)*VLOOKUP('Données projet'!$B$14,Paramètres!$A$1:$I$88,5,0)</f>
        <v>106.05348000000001</v>
      </c>
      <c r="DQ23" s="14">
        <f t="shared" si="48"/>
        <v>28.39918570347135</v>
      </c>
      <c r="DR23" s="22">
        <f t="shared" si="21"/>
        <v>234.1717261002126</v>
      </c>
      <c r="DS23" s="62">
        <f t="shared" si="22"/>
        <v>515.28283721132379</v>
      </c>
      <c r="DT23" s="62">
        <f ca="1">AVERAGE(OFFSET($DS$3,0,0,'Données projet'!$E$14+1,1))-AVERAGE(OFFSET($H$3,0,0,'Données projet'!$E$14+1,1))</f>
        <v>290.20755061064017</v>
      </c>
      <c r="DU23" s="62">
        <f t="shared" si="23"/>
        <v>343.54750327717181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66.5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25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4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9.3000000000000007</v>
      </c>
      <c r="N24" s="14">
        <f>IF(A24&lt;'Données projet'!$A$36,$K$205^A24,IF(A24='Données projet'!$A$36,'Données projet'!$B$36,N23+M24-V23))</f>
        <v>37.299999999999997</v>
      </c>
      <c r="O24" s="14">
        <f>N24*VLOOKUP('Données projet'!$B$9,Paramètres!$A$1:$I$88,3,0)*VLOOKUP('Données projet'!$B$9,Paramètres!$A$1:$I$88,5,0)</f>
        <v>17.456399999999999</v>
      </c>
      <c r="P24" s="14">
        <f t="shared" si="43"/>
        <v>5.7669106730837063</v>
      </c>
      <c r="Q24" s="22">
        <f t="shared" si="2"/>
        <v>40.447266088954116</v>
      </c>
      <c r="R24" s="62">
        <f t="shared" si="0"/>
        <v>322.78059942228742</v>
      </c>
      <c r="S24" s="62">
        <f ca="1">AVERAGE(OFFSET($R$3,0,0,'Données projet'!$E$9+1,1))-AVERAGE(OFFSET($H$3,0,0,'Données projet'!$E$9+1,1))</f>
        <v>300.03481708703549</v>
      </c>
      <c r="T24" s="62">
        <f t="shared" si="3"/>
        <v>102.6350860969182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24.333333333333332</v>
      </c>
      <c r="AI24" s="14">
        <f>IF(A24&lt;'Données projet'!$A$62,$AF$205^A24,IF(A24='Données projet'!$A$62,'Données projet'!$B$62,AI23+AH24-AQ23))</f>
        <v>226.00000000000003</v>
      </c>
      <c r="AJ24" s="14">
        <f>AI24*VLOOKUP('Données projet'!$B$10,Paramètres!$A$1:$I$88,3,0)*VLOOKUP('Données projet'!$B$10,Paramètres!$A$1:$I$88,5,0)</f>
        <v>126.33400000000002</v>
      </c>
      <c r="AK24" s="14">
        <f t="shared" si="44"/>
        <v>33.147849254556341</v>
      </c>
      <c r="AL24" s="22">
        <f t="shared" si="5"/>
        <v>277.76422078501901</v>
      </c>
      <c r="AM24" s="62">
        <f t="shared" si="6"/>
        <v>560.09755411835226</v>
      </c>
      <c r="AN24" s="62">
        <f ca="1">AVERAGE(OFFSET($AM$3,0,0,'Données projet'!$E$10+1,1))-AVERAGE(OFFSET($H$3,0,0,'Données projet'!$E$10+1,1))</f>
        <v>328.27336939084597</v>
      </c>
      <c r="AO24" s="62">
        <f t="shared" si="7"/>
        <v>448.79354389108755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5.901289937471156</v>
      </c>
      <c r="AX24" s="23">
        <f t="shared" si="8"/>
        <v>5.901289937471156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11.6</v>
      </c>
      <c r="BD24" s="13">
        <f>IF(A24&lt;'Données projet'!$A$88,$BA$205^A24,IF(A24='Données projet'!$A$88,'Données projet'!$B$88,BD23+BC24-BL23))</f>
        <v>73.599999999999994</v>
      </c>
      <c r="BE24" s="14">
        <f>BD24*VLOOKUP('Données projet'!$B$11,Paramètres!$A$1:$I$88,3,0)*VLOOKUP('Données projet'!$B$11,Paramètres!$A$1:$I$88,5,0)</f>
        <v>64.296959999999999</v>
      </c>
      <c r="BF24" s="14">
        <f t="shared" si="45"/>
        <v>18.250263421888452</v>
      </c>
      <c r="BG24" s="22">
        <f t="shared" si="9"/>
        <v>143.76974745978904</v>
      </c>
      <c r="BH24" s="62">
        <f t="shared" si="10"/>
        <v>426.10308079312233</v>
      </c>
      <c r="BI24" s="62">
        <f ca="1">AVERAGE(OFFSET($BH$3,0,0,'Données projet'!$E$11+1,1))-AVERAGE(OFFSET($H$3,0,0,'Données projet'!$E$11+1,1))</f>
        <v>348.65374983303883</v>
      </c>
      <c r="BJ24" s="62">
        <f t="shared" si="11"/>
        <v>312.05848669315151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14.739999999999998</v>
      </c>
      <c r="BY24" s="13">
        <f>IF(A24&lt;'Données projet'!$A$114,$BV$205^A24,IF(A24='Données projet'!$A$114,'Données projet'!$B$114,BY23+BX24-CG23))</f>
        <v>81.54000000000002</v>
      </c>
      <c r="BZ24" s="14">
        <f>BY24*VLOOKUP('Données projet'!$B$12,Paramètres!$A$1:$I$88,3,0)*VLOOKUP('Données projet'!$B$12,Paramètres!$A$1:$I$88,5,0)</f>
        <v>59.785128000000007</v>
      </c>
      <c r="CA24" s="14">
        <f t="shared" si="46"/>
        <v>17.113931291149598</v>
      </c>
      <c r="CB24" s="22">
        <f t="shared" si="13"/>
        <v>133.93252826541888</v>
      </c>
      <c r="CC24" s="62">
        <f t="shared" si="14"/>
        <v>416.26586159875217</v>
      </c>
      <c r="CD24" s="62">
        <f ca="1">AVERAGE(OFFSET($CC$3,0,0,'Données projet'!$E$12+1,1))-AVERAGE(OFFSET($H$3,0,0,'Données projet'!$E$12+1,1))</f>
        <v>264.06656596707364</v>
      </c>
      <c r="CE24" s="62">
        <f t="shared" si="15"/>
        <v>315.34415130230195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16.399999999999999</v>
      </c>
      <c r="CT24" s="13">
        <f>IF(A24&lt;'Données projet'!$A$140,$CQ$205^A24,IF(A24='Données projet'!$A$140,'Données projet'!$B$140,CT23+CS24-DB23))</f>
        <v>112.5</v>
      </c>
      <c r="CU24" s="18">
        <f>CT24*VLOOKUP('Données projet'!$B$13,Paramètres!$A$1:$I$88,3,0)*VLOOKUP('Données projet'!$B$13,Paramètres!$A$1:$I$88,5,0)</f>
        <v>67.275000000000006</v>
      </c>
      <c r="CV24" s="14">
        <f t="shared" si="47"/>
        <v>18.995188159468469</v>
      </c>
      <c r="CW24" s="22">
        <f t="shared" si="17"/>
        <v>150.2539110444076</v>
      </c>
      <c r="CX24" s="62">
        <f t="shared" si="18"/>
        <v>432.58724437774094</v>
      </c>
      <c r="CY24" s="62">
        <f ca="1">AVERAGE(OFFSET($CX$3,0,0,'Données projet'!$E$13+1,1))-AVERAGE(OFFSET($H$3,0,0,'Données projet'!$E$13+1,1))</f>
        <v>162.29089122912319</v>
      </c>
      <c r="CZ24" s="62">
        <f t="shared" si="19"/>
        <v>253.15422514195427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2.3349643486265568</v>
      </c>
      <c r="DG24" s="23">
        <f>EXP(-LN(2)/25)*DG23+(1-EXP(-LN(2)/25))/(LN(2)/25)*Calculateur!DB24*Calculateur!DD24*VLOOKUP('Données projet'!$B$9,Paramètres!$A$1:$I$88,3,0)*0.475*44/12</f>
        <v>3.2303872587121867</v>
      </c>
      <c r="DH24" s="23">
        <f>EXP(-LN(2)/2)*DH23+(1-EXP(-LN(2)/2))/(LN(2)/2)*DB24*DE24*VLOOKUP('Données projet'!$B$9,Paramètres!$A$1:$I$88,3,0)*0.475*44/12</f>
        <v>6.6539936615311674</v>
      </c>
      <c r="DI24" s="24">
        <f t="shared" si="20"/>
        <v>12.219345268869912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14.739999999999998</v>
      </c>
      <c r="DO24" s="13">
        <f>IF(A24&lt;'Données projet'!$A$166,$DL$205^A24,IF(A24='Données projet'!$A$166,'Données projet'!$B$166,DO23+DN24-DW23))</f>
        <v>81.54000000000002</v>
      </c>
      <c r="DP24" s="18">
        <f>DO24*VLOOKUP('Données projet'!$B$14,Paramètres!$A$1:$I$88,3,0)*VLOOKUP('Données projet'!$B$14,Paramètres!$A$1:$I$88,5,0)</f>
        <v>64.873224000000022</v>
      </c>
      <c r="DQ24" s="14">
        <f t="shared" si="48"/>
        <v>18.39471758117234</v>
      </c>
      <c r="DR24" s="22">
        <f t="shared" si="21"/>
        <v>145.0249982538752</v>
      </c>
      <c r="DS24" s="62">
        <f t="shared" si="22"/>
        <v>427.35833158720851</v>
      </c>
      <c r="DT24" s="62">
        <f ca="1">AVERAGE(OFFSET($DS$3,0,0,'Données projet'!$E$14+1,1))-AVERAGE(OFFSET($H$3,0,0,'Données projet'!$E$14+1,1))</f>
        <v>290.20755061064017</v>
      </c>
      <c r="DU24" s="62">
        <f t="shared" si="23"/>
        <v>343.54750327717181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25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4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9.3000000000000007</v>
      </c>
      <c r="N25" s="14">
        <f>IF(A25&lt;'Données projet'!$A$36,$K$205^A25,IF(A25='Données projet'!$A$36,'Données projet'!$B$36,N24+M25-V24))</f>
        <v>46.599999999999994</v>
      </c>
      <c r="O25" s="14">
        <f>N25*VLOOKUP('Données projet'!$B$9,Paramètres!$A$1:$I$88,3,0)*VLOOKUP('Données projet'!$B$9,Paramètres!$A$1:$I$88,5,0)</f>
        <v>21.808799999999994</v>
      </c>
      <c r="P25" s="14">
        <f t="shared" si="43"/>
        <v>7.0204846906618394</v>
      </c>
      <c r="Q25" s="22">
        <f t="shared" si="2"/>
        <v>50.211004169569357</v>
      </c>
      <c r="R25" s="62">
        <f t="shared" si="0"/>
        <v>333.76655972512492</v>
      </c>
      <c r="S25" s="62">
        <f ca="1">AVERAGE(OFFSET($R$3,0,0,'Données projet'!$E$9+1,1))-AVERAGE(OFFSET($H$3,0,0,'Données projet'!$E$9+1,1))</f>
        <v>300.03481708703549</v>
      </c>
      <c r="T25" s="62">
        <f t="shared" si="3"/>
        <v>102.6350860969182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24.333333333333332</v>
      </c>
      <c r="AI25" s="14">
        <f>IF(A25&lt;'Données projet'!$A$62,$AF$205^A25,IF(A25='Données projet'!$A$62,'Données projet'!$B$62,AI24+AH25-AQ24))</f>
        <v>250.33333333333337</v>
      </c>
      <c r="AJ25" s="14">
        <f>AI25*VLOOKUP('Données projet'!$B$10,Paramètres!$A$1:$I$88,3,0)*VLOOKUP('Données projet'!$B$10,Paramètres!$A$1:$I$88,5,0)</f>
        <v>139.93633333333335</v>
      </c>
      <c r="AK25" s="14">
        <f t="shared" si="44"/>
        <v>36.282419969619092</v>
      </c>
      <c r="AL25" s="22">
        <f t="shared" si="5"/>
        <v>306.91432866930882</v>
      </c>
      <c r="AM25" s="62">
        <f t="shared" si="6"/>
        <v>590.46988422486436</v>
      </c>
      <c r="AN25" s="62">
        <f ca="1">AVERAGE(OFFSET($AM$3,0,0,'Données projet'!$E$10+1,1))-AVERAGE(OFFSET($H$3,0,0,'Données projet'!$E$10+1,1))</f>
        <v>328.27336939084597</v>
      </c>
      <c r="AO25" s="62">
        <f t="shared" si="7"/>
        <v>448.79354389108755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4.1728421325337921</v>
      </c>
      <c r="AX25" s="23">
        <f t="shared" si="8"/>
        <v>4.1728421325337921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11.6</v>
      </c>
      <c r="BD25" s="13">
        <f>IF(A25&lt;'Données projet'!$A$88,$BA$205^A25,IF(A25='Données projet'!$A$88,'Données projet'!$B$88,BD24+BC25-BL24))</f>
        <v>85.199999999999989</v>
      </c>
      <c r="BE25" s="14">
        <f>BD25*VLOOKUP('Données projet'!$B$11,Paramètres!$A$1:$I$88,3,0)*VLOOKUP('Données projet'!$B$11,Paramètres!$A$1:$I$88,5,0)</f>
        <v>74.430719999999994</v>
      </c>
      <c r="BF25" s="14">
        <f t="shared" si="45"/>
        <v>20.76980057385482</v>
      </c>
      <c r="BG25" s="22">
        <f t="shared" si="9"/>
        <v>165.80757333279712</v>
      </c>
      <c r="BH25" s="62">
        <f t="shared" si="10"/>
        <v>449.36312888835266</v>
      </c>
      <c r="BI25" s="62">
        <f ca="1">AVERAGE(OFFSET($BH$3,0,0,'Données projet'!$E$11+1,1))-AVERAGE(OFFSET($H$3,0,0,'Données projet'!$E$11+1,1))</f>
        <v>348.65374983303883</v>
      </c>
      <c r="BJ25" s="62">
        <f t="shared" si="11"/>
        <v>312.05848669315151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14.739999999999998</v>
      </c>
      <c r="BY25" s="13">
        <f>IF(A25&lt;'Données projet'!$A$114,$BV$205^A25,IF(A25='Données projet'!$A$114,'Données projet'!$B$114,BY24+BX25-CG24))</f>
        <v>96.280000000000015</v>
      </c>
      <c r="BZ25" s="14">
        <f>BY25*VLOOKUP('Données projet'!$B$12,Paramètres!$A$1:$I$88,3,0)*VLOOKUP('Données projet'!$B$12,Paramètres!$A$1:$I$88,5,0)</f>
        <v>70.592496000000011</v>
      </c>
      <c r="CA25" s="14">
        <f t="shared" si="46"/>
        <v>19.82052295498838</v>
      </c>
      <c r="CB25" s="22">
        <f t="shared" si="13"/>
        <v>157.46934134660478</v>
      </c>
      <c r="CC25" s="62">
        <f t="shared" si="14"/>
        <v>441.02489690216032</v>
      </c>
      <c r="CD25" s="62">
        <f ca="1">AVERAGE(OFFSET($CC$3,0,0,'Données projet'!$E$12+1,1))-AVERAGE(OFFSET($H$3,0,0,'Données projet'!$E$12+1,1))</f>
        <v>264.06656596707364</v>
      </c>
      <c r="CE25" s="62">
        <f t="shared" si="15"/>
        <v>315.34415130230195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16.399999999999999</v>
      </c>
      <c r="CT25" s="13">
        <f>IF(A25&lt;'Données projet'!$A$140,$CQ$205^A25,IF(A25='Données projet'!$A$140,'Données projet'!$B$140,CT24+CS25-DB24))</f>
        <v>128.9</v>
      </c>
      <c r="CU25" s="18">
        <f>CT25*VLOOKUP('Données projet'!$B$13,Paramètres!$A$1:$I$88,3,0)*VLOOKUP('Données projet'!$B$13,Paramètres!$A$1:$I$88,5,0)</f>
        <v>77.082200000000014</v>
      </c>
      <c r="CV25" s="14">
        <f t="shared" si="47"/>
        <v>21.422231529525643</v>
      </c>
      <c r="CW25" s="22">
        <f t="shared" si="17"/>
        <v>171.56188491392382</v>
      </c>
      <c r="CX25" s="62">
        <f t="shared" si="18"/>
        <v>455.11744046947933</v>
      </c>
      <c r="CY25" s="62">
        <f ca="1">AVERAGE(OFFSET($CX$3,0,0,'Données projet'!$E$13+1,1))-AVERAGE(OFFSET($H$3,0,0,'Données projet'!$E$13+1,1))</f>
        <v>162.29089122912319</v>
      </c>
      <c r="CZ25" s="62">
        <f t="shared" si="19"/>
        <v>253.15422514195427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2.289177121937616</v>
      </c>
      <c r="DG25" s="23">
        <f>EXP(-LN(2)/25)*DG24+(1-EXP(-LN(2)/25))/(LN(2)/25)*Calculateur!DB25*Calculateur!DD25*VLOOKUP('Données projet'!$B$9,Paramètres!$A$1:$I$88,3,0)*0.475*44/12</f>
        <v>3.142052149244019</v>
      </c>
      <c r="DH25" s="23">
        <f>EXP(-LN(2)/2)*DH24+(1-EXP(-LN(2)/2))/(LN(2)/2)*DB25*DE25*VLOOKUP('Données projet'!$B$9,Paramètres!$A$1:$I$88,3,0)*0.475*44/12</f>
        <v>4.7050840400409939</v>
      </c>
      <c r="DI25" s="24">
        <f t="shared" si="20"/>
        <v>10.136313311222629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14.739999999999998</v>
      </c>
      <c r="DO25" s="13">
        <f>IF(A25&lt;'Données projet'!$A$166,$DL$205^A25,IF(A25='Données projet'!$A$166,'Données projet'!$B$166,DO24+DN25-DW24))</f>
        <v>96.280000000000015</v>
      </c>
      <c r="DP25" s="18">
        <f>DO25*VLOOKUP('Données projet'!$B$14,Paramètres!$A$1:$I$88,3,0)*VLOOKUP('Données projet'!$B$14,Paramètres!$A$1:$I$88,5,0)</f>
        <v>76.600368000000017</v>
      </c>
      <c r="DQ25" s="14">
        <f t="shared" si="48"/>
        <v>21.30386735026233</v>
      </c>
      <c r="DR25" s="22">
        <f t="shared" si="21"/>
        <v>170.51654323504027</v>
      </c>
      <c r="DS25" s="62">
        <f t="shared" si="22"/>
        <v>454.07209879059582</v>
      </c>
      <c r="DT25" s="62">
        <f ca="1">AVERAGE(OFFSET($DS$3,0,0,'Données projet'!$E$14+1,1))-AVERAGE(OFFSET($H$3,0,0,'Données projet'!$E$14+1,1))</f>
        <v>290.20755061064017</v>
      </c>
      <c r="DU25" s="62">
        <f t="shared" si="23"/>
        <v>343.54750327717181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25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4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9.3000000000000007</v>
      </c>
      <c r="N26" s="14">
        <f>IF(A26&lt;'Données projet'!$A$36,$K$205^A26,IF(A26='Données projet'!$A$36,'Données projet'!$B$36,N25+M26-V25))</f>
        <v>55.899999999999991</v>
      </c>
      <c r="O26" s="14">
        <f>N26*VLOOKUP('Données projet'!$B$9,Paramètres!$A$1:$I$88,3,0)*VLOOKUP('Données projet'!$B$9,Paramètres!$A$1:$I$88,5,0)</f>
        <v>26.161199999999994</v>
      </c>
      <c r="P26" s="14">
        <f t="shared" si="43"/>
        <v>8.2450705120606234</v>
      </c>
      <c r="Q26" s="22">
        <f t="shared" si="2"/>
        <v>59.924254475172233</v>
      </c>
      <c r="R26" s="62">
        <f t="shared" si="0"/>
        <v>344.70203225295</v>
      </c>
      <c r="S26" s="62">
        <f ca="1">AVERAGE(OFFSET($R$3,0,0,'Données projet'!$E$9+1,1))-AVERAGE(OFFSET($H$3,0,0,'Données projet'!$E$9+1,1))</f>
        <v>300.03481708703549</v>
      </c>
      <c r="T26" s="62">
        <f t="shared" si="3"/>
        <v>102.6350860969182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24.333333333333332</v>
      </c>
      <c r="AI26" s="14">
        <f>IF(A26&lt;'Données projet'!$A$62,$AF$205^A26,IF(A26='Données projet'!$A$62,'Données projet'!$B$62,AI25+AH26-AQ25))</f>
        <v>274.66666666666669</v>
      </c>
      <c r="AJ26" s="14">
        <f>AI26*VLOOKUP('Données projet'!$B$10,Paramètres!$A$1:$I$88,3,0)*VLOOKUP('Données projet'!$B$10,Paramètres!$A$1:$I$88,5,0)</f>
        <v>153.53866666666667</v>
      </c>
      <c r="AK26" s="14">
        <f t="shared" si="44"/>
        <v>39.381665758867094</v>
      </c>
      <c r="AL26" s="22">
        <f t="shared" si="5"/>
        <v>336.00291230780459</v>
      </c>
      <c r="AM26" s="62">
        <f t="shared" si="6"/>
        <v>620.78069008558236</v>
      </c>
      <c r="AN26" s="62">
        <f ca="1">AVERAGE(OFFSET($AM$3,0,0,'Données projet'!$E$10+1,1))-AVERAGE(OFFSET($H$3,0,0,'Données projet'!$E$10+1,1))</f>
        <v>328.27336939084597</v>
      </c>
      <c r="AO26" s="62">
        <f t="shared" si="7"/>
        <v>448.79354389108755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2.9506449687355785</v>
      </c>
      <c r="AX26" s="23">
        <f t="shared" si="8"/>
        <v>2.9506449687355785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11.6</v>
      </c>
      <c r="BD26" s="13">
        <f>IF(A26&lt;'Données projet'!$A$88,$BA$205^A26,IF(A26='Données projet'!$A$88,'Données projet'!$B$88,BD25+BC26-BL25))</f>
        <v>96.799999999999983</v>
      </c>
      <c r="BE26" s="14">
        <f>BD26*VLOOKUP('Données projet'!$B$11,Paramètres!$A$1:$I$88,3,0)*VLOOKUP('Données projet'!$B$11,Paramètres!$A$1:$I$88,5,0)</f>
        <v>84.564480000000003</v>
      </c>
      <c r="BF26" s="14">
        <f t="shared" si="45"/>
        <v>23.249593625538633</v>
      </c>
      <c r="BG26" s="22">
        <f t="shared" si="9"/>
        <v>187.77617823114647</v>
      </c>
      <c r="BH26" s="62">
        <f t="shared" si="10"/>
        <v>472.55395600892427</v>
      </c>
      <c r="BI26" s="62">
        <f ca="1">AVERAGE(OFFSET($BH$3,0,0,'Données projet'!$E$11+1,1))-AVERAGE(OFFSET($H$3,0,0,'Données projet'!$E$11+1,1))</f>
        <v>348.65374983303883</v>
      </c>
      <c r="BJ26" s="62">
        <f t="shared" si="11"/>
        <v>312.05848669315151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14.739999999999998</v>
      </c>
      <c r="BY26" s="13">
        <f>IF(A26&lt;'Données projet'!$A$114,$BV$205^A26,IF(A26='Données projet'!$A$114,'Données projet'!$B$114,BY25+BX26-CG25))</f>
        <v>111.02000000000001</v>
      </c>
      <c r="BZ26" s="14">
        <f>BY26*VLOOKUP('Données projet'!$B$12,Paramètres!$A$1:$I$88,3,0)*VLOOKUP('Données projet'!$B$12,Paramètres!$A$1:$I$88,5,0)</f>
        <v>81.399864000000008</v>
      </c>
      <c r="CA26" s="14">
        <f t="shared" si="46"/>
        <v>22.479111830915393</v>
      </c>
      <c r="CB26" s="22">
        <f t="shared" si="13"/>
        <v>180.92254957217764</v>
      </c>
      <c r="CC26" s="62">
        <f t="shared" si="14"/>
        <v>465.70032734995539</v>
      </c>
      <c r="CD26" s="62">
        <f ca="1">AVERAGE(OFFSET($CC$3,0,0,'Données projet'!$E$12+1,1))-AVERAGE(OFFSET($H$3,0,0,'Données projet'!$E$12+1,1))</f>
        <v>264.06656596707364</v>
      </c>
      <c r="CE26" s="62">
        <f t="shared" si="15"/>
        <v>315.34415130230195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16.399999999999999</v>
      </c>
      <c r="CT26" s="13">
        <f>IF(A26&lt;'Données projet'!$A$140,$CQ$205^A26,IF(A26='Données projet'!$A$140,'Données projet'!$B$140,CT25+CS26-DB25))</f>
        <v>145.30000000000001</v>
      </c>
      <c r="CU26" s="18">
        <f>CT26*VLOOKUP('Données projet'!$B$13,Paramètres!$A$1:$I$88,3,0)*VLOOKUP('Données projet'!$B$13,Paramètres!$A$1:$I$88,5,0)</f>
        <v>86.889400000000009</v>
      </c>
      <c r="CV26" s="14">
        <f t="shared" si="47"/>
        <v>23.813494358284945</v>
      </c>
      <c r="CW26" s="22">
        <f t="shared" si="17"/>
        <v>192.80754100734626</v>
      </c>
      <c r="CX26" s="62">
        <f t="shared" si="18"/>
        <v>477.58531878512406</v>
      </c>
      <c r="CY26" s="62">
        <f ca="1">AVERAGE(OFFSET($CX$3,0,0,'Données projet'!$E$13+1,1))-AVERAGE(OFFSET($H$3,0,0,'Données projet'!$E$13+1,1))</f>
        <v>162.29089122912319</v>
      </c>
      <c r="CZ26" s="62">
        <f t="shared" si="19"/>
        <v>253.15422514195427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2.2442877548365945</v>
      </c>
      <c r="DG26" s="23">
        <f>EXP(-LN(2)/25)*DG25+(1-EXP(-LN(2)/25))/(LN(2)/25)*Calculateur!DB26*Calculateur!DD26*VLOOKUP('Données projet'!$B$9,Paramètres!$A$1:$I$88,3,0)*0.475*44/12</f>
        <v>3.0561325679896001</v>
      </c>
      <c r="DH26" s="23">
        <f>EXP(-LN(2)/2)*DH25+(1-EXP(-LN(2)/2))/(LN(2)/2)*DB26*DE26*VLOOKUP('Données projet'!$B$9,Paramètres!$A$1:$I$88,3,0)*0.475*44/12</f>
        <v>3.3269968307655842</v>
      </c>
      <c r="DI26" s="24">
        <f t="shared" si="20"/>
        <v>8.6274171535917787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14.739999999999998</v>
      </c>
      <c r="DO26" s="13">
        <f>IF(A26&lt;'Données projet'!$A$166,$DL$205^A26,IF(A26='Données projet'!$A$166,'Données projet'!$B$166,DO25+DN26-DW25))</f>
        <v>111.02000000000001</v>
      </c>
      <c r="DP26" s="18">
        <f>DO26*VLOOKUP('Données projet'!$B$14,Paramètres!$A$1:$I$88,3,0)*VLOOKUP('Données projet'!$B$14,Paramètres!$A$1:$I$88,5,0)</f>
        <v>88.327512000000013</v>
      </c>
      <c r="DQ26" s="14">
        <f t="shared" si="48"/>
        <v>24.161421859810599</v>
      </c>
      <c r="DR26" s="22">
        <f t="shared" si="21"/>
        <v>195.91822647250351</v>
      </c>
      <c r="DS26" s="62">
        <f t="shared" si="22"/>
        <v>480.69600425028125</v>
      </c>
      <c r="DT26" s="62">
        <f ca="1">AVERAGE(OFFSET($DS$3,0,0,'Données projet'!$E$14+1,1))-AVERAGE(OFFSET($H$3,0,0,'Données projet'!$E$14+1,1))</f>
        <v>290.20755061064017</v>
      </c>
      <c r="DU26" s="62">
        <f t="shared" si="23"/>
        <v>343.54750327717181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25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4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9.3000000000000007</v>
      </c>
      <c r="N27" s="14">
        <f>IF(A27&lt;'Données projet'!$A$36,$K$205^A27,IF(A27='Données projet'!$A$36,'Données projet'!$B$36,N26+M27-V26))</f>
        <v>65.199999999999989</v>
      </c>
      <c r="O27" s="14">
        <f>N27*VLOOKUP('Données projet'!$B$9,Paramètres!$A$1:$I$88,3,0)*VLOOKUP('Données projet'!$B$9,Paramètres!$A$1:$I$88,5,0)</f>
        <v>30.513599999999993</v>
      </c>
      <c r="P27" s="14">
        <f t="shared" si="43"/>
        <v>9.4460551368326566</v>
      </c>
      <c r="Q27" s="22">
        <f t="shared" si="2"/>
        <v>69.596399363316863</v>
      </c>
      <c r="R27" s="62">
        <f t="shared" si="0"/>
        <v>355.59639936331689</v>
      </c>
      <c r="S27" s="62">
        <f ca="1">AVERAGE(OFFSET($R$3,0,0,'Données projet'!$E$9+1,1))-AVERAGE(OFFSET($H$3,0,0,'Données projet'!$E$9+1,1))</f>
        <v>300.03481708703549</v>
      </c>
      <c r="T27" s="62">
        <f t="shared" si="3"/>
        <v>102.6350860969182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299</v>
      </c>
      <c r="AG27" s="13">
        <f>VLOOKUP(A27,'Données projet'!$A$61:$I$81,9,0)</f>
        <v>24.333333333333332</v>
      </c>
      <c r="AH27" s="13">
        <f t="array" ref="AH27">INDEX(AG:AG,MIN(IF(ISNUMBER(AG27:AG223),ROW(AG27:AG223),"")))</f>
        <v>24.333333333333332</v>
      </c>
      <c r="AI27" s="14">
        <f>IF(A27&lt;'Données projet'!$A$62,$AF$205^A27,IF(A27='Données projet'!$A$62,'Données projet'!$B$62,AI26+AH27-AQ26))</f>
        <v>299</v>
      </c>
      <c r="AJ27" s="14">
        <f>AI27*VLOOKUP('Données projet'!$B$10,Paramètres!$A$1:$I$88,3,0)*VLOOKUP('Données projet'!$B$10,Paramètres!$A$1:$I$88,5,0)</f>
        <v>167.14099999999999</v>
      </c>
      <c r="AK27" s="14">
        <f t="shared" si="44"/>
        <v>42.449071996340692</v>
      </c>
      <c r="AL27" s="22">
        <f t="shared" si="5"/>
        <v>365.03604206029331</v>
      </c>
      <c r="AM27" s="62">
        <f t="shared" si="6"/>
        <v>651.03604206029331</v>
      </c>
      <c r="AN27" s="62">
        <f ca="1">AVERAGE(OFFSET($AM$3,0,0,'Données projet'!$E$10+1,1))-AVERAGE(OFFSET($H$3,0,0,'Données projet'!$E$10+1,1))</f>
        <v>328.27336939084597</v>
      </c>
      <c r="AO27" s="62">
        <f t="shared" si="7"/>
        <v>448.79354389108755</v>
      </c>
      <c r="AP27" s="16">
        <f>IF(ISNA(VLOOKUP(A27,'Données projet'!$A$61:$I$81,3,0)),0,VLOOKUP(A27,'Données projet'!$A$61:$I$81,3,0))</f>
        <v>2</v>
      </c>
      <c r="AQ27" s="16">
        <f>IF(ISNA(VLOOKUP(A27,'Données projet'!$A$61:$I$81,4,0)),0,VLOOKUP(A27,'Données projet'!$A$61:$I$81,4,0))</f>
        <v>66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0.16500000000000001</v>
      </c>
      <c r="AT27" s="17">
        <f>IF(ISNA(VLOOKUP(A27,'Données projet'!$A$61:$I$81,7,0)),0%,VLOOKUP(A27,'Données projet'!$A$61:$I$81,7,0))</f>
        <v>0.4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6.7342421875560285</v>
      </c>
      <c r="AW27" s="23">
        <f>EXP(-LN(2)/2)*AW26+(1-EXP(-LN(2)/2))/(LN(2)/2)*AQ27*AT27*VLOOKUP('Données projet'!$B$9,Paramètres!$A$1:$I$88,3,0)*0.475*44/12</f>
        <v>16.075377548665887</v>
      </c>
      <c r="AX27" s="23">
        <f t="shared" si="8"/>
        <v>22.809619736221915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11.6</v>
      </c>
      <c r="BD27" s="13">
        <f>IF(A27&lt;'Données projet'!$A$88,$BA$205^A27,IF(A27='Données projet'!$A$88,'Données projet'!$B$88,BD26+BC27-BL26))</f>
        <v>108.39999999999998</v>
      </c>
      <c r="BE27" s="14">
        <f>BD27*VLOOKUP('Données projet'!$B$11,Paramètres!$A$1:$I$88,3,0)*VLOOKUP('Données projet'!$B$11,Paramètres!$A$1:$I$88,5,0)</f>
        <v>94.698239999999998</v>
      </c>
      <c r="BF27" s="14">
        <f t="shared" si="45"/>
        <v>25.69494985014671</v>
      </c>
      <c r="BG27" s="22">
        <f t="shared" si="9"/>
        <v>209.68480565567219</v>
      </c>
      <c r="BH27" s="62">
        <f t="shared" si="10"/>
        <v>495.68480565567222</v>
      </c>
      <c r="BI27" s="62">
        <f ca="1">AVERAGE(OFFSET($BH$3,0,0,'Données projet'!$E$11+1,1))-AVERAGE(OFFSET($H$3,0,0,'Données projet'!$E$11+1,1))</f>
        <v>348.65374983303883</v>
      </c>
      <c r="BJ27" s="62">
        <f t="shared" si="11"/>
        <v>312.05848669315151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14.739999999999998</v>
      </c>
      <c r="BY27" s="13">
        <f>IF(A27&lt;'Données projet'!$A$114,$BV$205^A27,IF(A27='Données projet'!$A$114,'Données projet'!$B$114,BY26+BX27-CG26))</f>
        <v>125.76</v>
      </c>
      <c r="BZ27" s="14">
        <f>BY27*VLOOKUP('Données projet'!$B$12,Paramètres!$A$1:$I$88,3,0)*VLOOKUP('Données projet'!$B$12,Paramètres!$A$1:$I$88,5,0)</f>
        <v>92.207232000000005</v>
      </c>
      <c r="CA27" s="14">
        <f t="shared" si="46"/>
        <v>25.096803228719384</v>
      </c>
      <c r="CB27" s="22">
        <f t="shared" si="13"/>
        <v>204.3045280233529</v>
      </c>
      <c r="CC27" s="62">
        <f t="shared" si="14"/>
        <v>490.30452802335287</v>
      </c>
      <c r="CD27" s="62">
        <f ca="1">AVERAGE(OFFSET($CC$3,0,0,'Données projet'!$E$12+1,1))-AVERAGE(OFFSET($H$3,0,0,'Données projet'!$E$12+1,1))</f>
        <v>264.06656596707364</v>
      </c>
      <c r="CE27" s="62">
        <f t="shared" si="15"/>
        <v>315.34415130230195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>
        <f>VLOOKUP(A27,'Données projet'!$A$139:$I$159,2,0)</f>
        <v>161.69999999999999</v>
      </c>
      <c r="CR27" s="13">
        <f>VLOOKUP(A27,'Données projet'!$A$139:$I$159,9,0)</f>
        <v>16.399999999999999</v>
      </c>
      <c r="CS27" s="13">
        <f t="array" ref="CS27">INDEX(CR:CR,MIN(IF(ISNUMBER(CR27:CR223),ROW(CR27:CR223),"")))</f>
        <v>16.399999999999999</v>
      </c>
      <c r="CT27" s="13">
        <f>IF(A27&lt;'Données projet'!$A$140,$CQ$205^A27,IF(A27='Données projet'!$A$140,'Données projet'!$B$140,CT26+CS27-DB26))</f>
        <v>161.70000000000002</v>
      </c>
      <c r="CU27" s="18">
        <f>CT27*VLOOKUP('Données projet'!$B$13,Paramètres!$A$1:$I$88,3,0)*VLOOKUP('Données projet'!$B$13,Paramètres!$A$1:$I$88,5,0)</f>
        <v>96.696600000000004</v>
      </c>
      <c r="CV27" s="14">
        <f t="shared" si="47"/>
        <v>26.173476069859898</v>
      </c>
      <c r="CW27" s="22">
        <f t="shared" si="17"/>
        <v>213.99871582167268</v>
      </c>
      <c r="CX27" s="62">
        <f t="shared" si="18"/>
        <v>499.9987158216727</v>
      </c>
      <c r="CY27" s="62">
        <f ca="1">AVERAGE(OFFSET($CX$3,0,0,'Données projet'!$E$13+1,1))-AVERAGE(OFFSET($H$3,0,0,'Données projet'!$E$13+1,1))</f>
        <v>162.29089122912319</v>
      </c>
      <c r="CZ27" s="62">
        <f t="shared" si="19"/>
        <v>253.15422514195427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2.2002786408446138</v>
      </c>
      <c r="DG27" s="23">
        <f>EXP(-LN(2)/25)*DG26+(1-EXP(-LN(2)/25))/(LN(2)/25)*Calculateur!DB27*Calculateur!DD27*VLOOKUP('Données projet'!$B$9,Paramètres!$A$1:$I$88,3,0)*0.475*44/12</f>
        <v>2.9725624622028977</v>
      </c>
      <c r="DH27" s="23">
        <f>EXP(-LN(2)/2)*DH26+(1-EXP(-LN(2)/2))/(LN(2)/2)*DB27*DE27*VLOOKUP('Données projet'!$B$9,Paramètres!$A$1:$I$88,3,0)*0.475*44/12</f>
        <v>2.3525420200204969</v>
      </c>
      <c r="DI27" s="24">
        <f t="shared" si="20"/>
        <v>7.5253831230680088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14.739999999999998</v>
      </c>
      <c r="DO27" s="13">
        <f>IF(A27&lt;'Données projet'!$A$166,$DL$205^A27,IF(A27='Données projet'!$A$166,'Données projet'!$B$166,DO26+DN27-DW26))</f>
        <v>125.76</v>
      </c>
      <c r="DP27" s="18">
        <f>DO27*VLOOKUP('Données projet'!$B$14,Paramètres!$A$1:$I$88,3,0)*VLOOKUP('Données projet'!$B$14,Paramètres!$A$1:$I$88,5,0)</f>
        <v>100.05465600000001</v>
      </c>
      <c r="DQ27" s="14">
        <f t="shared" si="48"/>
        <v>26.97501817255089</v>
      </c>
      <c r="DR27" s="22">
        <f t="shared" si="21"/>
        <v>221.24334918385946</v>
      </c>
      <c r="DS27" s="62">
        <f t="shared" si="22"/>
        <v>507.24334918385944</v>
      </c>
      <c r="DT27" s="62">
        <f ca="1">AVERAGE(OFFSET($DS$3,0,0,'Données projet'!$E$14+1,1))-AVERAGE(OFFSET($H$3,0,0,'Données projet'!$E$14+1,1))</f>
        <v>290.20755061064017</v>
      </c>
      <c r="DU27" s="62">
        <f t="shared" si="23"/>
        <v>343.54750327717181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25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4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9.3000000000000007</v>
      </c>
      <c r="N28" s="14">
        <f>IF(A28&lt;'Données projet'!$A$36,$K$205^A28,IF(A28='Données projet'!$A$36,'Données projet'!$B$36,N27+M28-V27))</f>
        <v>74.499999999999986</v>
      </c>
      <c r="O28" s="14">
        <f>N28*VLOOKUP('Données projet'!$B$9,Paramètres!$A$1:$I$88,3,0)*VLOOKUP('Données projet'!$B$9,Paramètres!$A$1:$I$88,5,0)</f>
        <v>34.865999999999993</v>
      </c>
      <c r="P28" s="14">
        <f t="shared" si="43"/>
        <v>10.627193376648185</v>
      </c>
      <c r="Q28" s="22">
        <f t="shared" si="2"/>
        <v>79.233978464328899</v>
      </c>
      <c r="R28" s="62">
        <f t="shared" si="0"/>
        <v>366.45620068655114</v>
      </c>
      <c r="S28" s="62">
        <f ca="1">AVERAGE(OFFSET($R$3,0,0,'Données projet'!$E$9+1,1))-AVERAGE(OFFSET($H$3,0,0,'Données projet'!$E$9+1,1))</f>
        <v>300.03481708703549</v>
      </c>
      <c r="T28" s="62">
        <f t="shared" si="3"/>
        <v>102.6350860969182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26.166666666666668</v>
      </c>
      <c r="AI28" s="14">
        <f>IF(A28&lt;'Données projet'!$A$62,$AF$205^A28,IF(A28='Données projet'!$A$62,'Données projet'!$B$62,AI27+AH28-AQ27))</f>
        <v>259.16666666666669</v>
      </c>
      <c r="AJ28" s="14">
        <f>AI28*VLOOKUP('Données projet'!$B$10,Paramètres!$A$1:$I$88,3,0)*VLOOKUP('Données projet'!$B$10,Paramètres!$A$1:$I$88,5,0)</f>
        <v>144.8741666666667</v>
      </c>
      <c r="AK28" s="14">
        <f t="shared" si="44"/>
        <v>37.411374888763902</v>
      </c>
      <c r="AL28" s="22">
        <f t="shared" si="5"/>
        <v>317.48065154237497</v>
      </c>
      <c r="AM28" s="62">
        <f t="shared" si="6"/>
        <v>604.70287376459714</v>
      </c>
      <c r="AN28" s="62">
        <f ca="1">AVERAGE(OFFSET($AM$3,0,0,'Données projet'!$E$10+1,1))-AVERAGE(OFFSET($H$3,0,0,'Données projet'!$E$10+1,1))</f>
        <v>328.27336939084597</v>
      </c>
      <c r="AO28" s="62">
        <f t="shared" si="7"/>
        <v>448.79354389108755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6.5500939807989038</v>
      </c>
      <c r="AW28" s="23">
        <f>EXP(-LN(2)/2)*AW27+(1-EXP(-LN(2)/2))/(LN(2)/2)*AQ28*AT28*VLOOKUP('Données projet'!$B$9,Paramètres!$A$1:$I$88,3,0)*0.475*44/12</f>
        <v>11.367008474795629</v>
      </c>
      <c r="AX28" s="23">
        <f t="shared" si="8"/>
        <v>17.917102455594531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120</v>
      </c>
      <c r="BB28" s="13">
        <f>VLOOKUP(A28,'Données projet'!$A$87:$I$107,9,0)</f>
        <v>11.6</v>
      </c>
      <c r="BC28" s="13">
        <f t="array" ref="BC28">INDEX(BB:BB,MIN(IF(ISNUMBER(BB28:BB224),ROW(BB28:BB224),"")))</f>
        <v>11.6</v>
      </c>
      <c r="BD28" s="13">
        <f>IF(A28&lt;'Données projet'!$A$88,$BA$205^A28,IF(A28='Données projet'!$A$88,'Données projet'!$B$88,BD27+BC28-BL27))</f>
        <v>119.99999999999997</v>
      </c>
      <c r="BE28" s="14">
        <f>BD28*VLOOKUP('Données projet'!$B$11,Paramètres!$A$1:$I$88,3,0)*VLOOKUP('Données projet'!$B$11,Paramètres!$A$1:$I$88,5,0)</f>
        <v>104.83199999999998</v>
      </c>
      <c r="BF28" s="14">
        <f t="shared" si="45"/>
        <v>28.109974371137692</v>
      </c>
      <c r="BG28" s="22">
        <f t="shared" si="9"/>
        <v>231.54060536306474</v>
      </c>
      <c r="BH28" s="62">
        <f t="shared" si="10"/>
        <v>518.76282758528691</v>
      </c>
      <c r="BI28" s="62">
        <f ca="1">AVERAGE(OFFSET($BH$3,0,0,'Données projet'!$E$11+1,1))-AVERAGE(OFFSET($H$3,0,0,'Données projet'!$E$11+1,1))</f>
        <v>348.65374983303883</v>
      </c>
      <c r="BJ28" s="62">
        <f t="shared" si="11"/>
        <v>312.05848669315151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140.5</v>
      </c>
      <c r="BW28" s="13">
        <f>VLOOKUP(A28,'Données projet'!$A$113:$I$133,9,0)</f>
        <v>14.739999999999998</v>
      </c>
      <c r="BX28" s="13">
        <f t="array" ref="BX28">INDEX(BW:BW,MIN(IF(ISNUMBER(BW28:BW224),ROW(BW28:BW224),"")))</f>
        <v>14.739999999999998</v>
      </c>
      <c r="BY28" s="13">
        <f>IF(A28&lt;'Données projet'!$A$114,$BV$205^A28,IF(A28='Données projet'!$A$114,'Données projet'!$B$114,BY27+BX28-CG27))</f>
        <v>140.5</v>
      </c>
      <c r="BZ28" s="14">
        <f>BY28*VLOOKUP('Données projet'!$B$12,Paramètres!$A$1:$I$88,3,0)*VLOOKUP('Données projet'!$B$12,Paramètres!$A$1:$I$88,5,0)</f>
        <v>103.0146</v>
      </c>
      <c r="CA28" s="14">
        <f t="shared" si="46"/>
        <v>27.678938285581953</v>
      </c>
      <c r="CB28" s="22">
        <f t="shared" si="13"/>
        <v>227.62457918072189</v>
      </c>
      <c r="CC28" s="62">
        <f t="shared" si="14"/>
        <v>514.84680140294415</v>
      </c>
      <c r="CD28" s="62">
        <f ca="1">AVERAGE(OFFSET($CC$3,0,0,'Données projet'!$E$12+1,1))-AVERAGE(OFFSET($H$3,0,0,'Données projet'!$E$12+1,1))</f>
        <v>264.06656596707364</v>
      </c>
      <c r="CE28" s="62">
        <f t="shared" si="15"/>
        <v>315.34415130230195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18.900000000000006</v>
      </c>
      <c r="CT28" s="13">
        <f>IF(A28&lt;'Données projet'!$A$140,$CQ$205^A28,IF(A28='Données projet'!$A$140,'Données projet'!$B$140,CT27+CS28-DB27))</f>
        <v>180.60000000000002</v>
      </c>
      <c r="CU28" s="18">
        <f>CT28*VLOOKUP('Données projet'!$B$13,Paramètres!$A$1:$I$88,3,0)*VLOOKUP('Données projet'!$B$13,Paramètres!$A$1:$I$88,5,0)</f>
        <v>107.99880000000002</v>
      </c>
      <c r="CV28" s="14">
        <f t="shared" si="47"/>
        <v>28.858983600701585</v>
      </c>
      <c r="CW28" s="22">
        <f t="shared" si="17"/>
        <v>238.36063977122194</v>
      </c>
      <c r="CX28" s="62">
        <f t="shared" si="18"/>
        <v>525.58286199344411</v>
      </c>
      <c r="CY28" s="62">
        <f ca="1">AVERAGE(OFFSET($CX$3,0,0,'Données projet'!$E$13+1,1))-AVERAGE(OFFSET($H$3,0,0,'Données projet'!$E$13+1,1))</f>
        <v>162.29089122912319</v>
      </c>
      <c r="CZ28" s="62">
        <f t="shared" si="19"/>
        <v>253.15422514195427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2.1571325187351067</v>
      </c>
      <c r="DG28" s="23">
        <f>EXP(-LN(2)/25)*DG27+(1-EXP(-LN(2)/25))/(LN(2)/25)*Calculateur!DB28*Calculateur!DD28*VLOOKUP('Données projet'!$B$9,Paramètres!$A$1:$I$88,3,0)*0.475*44/12</f>
        <v>2.8912775853536936</v>
      </c>
      <c r="DH28" s="23">
        <f>EXP(-LN(2)/2)*DH27+(1-EXP(-LN(2)/2))/(LN(2)/2)*DB28*DE28*VLOOKUP('Données projet'!$B$9,Paramètres!$A$1:$I$88,3,0)*0.475*44/12</f>
        <v>1.6634984153827921</v>
      </c>
      <c r="DI28" s="24">
        <f t="shared" si="20"/>
        <v>6.7119085194715922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140.5</v>
      </c>
      <c r="DM28" s="13">
        <f>VLOOKUP(A28,'Données projet'!$A$165:$I$185,9,0)</f>
        <v>14.739999999999998</v>
      </c>
      <c r="DN28" s="13">
        <f t="array" ref="DN28">INDEX(DM:DM,MIN(IF(ISNUMBER(DM28:DM224),ROW(DM28:DM224),"")))</f>
        <v>14.739999999999998</v>
      </c>
      <c r="DO28" s="13">
        <f>IF(A28&lt;'Données projet'!$A$166,$DL$205^A28,IF(A28='Données projet'!$A$166,'Données projet'!$B$166,DO27+DN28-DW27))</f>
        <v>140.5</v>
      </c>
      <c r="DP28" s="18">
        <f>DO28*VLOOKUP('Données projet'!$B$14,Paramètres!$A$1:$I$88,3,0)*VLOOKUP('Données projet'!$B$14,Paramètres!$A$1:$I$88,5,0)</f>
        <v>111.7818</v>
      </c>
      <c r="DQ28" s="14">
        <f t="shared" si="48"/>
        <v>29.750397150027219</v>
      </c>
      <c r="DR28" s="22">
        <f t="shared" si="21"/>
        <v>246.5019100362974</v>
      </c>
      <c r="DS28" s="62">
        <f t="shared" si="22"/>
        <v>533.7241322585196</v>
      </c>
      <c r="DT28" s="62">
        <f ca="1">AVERAGE(OFFSET($DS$3,0,0,'Données projet'!$E$14+1,1))-AVERAGE(OFFSET($H$3,0,0,'Données projet'!$E$14+1,1))</f>
        <v>290.20755061064017</v>
      </c>
      <c r="DU28" s="62">
        <f t="shared" si="23"/>
        <v>343.54750327717181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25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4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9.3000000000000007</v>
      </c>
      <c r="N29" s="14">
        <f>IF(A29&lt;'Données projet'!$A$36,$K$205^A29,IF(A29='Données projet'!$A$36,'Données projet'!$B$36,N28+M29-V28))</f>
        <v>83.799999999999983</v>
      </c>
      <c r="O29" s="14">
        <f>N29*VLOOKUP('Données projet'!$B$9,Paramètres!$A$1:$I$88,3,0)*VLOOKUP('Données projet'!$B$9,Paramètres!$A$1:$I$88,5,0)</f>
        <v>39.218399999999988</v>
      </c>
      <c r="P29" s="14">
        <f t="shared" si="43"/>
        <v>11.7912464178037</v>
      </c>
      <c r="Q29" s="22">
        <f t="shared" si="2"/>
        <v>88.841800844341421</v>
      </c>
      <c r="R29" s="62">
        <f t="shared" si="0"/>
        <v>377.28624528878589</v>
      </c>
      <c r="S29" s="62">
        <f ca="1">AVERAGE(OFFSET($R$3,0,0,'Données projet'!$E$9+1,1))-AVERAGE(OFFSET($H$3,0,0,'Données projet'!$E$9+1,1))</f>
        <v>300.03481708703549</v>
      </c>
      <c r="T29" s="62">
        <f t="shared" si="3"/>
        <v>102.6350860969182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26.166666666666668</v>
      </c>
      <c r="AI29" s="14">
        <f>IF(A29&lt;'Données projet'!$A$62,$AF$205^A29,IF(A29='Données projet'!$A$62,'Données projet'!$B$62,AI28+AH29-AQ28))</f>
        <v>285.33333333333337</v>
      </c>
      <c r="AJ29" s="14">
        <f>AI29*VLOOKUP('Données projet'!$B$10,Paramètres!$A$1:$I$88,3,0)*VLOOKUP('Données projet'!$B$10,Paramètres!$A$1:$I$88,5,0)</f>
        <v>159.50133333333335</v>
      </c>
      <c r="AK29" s="14">
        <f t="shared" si="44"/>
        <v>40.730019322422891</v>
      </c>
      <c r="AL29" s="22">
        <f t="shared" si="5"/>
        <v>348.73627254210874</v>
      </c>
      <c r="AM29" s="62">
        <f t="shared" si="6"/>
        <v>637.18071698655319</v>
      </c>
      <c r="AN29" s="62">
        <f ca="1">AVERAGE(OFFSET($AM$3,0,0,'Données projet'!$E$10+1,1))-AVERAGE(OFFSET($H$3,0,0,'Données projet'!$E$10+1,1))</f>
        <v>328.27336939084597</v>
      </c>
      <c r="AO29" s="62">
        <f t="shared" si="7"/>
        <v>448.79354389108755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6.3709813164394857</v>
      </c>
      <c r="AW29" s="23">
        <f>EXP(-LN(2)/2)*AW28+(1-EXP(-LN(2)/2))/(LN(2)/2)*AQ29*AT29*VLOOKUP('Données projet'!$B$9,Paramètres!$A$1:$I$88,3,0)*0.475*44/12</f>
        <v>8.0376887743329437</v>
      </c>
      <c r="AX29" s="23">
        <f t="shared" si="8"/>
        <v>14.408670090772429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11.2</v>
      </c>
      <c r="BD29" s="13">
        <f>IF(A29&lt;'Données projet'!$A$88,$BA$205^A29,IF(A29='Données projet'!$A$88,'Données projet'!$B$88,BD28+BC29-BL28))</f>
        <v>131.19999999999996</v>
      </c>
      <c r="BE29" s="14">
        <f>BD29*VLOOKUP('Données projet'!$B$11,Paramètres!$A$1:$I$88,3,0)*VLOOKUP('Données projet'!$B$11,Paramètres!$A$1:$I$88,5,0)</f>
        <v>114.61631999999997</v>
      </c>
      <c r="BF29" s="14">
        <f t="shared" si="45"/>
        <v>30.416009647934409</v>
      </c>
      <c r="BG29" s="22">
        <f t="shared" si="9"/>
        <v>252.59797413681906</v>
      </c>
      <c r="BH29" s="62">
        <f t="shared" si="10"/>
        <v>541.04241858126352</v>
      </c>
      <c r="BI29" s="62">
        <f ca="1">AVERAGE(OFFSET($BH$3,0,0,'Données projet'!$E$11+1,1))-AVERAGE(OFFSET($H$3,0,0,'Données projet'!$E$11+1,1))</f>
        <v>348.65374983303883</v>
      </c>
      <c r="BJ29" s="62">
        <f t="shared" si="11"/>
        <v>312.05848669315151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14.260000000000002</v>
      </c>
      <c r="BY29" s="13">
        <f>IF(A29&lt;'Données projet'!$A$114,$BV$205^A29,IF(A29='Données projet'!$A$114,'Données projet'!$B$114,BY28+BX29-CG28))</f>
        <v>154.76</v>
      </c>
      <c r="BZ29" s="14">
        <f>BY29*VLOOKUP('Données projet'!$B$12,Paramètres!$A$1:$I$88,3,0)*VLOOKUP('Données projet'!$B$12,Paramètres!$A$1:$I$88,5,0)</f>
        <v>113.47003199999999</v>
      </c>
      <c r="CA29" s="14">
        <f t="shared" si="46"/>
        <v>30.147067487856493</v>
      </c>
      <c r="CB29" s="22">
        <f t="shared" si="13"/>
        <v>250.13311494134999</v>
      </c>
      <c r="CC29" s="62">
        <f t="shared" si="14"/>
        <v>538.57755938579442</v>
      </c>
      <c r="CD29" s="62">
        <f ca="1">AVERAGE(OFFSET($CC$3,0,0,'Données projet'!$E$12+1,1))-AVERAGE(OFFSET($H$3,0,0,'Données projet'!$E$12+1,1))</f>
        <v>264.06656596707364</v>
      </c>
      <c r="CE29" s="62">
        <f t="shared" si="15"/>
        <v>315.34415130230195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18.900000000000006</v>
      </c>
      <c r="CT29" s="13">
        <f>IF(A29&lt;'Données projet'!$A$140,$CQ$205^A29,IF(A29='Données projet'!$A$140,'Données projet'!$B$140,CT28+CS29-DB28))</f>
        <v>199.50000000000003</v>
      </c>
      <c r="CU29" s="18">
        <f>CT29*VLOOKUP('Données projet'!$B$13,Paramètres!$A$1:$I$88,3,0)*VLOOKUP('Données projet'!$B$13,Paramètres!$A$1:$I$88,5,0)</f>
        <v>119.30100000000002</v>
      </c>
      <c r="CV29" s="14">
        <f t="shared" si="47"/>
        <v>31.51191363312137</v>
      </c>
      <c r="CW29" s="22">
        <f t="shared" si="17"/>
        <v>262.66582457768635</v>
      </c>
      <c r="CX29" s="62">
        <f t="shared" si="18"/>
        <v>551.11026902213075</v>
      </c>
      <c r="CY29" s="62">
        <f ca="1">AVERAGE(OFFSET($CX$3,0,0,'Données projet'!$E$13+1,1))-AVERAGE(OFFSET($H$3,0,0,'Données projet'!$E$13+1,1))</f>
        <v>162.29089122912319</v>
      </c>
      <c r="CZ29" s="62">
        <f t="shared" si="19"/>
        <v>253.15422514195427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2.114832465763631</v>
      </c>
      <c r="DG29" s="23">
        <f>EXP(-LN(2)/25)*DG28+(1-EXP(-LN(2)/25))/(LN(2)/25)*Calculateur!DB29*Calculateur!DD29*VLOOKUP('Données projet'!$B$9,Paramètres!$A$1:$I$88,3,0)*0.475*44/12</f>
        <v>2.8122154477365169</v>
      </c>
      <c r="DH29" s="23">
        <f>EXP(-LN(2)/2)*DH28+(1-EXP(-LN(2)/2))/(LN(2)/2)*DB29*DE29*VLOOKUP('Données projet'!$B$9,Paramètres!$A$1:$I$88,3,0)*0.475*44/12</f>
        <v>1.1762710100102485</v>
      </c>
      <c r="DI29" s="24">
        <f t="shared" si="20"/>
        <v>6.1033189235103968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14.260000000000002</v>
      </c>
      <c r="DO29" s="13">
        <f>IF(A29&lt;'Données projet'!$A$166,$DL$205^A29,IF(A29='Données projet'!$A$166,'Données projet'!$B$166,DO28+DN29-DW28))</f>
        <v>154.76</v>
      </c>
      <c r="DP29" s="18">
        <f>DO29*VLOOKUP('Données projet'!$B$14,Paramètres!$A$1:$I$88,3,0)*VLOOKUP('Données projet'!$B$14,Paramètres!$A$1:$I$88,5,0)</f>
        <v>123.127056</v>
      </c>
      <c r="DQ29" s="14">
        <f t="shared" si="48"/>
        <v>32.403238210173519</v>
      </c>
      <c r="DR29" s="22">
        <f t="shared" si="21"/>
        <v>270.88192908271884</v>
      </c>
      <c r="DS29" s="62">
        <f t="shared" si="22"/>
        <v>559.32637352716324</v>
      </c>
      <c r="DT29" s="62">
        <f ca="1">AVERAGE(OFFSET($DS$3,0,0,'Données projet'!$E$14+1,1))-AVERAGE(OFFSET($H$3,0,0,'Données projet'!$E$14+1,1))</f>
        <v>290.20755061064017</v>
      </c>
      <c r="DU29" s="62">
        <f t="shared" si="23"/>
        <v>343.54750327717181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25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4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9.3000000000000007</v>
      </c>
      <c r="N30" s="14">
        <f>IF(A30&lt;'Données projet'!$A$36,$K$205^A30,IF(A30='Données projet'!$A$36,'Données projet'!$B$36,N29+M30-V29))</f>
        <v>93.09999999999998</v>
      </c>
      <c r="O30" s="14">
        <f>N30*VLOOKUP('Données projet'!$B$9,Paramètres!$A$1:$I$88,3,0)*VLOOKUP('Données projet'!$B$9,Paramètres!$A$1:$I$88,5,0)</f>
        <v>43.570799999999991</v>
      </c>
      <c r="P30" s="14">
        <f t="shared" si="43"/>
        <v>12.940326634618197</v>
      </c>
      <c r="Q30" s="22">
        <f t="shared" si="2"/>
        <v>98.42354555529333</v>
      </c>
      <c r="R30" s="62">
        <f t="shared" si="0"/>
        <v>388.09021222196003</v>
      </c>
      <c r="S30" s="62">
        <f ca="1">AVERAGE(OFFSET($R$3,0,0,'Données projet'!$E$9+1,1))-AVERAGE(OFFSET($H$3,0,0,'Données projet'!$E$9+1,1))</f>
        <v>300.03481708703549</v>
      </c>
      <c r="T30" s="62">
        <f t="shared" si="3"/>
        <v>102.6350860969182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26.166666666666668</v>
      </c>
      <c r="AI30" s="14">
        <f>IF(A30&lt;'Données projet'!$A$62,$AF$205^A30,IF(A30='Données projet'!$A$62,'Données projet'!$B$62,AI29+AH30-AQ29))</f>
        <v>311.50000000000006</v>
      </c>
      <c r="AJ30" s="14">
        <f>AI30*VLOOKUP('Données projet'!$B$10,Paramètres!$A$1:$I$88,3,0)*VLOOKUP('Données projet'!$B$10,Paramètres!$A$1:$I$88,5,0)</f>
        <v>174.12850000000003</v>
      </c>
      <c r="AK30" s="14">
        <f t="shared" si="44"/>
        <v>44.013375010114146</v>
      </c>
      <c r="AL30" s="22">
        <f t="shared" si="5"/>
        <v>379.9304323092822</v>
      </c>
      <c r="AM30" s="62">
        <f t="shared" si="6"/>
        <v>669.59709897594894</v>
      </c>
      <c r="AN30" s="62">
        <f ca="1">AVERAGE(OFFSET($AM$3,0,0,'Données projet'!$E$10+1,1))-AVERAGE(OFFSET($H$3,0,0,'Données projet'!$E$10+1,1))</f>
        <v>328.27336939084597</v>
      </c>
      <c r="AO30" s="62">
        <f t="shared" si="7"/>
        <v>448.79354389108755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6.1967664973061014</v>
      </c>
      <c r="AW30" s="23">
        <f>EXP(-LN(2)/2)*AW29+(1-EXP(-LN(2)/2))/(LN(2)/2)*AQ30*AT30*VLOOKUP('Données projet'!$B$9,Paramètres!$A$1:$I$88,3,0)*0.475*44/12</f>
        <v>5.6835042373978144</v>
      </c>
      <c r="AX30" s="23">
        <f t="shared" si="8"/>
        <v>11.880270734703917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11.2</v>
      </c>
      <c r="BD30" s="13">
        <f>IF(A30&lt;'Données projet'!$A$88,$BA$205^A30,IF(A30='Données projet'!$A$88,'Données projet'!$B$88,BD29+BC30-BL29))</f>
        <v>142.39999999999995</v>
      </c>
      <c r="BE30" s="14">
        <f>BD30*VLOOKUP('Données projet'!$B$11,Paramètres!$A$1:$I$88,3,0)*VLOOKUP('Données projet'!$B$11,Paramètres!$A$1:$I$88,5,0)</f>
        <v>124.40063999999998</v>
      </c>
      <c r="BF30" s="14">
        <f t="shared" si="45"/>
        <v>32.699215028092418</v>
      </c>
      <c r="BG30" s="22">
        <f t="shared" si="9"/>
        <v>273.61558084059425</v>
      </c>
      <c r="BH30" s="62">
        <f t="shared" si="10"/>
        <v>563.28224750726099</v>
      </c>
      <c r="BI30" s="62">
        <f ca="1">AVERAGE(OFFSET($BH$3,0,0,'Données projet'!$E$11+1,1))-AVERAGE(OFFSET($H$3,0,0,'Données projet'!$E$11+1,1))</f>
        <v>348.65374983303883</v>
      </c>
      <c r="BJ30" s="62">
        <f t="shared" si="11"/>
        <v>312.05848669315151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14.260000000000002</v>
      </c>
      <c r="BY30" s="13">
        <f>IF(A30&lt;'Données projet'!$A$114,$BV$205^A30,IF(A30='Données projet'!$A$114,'Données projet'!$B$114,BY29+BX30-CG29))</f>
        <v>169.01999999999998</v>
      </c>
      <c r="BZ30" s="14">
        <f>BY30*VLOOKUP('Données projet'!$B$12,Paramètres!$A$1:$I$88,3,0)*VLOOKUP('Données projet'!$B$12,Paramètres!$A$1:$I$88,5,0)</f>
        <v>123.92546399999999</v>
      </c>
      <c r="CA30" s="14">
        <f t="shared" si="46"/>
        <v>32.58882709773377</v>
      </c>
      <c r="CB30" s="22">
        <f t="shared" si="13"/>
        <v>272.59572366188627</v>
      </c>
      <c r="CC30" s="62">
        <f t="shared" si="14"/>
        <v>562.26239032855301</v>
      </c>
      <c r="CD30" s="62">
        <f ca="1">AVERAGE(OFFSET($CC$3,0,0,'Données projet'!$E$12+1,1))-AVERAGE(OFFSET($H$3,0,0,'Données projet'!$E$12+1,1))</f>
        <v>264.06656596707364</v>
      </c>
      <c r="CE30" s="62">
        <f t="shared" si="15"/>
        <v>315.34415130230195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>
        <f>VLOOKUP(A30,'Données projet'!$A$139:$I$159,2,0)</f>
        <v>218.4</v>
      </c>
      <c r="CR30" s="13">
        <f>VLOOKUP(A30,'Données projet'!$A$139:$I$159,9,0)</f>
        <v>18.900000000000006</v>
      </c>
      <c r="CS30" s="13">
        <f t="array" ref="CS30">INDEX(CR:CR,MIN(IF(ISNUMBER(CR30:CR226),ROW(CR30:CR226),"")))</f>
        <v>18.900000000000006</v>
      </c>
      <c r="CT30" s="13">
        <f>IF(A30&lt;'Données projet'!$A$140,$CQ$205^A30,IF(A30='Données projet'!$A$140,'Données projet'!$B$140,CT29+CS30-DB29))</f>
        <v>218.40000000000003</v>
      </c>
      <c r="CU30" s="18">
        <f>CT30*VLOOKUP('Données projet'!$B$13,Paramètres!$A$1:$I$88,3,0)*VLOOKUP('Données projet'!$B$13,Paramètres!$A$1:$I$88,5,0)</f>
        <v>130.60320000000004</v>
      </c>
      <c r="CV30" s="14">
        <f t="shared" si="47"/>
        <v>34.135703567016428</v>
      </c>
      <c r="CW30" s="22">
        <f t="shared" si="17"/>
        <v>286.92025704588701</v>
      </c>
      <c r="CX30" s="62">
        <f t="shared" si="18"/>
        <v>576.5869237125537</v>
      </c>
      <c r="CY30" s="62">
        <f ca="1">AVERAGE(OFFSET($CX$3,0,0,'Données projet'!$E$13+1,1))-AVERAGE(OFFSET($H$3,0,0,'Données projet'!$E$13+1,1))</f>
        <v>162.29089122912319</v>
      </c>
      <c r="CZ30" s="62">
        <f t="shared" si="19"/>
        <v>253.15422514195427</v>
      </c>
      <c r="DA30" s="16">
        <f>IF(ISNA(VLOOKUP(A30,'Données projet'!$A$139:$I$159,3,0)),0,VLOOKUP(A30,'Données projet'!$A$139:$I$159,3,0))</f>
        <v>3</v>
      </c>
      <c r="DB30" s="16">
        <f>IF(ISNA(VLOOKUP(A30,'Données projet'!$A$139:$I$159,4,0)),0,VLOOKUP(A30,'Données projet'!$A$139:$I$159,4,0))</f>
        <v>54.5</v>
      </c>
      <c r="DC30" s="17">
        <f>IF(ISNA(VLOOKUP(A30,'Données projet'!$A$139:$I$159,5,0)),0%,VLOOKUP(A30,'Données projet'!$A$139:$I$159,5,0)*VLOOKUP('Données projet'!$B$13,Paramètres!$A$1:$I$88,7,0))</f>
        <v>0.27</v>
      </c>
      <c r="DD30" s="17">
        <f>IF(ISNA(VLOOKUP(A30,'Données projet'!$A$139:$I$159,6,0)),0%,VLOOKUP(A30,'Données projet'!$A$139:$I$159,6,0)*VLOOKUP('Données projet'!$B$13,Paramètres!$A$1:$I$88,7,0))</f>
        <v>9.0000000000000011E-2</v>
      </c>
      <c r="DE30" s="17">
        <f>IF(ISNA(VLOOKUP(A30,'Données projet'!$A$139:$I$159,7,0)),0%,VLOOKUP(A30,'Données projet'!$A$139:$I$159,7,0))</f>
        <v>0.2</v>
      </c>
      <c r="DF30" s="23">
        <f>EXP(-LN(2)/35)*DF29+(1-EXP(-LN(2)/35))/(LN(2)/35)*DB30*DC30*VLOOKUP('Données projet'!$B$9,Paramètres!$A$1:$I$88,3,0)*0.475*44/12</f>
        <v>11.208907201149488</v>
      </c>
      <c r="DG30" s="23">
        <f>EXP(-LN(2)/25)*DG29+(1-EXP(-LN(2)/25))/(LN(2)/25)*Calculateur!DB30*Calculateur!DD30*VLOOKUP('Données projet'!$B$9,Paramètres!$A$1:$I$88,3,0)*0.475*44/12</f>
        <v>5.7685069975359937</v>
      </c>
      <c r="DH30" s="23">
        <f>EXP(-LN(2)/2)*DH29+(1-EXP(-LN(2)/2))/(LN(2)/2)*DB30*DE30*VLOOKUP('Données projet'!$B$9,Paramètres!$A$1:$I$88,3,0)*0.475*44/12</f>
        <v>6.6074926038334034</v>
      </c>
      <c r="DI30" s="24">
        <f t="shared" si="20"/>
        <v>23.584906802518883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14.260000000000002</v>
      </c>
      <c r="DO30" s="13">
        <f>IF(A30&lt;'Données projet'!$A$166,$DL$205^A30,IF(A30='Données projet'!$A$166,'Données projet'!$B$166,DO29+DN30-DW29))</f>
        <v>169.01999999999998</v>
      </c>
      <c r="DP30" s="18">
        <f>DO30*VLOOKUP('Données projet'!$B$14,Paramètres!$A$1:$I$88,3,0)*VLOOKUP('Données projet'!$B$14,Paramètres!$A$1:$I$88,5,0)</f>
        <v>134.47231199999999</v>
      </c>
      <c r="DQ30" s="14">
        <f t="shared" si="48"/>
        <v>35.027736208949172</v>
      </c>
      <c r="DR30" s="22">
        <f t="shared" si="21"/>
        <v>295.21258396391971</v>
      </c>
      <c r="DS30" s="62">
        <f t="shared" si="22"/>
        <v>584.8792506305864</v>
      </c>
      <c r="DT30" s="62">
        <f ca="1">AVERAGE(OFFSET($DS$3,0,0,'Données projet'!$E$14+1,1))-AVERAGE(OFFSET($H$3,0,0,'Données projet'!$E$14+1,1))</f>
        <v>290.20755061064017</v>
      </c>
      <c r="DU30" s="62">
        <f t="shared" si="23"/>
        <v>343.54750327717181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25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4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9.3000000000000007</v>
      </c>
      <c r="N31" s="14">
        <f>IF(A31&lt;'Données projet'!$A$36,$K$205^A31,IF(A31='Données projet'!$A$36,'Données projet'!$B$36,N30+M31-V30))</f>
        <v>102.39999999999998</v>
      </c>
      <c r="O31" s="14">
        <f>N31*VLOOKUP('Données projet'!$B$9,Paramètres!$A$1:$I$88,3,0)*VLOOKUP('Données projet'!$B$9,Paramètres!$A$1:$I$88,5,0)</f>
        <v>47.923199999999987</v>
      </c>
      <c r="P31" s="14">
        <f t="shared" si="43"/>
        <v>14.076099961955951</v>
      </c>
      <c r="Q31" s="22">
        <f t="shared" si="2"/>
        <v>107.98211410040659</v>
      </c>
      <c r="R31" s="62">
        <f t="shared" si="0"/>
        <v>398.87100298929545</v>
      </c>
      <c r="S31" s="62">
        <f ca="1">AVERAGE(OFFSET($R$3,0,0,'Données projet'!$E$9+1,1))-AVERAGE(OFFSET($H$3,0,0,'Données projet'!$E$9+1,1))</f>
        <v>300.03481708703549</v>
      </c>
      <c r="T31" s="62">
        <f t="shared" si="3"/>
        <v>102.6350860969182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26.166666666666668</v>
      </c>
      <c r="AI31" s="14">
        <f>IF(A31&lt;'Données projet'!$A$62,$AF$205^A31,IF(A31='Données projet'!$A$62,'Données projet'!$B$62,AI30+AH31-AQ30))</f>
        <v>337.66666666666674</v>
      </c>
      <c r="AJ31" s="14">
        <f>AI31*VLOOKUP('Données projet'!$B$10,Paramètres!$A$1:$I$88,3,0)*VLOOKUP('Données projet'!$B$10,Paramètres!$A$1:$I$88,5,0)</f>
        <v>188.75566666666671</v>
      </c>
      <c r="AK31" s="14">
        <f t="shared" si="44"/>
        <v>47.264743303578236</v>
      </c>
      <c r="AL31" s="22">
        <f t="shared" si="5"/>
        <v>411.0688806981766</v>
      </c>
      <c r="AM31" s="62">
        <f t="shared" si="6"/>
        <v>701.95776958706551</v>
      </c>
      <c r="AN31" s="62">
        <f ca="1">AVERAGE(OFFSET($AM$3,0,0,'Données projet'!$E$10+1,1))-AVERAGE(OFFSET($H$3,0,0,'Données projet'!$E$10+1,1))</f>
        <v>328.27336939084597</v>
      </c>
      <c r="AO31" s="62">
        <f t="shared" si="7"/>
        <v>448.79354389108755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6.0273155915634788</v>
      </c>
      <c r="AW31" s="23">
        <f>EXP(-LN(2)/2)*AW30+(1-EXP(-LN(2)/2))/(LN(2)/2)*AQ31*AT31*VLOOKUP('Données projet'!$B$9,Paramètres!$A$1:$I$88,3,0)*0.475*44/12</f>
        <v>4.0188443871664719</v>
      </c>
      <c r="AX31" s="23">
        <f t="shared" si="8"/>
        <v>10.04615997872995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11.2</v>
      </c>
      <c r="BD31" s="13">
        <f>IF(A31&lt;'Données projet'!$A$88,$BA$205^A31,IF(A31='Données projet'!$A$88,'Données projet'!$B$88,BD30+BC31-BL30))</f>
        <v>153.59999999999994</v>
      </c>
      <c r="BE31" s="14">
        <f>BD31*VLOOKUP('Données projet'!$B$11,Paramètres!$A$1:$I$88,3,0)*VLOOKUP('Données projet'!$B$11,Paramètres!$A$1:$I$88,5,0)</f>
        <v>134.18495999999996</v>
      </c>
      <c r="BF31" s="14">
        <f t="shared" si="45"/>
        <v>34.96159027064818</v>
      </c>
      <c r="BG31" s="22">
        <f t="shared" si="9"/>
        <v>294.59690838804551</v>
      </c>
      <c r="BH31" s="62">
        <f t="shared" si="10"/>
        <v>585.48579727693436</v>
      </c>
      <c r="BI31" s="62">
        <f ca="1">AVERAGE(OFFSET($BH$3,0,0,'Données projet'!$E$11+1,1))-AVERAGE(OFFSET($H$3,0,0,'Données projet'!$E$11+1,1))</f>
        <v>348.65374983303883</v>
      </c>
      <c r="BJ31" s="62">
        <f t="shared" si="11"/>
        <v>312.05848669315151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14.260000000000002</v>
      </c>
      <c r="BY31" s="13">
        <f>IF(A31&lt;'Données projet'!$A$114,$BV$205^A31,IF(A31='Données projet'!$A$114,'Données projet'!$B$114,BY30+BX31-CG30))</f>
        <v>183.27999999999997</v>
      </c>
      <c r="BZ31" s="14">
        <f>BY31*VLOOKUP('Données projet'!$B$12,Paramètres!$A$1:$I$88,3,0)*VLOOKUP('Données projet'!$B$12,Paramètres!$A$1:$I$88,5,0)</f>
        <v>134.38089599999998</v>
      </c>
      <c r="CA31" s="14">
        <f t="shared" si="46"/>
        <v>35.006694824713001</v>
      </c>
      <c r="CB31" s="22">
        <f t="shared" si="13"/>
        <v>295.01672068637509</v>
      </c>
      <c r="CC31" s="62">
        <f t="shared" si="14"/>
        <v>585.90560957526395</v>
      </c>
      <c r="CD31" s="62">
        <f ca="1">AVERAGE(OFFSET($CC$3,0,0,'Données projet'!$E$12+1,1))-AVERAGE(OFFSET($H$3,0,0,'Données projet'!$E$12+1,1))</f>
        <v>264.06656596707364</v>
      </c>
      <c r="CE31" s="62">
        <f t="shared" si="15"/>
        <v>315.34415130230195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15.733333333333329</v>
      </c>
      <c r="CT31" s="13">
        <f>IF(A31&lt;'Données projet'!$A$140,$CQ$205^A31,IF(A31='Données projet'!$A$140,'Données projet'!$B$140,CT30+CS31-DB30))</f>
        <v>179.63333333333335</v>
      </c>
      <c r="CU31" s="18">
        <f>CT31*VLOOKUP('Données projet'!$B$13,Paramètres!$A$1:$I$88,3,0)*VLOOKUP('Données projet'!$B$13,Paramètres!$A$1:$I$88,5,0)</f>
        <v>107.42073333333335</v>
      </c>
      <c r="CV31" s="14">
        <f t="shared" si="47"/>
        <v>28.722452599473627</v>
      </c>
      <c r="CW31" s="22">
        <f t="shared" si="17"/>
        <v>237.11604883297215</v>
      </c>
      <c r="CX31" s="62">
        <f t="shared" si="18"/>
        <v>528.00493772186098</v>
      </c>
      <c r="CY31" s="62">
        <f ca="1">AVERAGE(OFFSET($CX$3,0,0,'Données projet'!$E$13+1,1))-AVERAGE(OFFSET($H$3,0,0,'Données projet'!$E$13+1,1))</f>
        <v>162.29089122912319</v>
      </c>
      <c r="CZ31" s="62">
        <f t="shared" si="19"/>
        <v>253.15422514195427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10.989107367693265</v>
      </c>
      <c r="DG31" s="23">
        <f>EXP(-LN(2)/25)*DG30+(1-EXP(-LN(2)/25))/(LN(2)/25)*Calculateur!DB31*Calculateur!DD31*VLOOKUP('Données projet'!$B$9,Paramètres!$A$1:$I$88,3,0)*0.475*44/12</f>
        <v>5.6107668703357731</v>
      </c>
      <c r="DH31" s="23">
        <f>EXP(-LN(2)/2)*DH30+(1-EXP(-LN(2)/2))/(LN(2)/2)*DB31*DE31*VLOOKUP('Données projet'!$B$9,Paramètres!$A$1:$I$88,3,0)*0.475*44/12</f>
        <v>4.6722028268105582</v>
      </c>
      <c r="DI31" s="24">
        <f t="shared" si="20"/>
        <v>21.272077064839596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14.260000000000002</v>
      </c>
      <c r="DO31" s="13">
        <f>IF(A31&lt;'Données projet'!$A$166,$DL$205^A31,IF(A31='Données projet'!$A$166,'Données projet'!$B$166,DO30+DN31-DW30))</f>
        <v>183.27999999999997</v>
      </c>
      <c r="DP31" s="18">
        <f>DO31*VLOOKUP('Données projet'!$B$14,Paramètres!$A$1:$I$88,3,0)*VLOOKUP('Données projet'!$B$14,Paramètres!$A$1:$I$88,5,0)</f>
        <v>145.81756799999999</v>
      </c>
      <c r="DQ31" s="14">
        <f t="shared" si="48"/>
        <v>37.626554284689291</v>
      </c>
      <c r="DR31" s="22">
        <f t="shared" si="21"/>
        <v>319.49851297916712</v>
      </c>
      <c r="DS31" s="62">
        <f t="shared" si="22"/>
        <v>610.38740186805603</v>
      </c>
      <c r="DT31" s="62">
        <f ca="1">AVERAGE(OFFSET($DS$3,0,0,'Données projet'!$E$14+1,1))-AVERAGE(OFFSET($H$3,0,0,'Données projet'!$E$14+1,1))</f>
        <v>290.20755061064017</v>
      </c>
      <c r="DU31" s="62">
        <f t="shared" si="23"/>
        <v>343.54750327717181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25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4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9.3000000000000007</v>
      </c>
      <c r="N32" s="14">
        <f>IF(A32&lt;'Données projet'!$A$36,$K$205^A32,IF(A32='Données projet'!$A$36,'Données projet'!$B$36,N31+M32-V31))</f>
        <v>111.69999999999997</v>
      </c>
      <c r="O32" s="14">
        <f>N32*VLOOKUP('Données projet'!$B$9,Paramètres!$A$1:$I$88,3,0)*VLOOKUP('Données projet'!$B$9,Paramètres!$A$1:$I$88,5,0)</f>
        <v>52.27559999999999</v>
      </c>
      <c r="P32" s="14">
        <f t="shared" si="43"/>
        <v>15.199912378332435</v>
      </c>
      <c r="Q32" s="22">
        <f t="shared" si="2"/>
        <v>117.51985072559563</v>
      </c>
      <c r="R32" s="62">
        <f t="shared" si="0"/>
        <v>409.63096183670677</v>
      </c>
      <c r="S32" s="62">
        <f ca="1">AVERAGE(OFFSET($R$3,0,0,'Données projet'!$E$9+1,1))-AVERAGE(OFFSET($H$3,0,0,'Données projet'!$E$9+1,1))</f>
        <v>300.03481708703549</v>
      </c>
      <c r="T32" s="62">
        <f t="shared" si="3"/>
        <v>102.6350860969182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26.166666666666668</v>
      </c>
      <c r="AI32" s="14">
        <f>IF(A32&lt;'Données projet'!$A$62,$AF$205^A32,IF(A32='Données projet'!$A$62,'Données projet'!$B$62,AI31+AH32-AQ31))</f>
        <v>363.83333333333343</v>
      </c>
      <c r="AJ32" s="14">
        <f>AI32*VLOOKUP('Données projet'!$B$10,Paramètres!$A$1:$I$88,3,0)*VLOOKUP('Données projet'!$B$10,Paramètres!$A$1:$I$88,5,0)</f>
        <v>203.38283333333339</v>
      </c>
      <c r="AK32" s="14">
        <f t="shared" si="44"/>
        <v>50.486884819584603</v>
      </c>
      <c r="AL32" s="22">
        <f t="shared" si="5"/>
        <v>442.15642578299884</v>
      </c>
      <c r="AM32" s="62">
        <f t="shared" si="6"/>
        <v>734.26753689410998</v>
      </c>
      <c r="AN32" s="62">
        <f ca="1">AVERAGE(OFFSET($AM$3,0,0,'Données projet'!$E$10+1,1))-AVERAGE(OFFSET($H$3,0,0,'Données projet'!$E$10+1,1))</f>
        <v>328.27336939084597</v>
      </c>
      <c r="AO32" s="62">
        <f t="shared" si="7"/>
        <v>448.79354389108755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5.8624983297494238</v>
      </c>
      <c r="AW32" s="23">
        <f>EXP(-LN(2)/2)*AW31+(1-EXP(-LN(2)/2))/(LN(2)/2)*AQ32*AT32*VLOOKUP('Données projet'!$B$9,Paramètres!$A$1:$I$88,3,0)*0.475*44/12</f>
        <v>2.8417521186989072</v>
      </c>
      <c r="AX32" s="23">
        <f t="shared" si="8"/>
        <v>8.704250448448331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11.2</v>
      </c>
      <c r="BD32" s="13">
        <f>IF(A32&lt;'Données projet'!$A$88,$BA$205^A32,IF(A32='Données projet'!$A$88,'Données projet'!$B$88,BD31+BC32-BL31))</f>
        <v>164.79999999999993</v>
      </c>
      <c r="BE32" s="14">
        <f>BD32*VLOOKUP('Données projet'!$B$11,Paramètres!$A$1:$I$88,3,0)*VLOOKUP('Données projet'!$B$11,Paramètres!$A$1:$I$88,5,0)</f>
        <v>143.96927999999997</v>
      </c>
      <c r="BF32" s="14">
        <f t="shared" si="45"/>
        <v>37.20482696787677</v>
      </c>
      <c r="BG32" s="22">
        <f t="shared" si="9"/>
        <v>315.54490296905198</v>
      </c>
      <c r="BH32" s="62">
        <f t="shared" si="10"/>
        <v>607.65601408016312</v>
      </c>
      <c r="BI32" s="62">
        <f ca="1">AVERAGE(OFFSET($BH$3,0,0,'Données projet'!$E$11+1,1))-AVERAGE(OFFSET($H$3,0,0,'Données projet'!$E$11+1,1))</f>
        <v>348.65374983303883</v>
      </c>
      <c r="BJ32" s="62">
        <f t="shared" si="11"/>
        <v>312.05848669315151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14.260000000000002</v>
      </c>
      <c r="BY32" s="13">
        <f>IF(A32&lt;'Données projet'!$A$114,$BV$205^A32,IF(A32='Données projet'!$A$114,'Données projet'!$B$114,BY31+BX32-CG31))</f>
        <v>197.53999999999996</v>
      </c>
      <c r="BZ32" s="14">
        <f>BY32*VLOOKUP('Données projet'!$B$12,Paramètres!$A$1:$I$88,3,0)*VLOOKUP('Données projet'!$B$12,Paramètres!$A$1:$I$88,5,0)</f>
        <v>144.83632799999995</v>
      </c>
      <c r="CA32" s="14">
        <f t="shared" si="46"/>
        <v>37.402740912462832</v>
      </c>
      <c r="CB32" s="22">
        <f t="shared" si="13"/>
        <v>317.39971168920596</v>
      </c>
      <c r="CC32" s="62">
        <f t="shared" si="14"/>
        <v>609.5108228003171</v>
      </c>
      <c r="CD32" s="62">
        <f ca="1">AVERAGE(OFFSET($CC$3,0,0,'Données projet'!$E$12+1,1))-AVERAGE(OFFSET($H$3,0,0,'Données projet'!$E$12+1,1))</f>
        <v>264.06656596707364</v>
      </c>
      <c r="CE32" s="62">
        <f t="shared" si="15"/>
        <v>315.34415130230195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15.733333333333329</v>
      </c>
      <c r="CT32" s="13">
        <f>IF(A32&lt;'Données projet'!$A$140,$CQ$205^A32,IF(A32='Données projet'!$A$140,'Données projet'!$B$140,CT31+CS32-DB31))</f>
        <v>195.36666666666667</v>
      </c>
      <c r="CU32" s="18">
        <f>CT32*VLOOKUP('Données projet'!$B$13,Paramètres!$A$1:$I$88,3,0)*VLOOKUP('Données projet'!$B$13,Paramètres!$A$1:$I$88,5,0)</f>
        <v>116.82926666666667</v>
      </c>
      <c r="CV32" s="14">
        <f t="shared" si="47"/>
        <v>30.934329231946066</v>
      </c>
      <c r="CW32" s="22">
        <f t="shared" si="17"/>
        <v>257.35492952341718</v>
      </c>
      <c r="CX32" s="62">
        <f t="shared" si="18"/>
        <v>549.46604063452833</v>
      </c>
      <c r="CY32" s="62">
        <f ca="1">AVERAGE(OFFSET($CX$3,0,0,'Données projet'!$E$13+1,1))-AVERAGE(OFFSET($H$3,0,0,'Données projet'!$E$13+1,1))</f>
        <v>162.29089122912319</v>
      </c>
      <c r="CZ32" s="62">
        <f t="shared" si="19"/>
        <v>253.15422514195427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10.773617674906458</v>
      </c>
      <c r="DG32" s="23">
        <f>EXP(-LN(2)/25)*DG31+(1-EXP(-LN(2)/25))/(LN(2)/25)*Calculateur!DB32*Calculateur!DD32*VLOOKUP('Données projet'!$B$9,Paramètres!$A$1:$I$88,3,0)*0.475*44/12</f>
        <v>5.4573401552090353</v>
      </c>
      <c r="DH32" s="23">
        <f>EXP(-LN(2)/2)*DH31+(1-EXP(-LN(2)/2))/(LN(2)/2)*DB32*DE32*VLOOKUP('Données projet'!$B$9,Paramètres!$A$1:$I$88,3,0)*0.475*44/12</f>
        <v>3.3037463019167026</v>
      </c>
      <c r="DI32" s="24">
        <f t="shared" si="20"/>
        <v>19.534704132032196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14.260000000000002</v>
      </c>
      <c r="DO32" s="13">
        <f>IF(A32&lt;'Données projet'!$A$166,$DL$205^A32,IF(A32='Données projet'!$A$166,'Données projet'!$B$166,DO31+DN32-DW31))</f>
        <v>197.53999999999996</v>
      </c>
      <c r="DP32" s="18">
        <f>DO32*VLOOKUP('Données projet'!$B$14,Paramètres!$A$1:$I$88,3,0)*VLOOKUP('Données projet'!$B$14,Paramètres!$A$1:$I$88,5,0)</f>
        <v>157.162824</v>
      </c>
      <c r="DQ32" s="14">
        <f t="shared" si="48"/>
        <v>40.201917615639708</v>
      </c>
      <c r="DR32" s="22">
        <f t="shared" si="21"/>
        <v>343.7435916472391</v>
      </c>
      <c r="DS32" s="62">
        <f t="shared" si="22"/>
        <v>635.85470275835019</v>
      </c>
      <c r="DT32" s="62">
        <f ca="1">AVERAGE(OFFSET($DS$3,0,0,'Données projet'!$E$14+1,1))-AVERAGE(OFFSET($H$3,0,0,'Données projet'!$E$14+1,1))</f>
        <v>290.20755061064017</v>
      </c>
      <c r="DU32" s="62">
        <f t="shared" si="23"/>
        <v>343.54750327717181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25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4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9.3000000000000007</v>
      </c>
      <c r="M33" s="13">
        <f t="array" ref="M33">INDEX(L:L,MIN(IF(ISNUMBER(L33:L229),ROW(L33:L229),"")))</f>
        <v>9.3000000000000007</v>
      </c>
      <c r="N33" s="14">
        <f>IF(A33&lt;'Données projet'!$A$36,$K$205^A33,IF(A33='Données projet'!$A$36,'Données projet'!$B$36,N32+M33-V32))</f>
        <v>120.99999999999997</v>
      </c>
      <c r="O33" s="14">
        <f>N33*VLOOKUP('Données projet'!$B$9,Paramètres!$A$1:$I$88,3,0)*VLOOKUP('Données projet'!$B$9,Paramètres!$A$1:$I$88,5,0)</f>
        <v>56.627999999999986</v>
      </c>
      <c r="P33" s="14">
        <f t="shared" si="43"/>
        <v>16.312872953208519</v>
      </c>
      <c r="Q33" s="22">
        <f t="shared" si="2"/>
        <v>127.03868706017147</v>
      </c>
      <c r="R33" s="62">
        <f t="shared" si="0"/>
        <v>420.37202039350478</v>
      </c>
      <c r="S33" s="62">
        <f ca="1">AVERAGE(OFFSET($R$3,0,0,'Données projet'!$E$9+1,1))-AVERAGE(OFFSET($H$3,0,0,'Données projet'!$E$9+1,1))</f>
        <v>300.03481708703549</v>
      </c>
      <c r="T33" s="62">
        <f t="shared" si="3"/>
        <v>102.6350860969182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390</v>
      </c>
      <c r="AG33" s="13">
        <f>VLOOKUP(A33,'Données projet'!$A$61:$I$81,9,0)</f>
        <v>26.166666666666668</v>
      </c>
      <c r="AH33" s="13">
        <f t="array" ref="AH33">INDEX(AG:AG,MIN(IF(ISNUMBER(AG33:AG229),ROW(AG33:AG229),"")))</f>
        <v>26.166666666666668</v>
      </c>
      <c r="AI33" s="14">
        <f>IF(A33&lt;'Données projet'!$A$62,$AF$205^A33,IF(A33='Données projet'!$A$62,'Données projet'!$B$62,AI32+AH33-AQ32))</f>
        <v>390.00000000000011</v>
      </c>
      <c r="AJ33" s="14">
        <f>AI33*VLOOKUP('Données projet'!$B$10,Paramètres!$A$1:$I$88,3,0)*VLOOKUP('Données projet'!$B$10,Paramètres!$A$1:$I$88,5,0)</f>
        <v>218.01000000000008</v>
      </c>
      <c r="AK33" s="14">
        <f t="shared" si="44"/>
        <v>53.682140586224406</v>
      </c>
      <c r="AL33" s="22">
        <f t="shared" si="5"/>
        <v>473.19714485434088</v>
      </c>
      <c r="AM33" s="62">
        <f t="shared" si="6"/>
        <v>766.53047818767413</v>
      </c>
      <c r="AN33" s="62">
        <f ca="1">AVERAGE(OFFSET($AM$3,0,0,'Données projet'!$E$10+1,1))-AVERAGE(OFFSET($H$3,0,0,'Données projet'!$E$10+1,1))</f>
        <v>328.27336939084597</v>
      </c>
      <c r="AO33" s="62">
        <f t="shared" si="7"/>
        <v>448.79354389108755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79</v>
      </c>
      <c r="AR33" s="17">
        <f>IF(ISNA(VLOOKUP(A33,'Données projet'!$A$61:$I$81,5,0)),0%,VLOOKUP(A33,'Données projet'!$A$61:$I$81,5,0)*VLOOKUP('Données projet'!$B$10,Paramètres!$A$1:$I$88,7,0))</f>
        <v>0.11000000000000001</v>
      </c>
      <c r="AS33" s="17">
        <f>IF(ISNA(VLOOKUP(A33,'Données projet'!$A$61:$I$81,6,0)),0%,VLOOKUP(A33,'Données projet'!$A$61:$I$81,6,0)*VLOOKUP('Données projet'!$B$10,Paramètres!$A$1:$I$88,7,0))</f>
        <v>0.16500000000000001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projet'!$B$9,Paramètres!$A$1:$I$88,3,0)*0.475*44/12</f>
        <v>5.3950315151161758</v>
      </c>
      <c r="AV33" s="23">
        <f>EXP(-LN(2)/25)*AV32+(1-EXP(-LN(2)/25))/(LN(2)/25)*Calculateur!AQ33*Calculateur!AS33*VLOOKUP('Données projet'!$B$9,Paramètres!$A$1:$I$88,3,0)*0.475*44/12</f>
        <v>13.762871835186527</v>
      </c>
      <c r="AW33" s="23">
        <f>EXP(-LN(2)/2)*AW32+(1-EXP(-LN(2)/2))/(LN(2)/2)*AQ33*AT33*VLOOKUP('Données projet'!$B$9,Paramètres!$A$1:$I$88,3,0)*0.475*44/12</f>
        <v>14.56768994482778</v>
      </c>
      <c r="AX33" s="23">
        <f t="shared" si="8"/>
        <v>33.72559329513048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176</v>
      </c>
      <c r="BB33" s="13">
        <f>VLOOKUP(A33,'Données projet'!$A$87:$I$107,9,0)</f>
        <v>11.2</v>
      </c>
      <c r="BC33" s="13">
        <f t="array" ref="BC33">INDEX(BB:BB,MIN(IF(ISNUMBER(BB33:BB229),ROW(BB33:BB229),"")))</f>
        <v>11.2</v>
      </c>
      <c r="BD33" s="13">
        <f>IF(A33&lt;'Données projet'!$A$88,$BA$205^A33,IF(A33='Données projet'!$A$88,'Données projet'!$B$88,BD32+BC33-BL32))</f>
        <v>175.99999999999991</v>
      </c>
      <c r="BE33" s="14">
        <f>BD33*VLOOKUP('Données projet'!$B$11,Paramètres!$A$1:$I$88,3,0)*VLOOKUP('Données projet'!$B$11,Paramètres!$A$1:$I$88,5,0)</f>
        <v>153.75359999999995</v>
      </c>
      <c r="BF33" s="14">
        <f t="shared" si="45"/>
        <v>39.430373774012359</v>
      </c>
      <c r="BG33" s="22">
        <f t="shared" si="9"/>
        <v>336.46208765640478</v>
      </c>
      <c r="BH33" s="62">
        <f t="shared" si="10"/>
        <v>629.79542098973809</v>
      </c>
      <c r="BI33" s="62">
        <f ca="1">AVERAGE(OFFSET($BH$3,0,0,'Données projet'!$E$11+1,1))-AVERAGE(OFFSET($H$3,0,0,'Données projet'!$E$11+1,1))</f>
        <v>348.65374983303883</v>
      </c>
      <c r="BJ33" s="62">
        <f t="shared" si="11"/>
        <v>312.05848669315151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67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211.8</v>
      </c>
      <c r="BW33" s="13">
        <f>VLOOKUP(A33,'Données projet'!$A$113:$I$133,9,0)</f>
        <v>14.260000000000002</v>
      </c>
      <c r="BX33" s="13">
        <f t="array" ref="BX33">INDEX(BW:BW,MIN(IF(ISNUMBER(BW33:BW229),ROW(BW33:BW229),"")))</f>
        <v>14.260000000000002</v>
      </c>
      <c r="BY33" s="13">
        <f>IF(A33&lt;'Données projet'!$A$114,$BV$205^A33,IF(A33='Données projet'!$A$114,'Données projet'!$B$114,BY32+BX33-CG32))</f>
        <v>211.79999999999995</v>
      </c>
      <c r="BZ33" s="14">
        <f>BY33*VLOOKUP('Données projet'!$B$12,Paramètres!$A$1:$I$88,3,0)*VLOOKUP('Données projet'!$B$12,Paramètres!$A$1:$I$88,5,0)</f>
        <v>155.29175999999998</v>
      </c>
      <c r="CA33" s="14">
        <f t="shared" si="46"/>
        <v>39.778719769696814</v>
      </c>
      <c r="CB33" s="22">
        <f t="shared" si="13"/>
        <v>339.74775226555522</v>
      </c>
      <c r="CC33" s="62">
        <f t="shared" si="14"/>
        <v>633.08108559888854</v>
      </c>
      <c r="CD33" s="62">
        <f ca="1">AVERAGE(OFFSET($CC$3,0,0,'Données projet'!$E$12+1,1))-AVERAGE(OFFSET($H$3,0,0,'Données projet'!$E$12+1,1))</f>
        <v>264.06656596707364</v>
      </c>
      <c r="CE33" s="62">
        <f t="shared" si="15"/>
        <v>315.34415130230195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70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211.1</v>
      </c>
      <c r="CR33" s="13">
        <f>VLOOKUP(A33,'Données projet'!$A$139:$I$159,9,0)</f>
        <v>15.733333333333329</v>
      </c>
      <c r="CS33" s="13">
        <f t="array" ref="CS33">INDEX(CR:CR,MIN(IF(ISNUMBER(CR33:CR229),ROW(CR33:CR229),"")))</f>
        <v>15.733333333333329</v>
      </c>
      <c r="CT33" s="13">
        <f>IF(A33&lt;'Données projet'!$A$140,$CQ$205^A33,IF(A33='Données projet'!$A$140,'Données projet'!$B$140,CT32+CS33-DB32))</f>
        <v>211.1</v>
      </c>
      <c r="CU33" s="18">
        <f>CT33*VLOOKUP('Données projet'!$B$13,Paramètres!$A$1:$I$88,3,0)*VLOOKUP('Données projet'!$B$13,Paramètres!$A$1:$I$88,5,0)</f>
        <v>126.23779999999999</v>
      </c>
      <c r="CV33" s="14">
        <f t="shared" si="47"/>
        <v>33.12554513217659</v>
      </c>
      <c r="CW33" s="22">
        <f t="shared" si="17"/>
        <v>277.55782610520754</v>
      </c>
      <c r="CX33" s="62">
        <f t="shared" si="18"/>
        <v>570.89115943854085</v>
      </c>
      <c r="CY33" s="62">
        <f ca="1">AVERAGE(OFFSET($CX$3,0,0,'Données projet'!$E$13+1,1))-AVERAGE(OFFSET($H$3,0,0,'Données projet'!$E$13+1,1))</f>
        <v>162.29089122912319</v>
      </c>
      <c r="CZ33" s="62">
        <f t="shared" si="19"/>
        <v>253.15422514195427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10.562353603559465</v>
      </c>
      <c r="DG33" s="23">
        <f>EXP(-LN(2)/25)*DG32+(1-EXP(-LN(2)/25))/(LN(2)/25)*Calculateur!DB33*Calculateur!DD33*VLOOKUP('Données projet'!$B$9,Paramètres!$A$1:$I$88,3,0)*0.475*44/12</f>
        <v>5.3081089016757987</v>
      </c>
      <c r="DH33" s="23">
        <f>EXP(-LN(2)/2)*DH32+(1-EXP(-LN(2)/2))/(LN(2)/2)*DB33*DE33*VLOOKUP('Données projet'!$B$9,Paramètres!$A$1:$I$88,3,0)*0.475*44/12</f>
        <v>2.3361014134052795</v>
      </c>
      <c r="DI33" s="24">
        <f t="shared" si="20"/>
        <v>18.206563918640544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211.8</v>
      </c>
      <c r="DM33" s="13">
        <f>VLOOKUP(A33,'Données projet'!$A$165:$I$185,9,0)</f>
        <v>14.260000000000002</v>
      </c>
      <c r="DN33" s="13">
        <f t="array" ref="DN33">INDEX(DM:DM,MIN(IF(ISNUMBER(DM33:DM229),ROW(DM33:DM229),"")))</f>
        <v>14.260000000000002</v>
      </c>
      <c r="DO33" s="13">
        <f>IF(A33&lt;'Données projet'!$A$166,$DL$205^A33,IF(A33='Données projet'!$A$166,'Données projet'!$B$166,DO32+DN33-DW32))</f>
        <v>211.79999999999995</v>
      </c>
      <c r="DP33" s="18">
        <f>DO33*VLOOKUP('Données projet'!$B$14,Paramètres!$A$1:$I$88,3,0)*VLOOKUP('Données projet'!$B$14,Paramètres!$A$1:$I$88,5,0)</f>
        <v>168.50807999999995</v>
      </c>
      <c r="DQ33" s="14">
        <f t="shared" si="48"/>
        <v>42.755711908378117</v>
      </c>
      <c r="DR33" s="22">
        <f t="shared" si="21"/>
        <v>367.95110424042514</v>
      </c>
      <c r="DS33" s="62">
        <f t="shared" si="22"/>
        <v>661.2844375737584</v>
      </c>
      <c r="DT33" s="62">
        <f ca="1">AVERAGE(OFFSET($DS$3,0,0,'Données projet'!$E$14+1,1))-AVERAGE(OFFSET($H$3,0,0,'Données projet'!$E$14+1,1))</f>
        <v>290.20755061064017</v>
      </c>
      <c r="DU33" s="62">
        <f t="shared" si="23"/>
        <v>343.54750327717181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70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25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4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IF(A34&lt;'Données projet'!$A$36,$K$205^A34,IF(A34='Données projet'!$A$36,'Données projet'!$B$36,N33+M34-V33))</f>
        <v>135.59999999999997</v>
      </c>
      <c r="O34" s="14">
        <f>N34*VLOOKUP('Données projet'!$B$9,Paramètres!$A$1:$I$88,3,0)*VLOOKUP('Données projet'!$B$9,Paramètres!$A$1:$I$88,5,0)</f>
        <v>63.460799999999985</v>
      </c>
      <c r="P34" s="14">
        <f t="shared" si="43"/>
        <v>18.04039167659279</v>
      </c>
      <c r="Q34" s="22">
        <f t="shared" si="2"/>
        <v>141.94790883673241</v>
      </c>
      <c r="R34" s="62">
        <f t="shared" si="0"/>
        <v>435.28124217006575</v>
      </c>
      <c r="S34" s="62">
        <f ca="1">AVERAGE(OFFSET($R$3,0,0,'Données projet'!$E$9+1,1))-AVERAGE(OFFSET($H$3,0,0,'Données projet'!$E$9+1,1))</f>
        <v>300.03481708703549</v>
      </c>
      <c r="T34" s="62">
        <f t="shared" si="3"/>
        <v>102.6350860969182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26.833333333333332</v>
      </c>
      <c r="AI34" s="14">
        <f>IF(A34&lt;'Données projet'!$A$62,$AF$205^A34,IF(A34='Données projet'!$A$62,'Données projet'!$B$62,AI33+AH34-AQ33))</f>
        <v>337.83333333333343</v>
      </c>
      <c r="AJ34" s="14">
        <f>AI34*VLOOKUP('Données projet'!$B$10,Paramètres!$A$1:$I$88,3,0)*VLOOKUP('Données projet'!$B$10,Paramètres!$A$1:$I$88,5,0)</f>
        <v>188.8488333333334</v>
      </c>
      <c r="AK34" s="14">
        <f t="shared" si="44"/>
        <v>47.285356298490633</v>
      </c>
      <c r="AL34" s="22">
        <f t="shared" si="5"/>
        <v>411.26704694209349</v>
      </c>
      <c r="AM34" s="62">
        <f t="shared" si="6"/>
        <v>704.6003802754268</v>
      </c>
      <c r="AN34" s="62">
        <f ca="1">AVERAGE(OFFSET($AM$3,0,0,'Données projet'!$E$10+1,1))-AVERAGE(OFFSET($H$3,0,0,'Données projet'!$E$10+1,1))</f>
        <v>328.27336939084597</v>
      </c>
      <c r="AO34" s="62">
        <f t="shared" si="7"/>
        <v>448.79354389108755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5.2892382377490481</v>
      </c>
      <c r="AV34" s="23">
        <f>EXP(-LN(2)/25)*AV33+(1-EXP(-LN(2)/25))/(LN(2)/25)*Calculateur!AQ34*Calculateur!AS34*VLOOKUP('Données projet'!$B$9,Paramètres!$A$1:$I$88,3,0)*0.475*44/12</f>
        <v>13.386525381095376</v>
      </c>
      <c r="AW34" s="23">
        <f>EXP(-LN(2)/2)*AW33+(1-EXP(-LN(2)/2))/(LN(2)/2)*AQ34*AT34*VLOOKUP('Données projet'!$B$9,Paramètres!$A$1:$I$88,3,0)*0.475*44/12</f>
        <v>10.300912346210806</v>
      </c>
      <c r="AX34" s="23">
        <f t="shared" si="8"/>
        <v>28.976675965055229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11</v>
      </c>
      <c r="BD34" s="13">
        <f>IF(A34&lt;'Données projet'!$A$88,$BA$205^A34,IF(A34='Données projet'!$A$88,'Données projet'!$B$88,BD33+BC34-BL33))</f>
        <v>119.99999999999991</v>
      </c>
      <c r="BE34" s="14">
        <f>BD34*VLOOKUP('Données projet'!$B$11,Paramètres!$A$1:$I$88,3,0)*VLOOKUP('Données projet'!$B$11,Paramètres!$A$1:$I$88,5,0)</f>
        <v>104.83199999999994</v>
      </c>
      <c r="BF34" s="14">
        <f t="shared" si="45"/>
        <v>28.109974371137692</v>
      </c>
      <c r="BG34" s="22">
        <f t="shared" si="9"/>
        <v>231.54060536306471</v>
      </c>
      <c r="BH34" s="62">
        <f t="shared" si="10"/>
        <v>524.873938696398</v>
      </c>
      <c r="BI34" s="62">
        <f ca="1">AVERAGE(OFFSET($BH$3,0,0,'Données projet'!$E$11+1,1))-AVERAGE(OFFSET($H$3,0,0,'Données projet'!$E$11+1,1))</f>
        <v>348.65374983303883</v>
      </c>
      <c r="BJ34" s="62">
        <f t="shared" si="11"/>
        <v>312.05848669315151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12.919999999999998</v>
      </c>
      <c r="BY34" s="13">
        <f>IF(A34&lt;'Données projet'!$A$114,$BV$205^A34,IF(A34='Données projet'!$A$114,'Données projet'!$B$114,BY33+BX34-CG33))</f>
        <v>154.71999999999994</v>
      </c>
      <c r="BZ34" s="14">
        <f>BY34*VLOOKUP('Données projet'!$B$12,Paramètres!$A$1:$I$88,3,0)*VLOOKUP('Données projet'!$B$12,Paramètres!$A$1:$I$88,5,0)</f>
        <v>113.44070399999997</v>
      </c>
      <c r="CA34" s="14">
        <f t="shared" si="46"/>
        <v>30.140182414303599</v>
      </c>
      <c r="CB34" s="22">
        <f t="shared" si="13"/>
        <v>250.07004383824537</v>
      </c>
      <c r="CC34" s="62">
        <f t="shared" si="14"/>
        <v>543.40337717157865</v>
      </c>
      <c r="CD34" s="62">
        <f ca="1">AVERAGE(OFFSET($CC$3,0,0,'Données projet'!$E$12+1,1))-AVERAGE(OFFSET($H$3,0,0,'Données projet'!$E$12+1,1))</f>
        <v>264.06656596707364</v>
      </c>
      <c r="CE34" s="62">
        <f t="shared" si="15"/>
        <v>315.34415130230195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16.150000000000006</v>
      </c>
      <c r="CT34" s="13">
        <f>IF(A34&lt;'Données projet'!$A$140,$CQ$205^A34,IF(A34='Données projet'!$A$140,'Données projet'!$B$140,CT33+CS34-DB33))</f>
        <v>227.25</v>
      </c>
      <c r="CU34" s="18">
        <f>CT34*VLOOKUP('Données projet'!$B$13,Paramètres!$A$1:$I$88,3,0)*VLOOKUP('Données projet'!$B$13,Paramètres!$A$1:$I$88,5,0)</f>
        <v>135.89550000000003</v>
      </c>
      <c r="CV34" s="14">
        <f t="shared" si="47"/>
        <v>35.355099996655177</v>
      </c>
      <c r="CW34" s="22">
        <f t="shared" si="17"/>
        <v>298.26146166084112</v>
      </c>
      <c r="CX34" s="62">
        <f t="shared" si="18"/>
        <v>591.59479499417444</v>
      </c>
      <c r="CY34" s="62">
        <f ca="1">AVERAGE(OFFSET($CX$3,0,0,'Données projet'!$E$13+1,1))-AVERAGE(OFFSET($H$3,0,0,'Données projet'!$E$13+1,1))</f>
        <v>162.29089122912319</v>
      </c>
      <c r="CZ34" s="62">
        <f t="shared" si="19"/>
        <v>253.15422514195427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10.355232291793229</v>
      </c>
      <c r="DG34" s="23">
        <f>EXP(-LN(2)/25)*DG33+(1-EXP(-LN(2)/25))/(LN(2)/25)*Calculateur!DB34*Calculateur!DD34*VLOOKUP('Données projet'!$B$9,Paramètres!$A$1:$I$88,3,0)*0.475*44/12</f>
        <v>5.1629583846181584</v>
      </c>
      <c r="DH34" s="23">
        <f>EXP(-LN(2)/2)*DH33+(1-EXP(-LN(2)/2))/(LN(2)/2)*DB34*DE34*VLOOKUP('Données projet'!$B$9,Paramètres!$A$1:$I$88,3,0)*0.475*44/12</f>
        <v>1.6518731509583515</v>
      </c>
      <c r="DI34" s="24">
        <f t="shared" si="20"/>
        <v>17.170063827369738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12.919999999999998</v>
      </c>
      <c r="DO34" s="13">
        <f>IF(A34&lt;'Données projet'!$A$166,$DL$205^A34,IF(A34='Données projet'!$A$166,'Données projet'!$B$166,DO33+DN34-DW33))</f>
        <v>154.71999999999994</v>
      </c>
      <c r="DP34" s="18">
        <f>DO34*VLOOKUP('Données projet'!$B$14,Paramètres!$A$1:$I$88,3,0)*VLOOKUP('Données projet'!$B$14,Paramètres!$A$1:$I$88,5,0)</f>
        <v>123.09523199999997</v>
      </c>
      <c r="DQ34" s="14">
        <f t="shared" si="48"/>
        <v>32.395837865893974</v>
      </c>
      <c r="DR34" s="22">
        <f t="shared" si="21"/>
        <v>270.81361334976526</v>
      </c>
      <c r="DS34" s="62">
        <f t="shared" si="22"/>
        <v>564.14694668309858</v>
      </c>
      <c r="DT34" s="62">
        <f ca="1">AVERAGE(OFFSET($DS$3,0,0,'Données projet'!$E$14+1,1))-AVERAGE(OFFSET($H$3,0,0,'Données projet'!$E$14+1,1))</f>
        <v>290.20755061064017</v>
      </c>
      <c r="DU34" s="62">
        <f t="shared" si="23"/>
        <v>343.54750327717181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25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4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IF(A35&lt;'Données projet'!$A$36,$K$205^A35,IF(A35='Données projet'!$A$36,'Données projet'!$B$36,N34+M35-V34))</f>
        <v>150.19999999999996</v>
      </c>
      <c r="O35" s="14">
        <f>N35*VLOOKUP('Données projet'!$B$9,Paramètres!$A$1:$I$88,3,0)*VLOOKUP('Données projet'!$B$9,Paramètres!$A$1:$I$88,5,0)</f>
        <v>70.293599999999984</v>
      </c>
      <c r="P35" s="14">
        <f t="shared" si="43"/>
        <v>19.746351028689723</v>
      </c>
      <c r="Q35" s="22">
        <f t="shared" ref="Q35:Q66" si="53">(O35+P35)*0.475*44/12</f>
        <v>156.8195813749679</v>
      </c>
      <c r="R35" s="62">
        <f t="shared" si="0"/>
        <v>450.15291470830118</v>
      </c>
      <c r="S35" s="62">
        <f ca="1">AVERAGE(OFFSET($R$3,0,0,'Données projet'!$E$9+1,1))-AVERAGE(OFFSET($H$3,0,0,'Données projet'!$E$9+1,1))</f>
        <v>300.03481708703549</v>
      </c>
      <c r="T35" s="62">
        <f t="shared" si="3"/>
        <v>102.6350860969182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26.833333333333332</v>
      </c>
      <c r="AI35" s="14">
        <f>IF(A35&lt;'Données projet'!$A$62,$AF$205^A35,IF(A35='Données projet'!$A$62,'Données projet'!$B$62,AI34+AH35-AQ34))</f>
        <v>364.66666666666674</v>
      </c>
      <c r="AJ35" s="14">
        <f>AI35*VLOOKUP('Données projet'!$B$10,Paramètres!$A$1:$I$88,3,0)*VLOOKUP('Données projet'!$B$10,Paramètres!$A$1:$I$88,5,0)</f>
        <v>203.84866666666673</v>
      </c>
      <c r="AK35" s="14">
        <f t="shared" si="44"/>
        <v>50.589047599756881</v>
      </c>
      <c r="AL35" s="22">
        <f t="shared" si="5"/>
        <v>443.14568568068768</v>
      </c>
      <c r="AM35" s="62">
        <f t="shared" si="6"/>
        <v>736.47901901402099</v>
      </c>
      <c r="AN35" s="62">
        <f ca="1">AVERAGE(OFFSET($AM$3,0,0,'Données projet'!$E$10+1,1))-AVERAGE(OFFSET($H$3,0,0,'Données projet'!$E$10+1,1))</f>
        <v>328.27336939084597</v>
      </c>
      <c r="AO35" s="62">
        <f t="shared" si="7"/>
        <v>448.79354389108755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5.1855195020235616</v>
      </c>
      <c r="AV35" s="23">
        <f>EXP(-LN(2)/25)*AV34+(1-EXP(-LN(2)/25))/(LN(2)/25)*Calculateur!AQ35*Calculateur!AS35*VLOOKUP('Données projet'!$B$9,Paramètres!$A$1:$I$88,3,0)*0.475*44/12</f>
        <v>13.02047014058255</v>
      </c>
      <c r="AW35" s="23">
        <f>EXP(-LN(2)/2)*AW34+(1-EXP(-LN(2)/2))/(LN(2)/2)*AQ35*AT35*VLOOKUP('Données projet'!$B$9,Paramètres!$A$1:$I$88,3,0)*0.475*44/12</f>
        <v>7.283844972413891</v>
      </c>
      <c r="AX35" s="23">
        <f t="shared" si="8"/>
        <v>25.489834615020005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</v>
      </c>
      <c r="BD35" s="13">
        <f>IF(A35&lt;'Données projet'!$A$88,$BA$205^A35,IF(A35='Données projet'!$A$88,'Données projet'!$B$88,BD34+BC35-BL34))</f>
        <v>130.99999999999991</v>
      </c>
      <c r="BE35" s="14">
        <f>BD35*VLOOKUP('Données projet'!$B$11,Paramètres!$A$1:$I$88,3,0)*VLOOKUP('Données projet'!$B$11,Paramètres!$A$1:$I$88,5,0)</f>
        <v>114.44159999999994</v>
      </c>
      <c r="BF35" s="14">
        <f t="shared" si="45"/>
        <v>30.37503712984369</v>
      </c>
      <c r="BG35" s="22">
        <f t="shared" si="9"/>
        <v>252.222309667811</v>
      </c>
      <c r="BH35" s="62">
        <f t="shared" si="10"/>
        <v>545.55564300114429</v>
      </c>
      <c r="BI35" s="62">
        <f ca="1">AVERAGE(OFFSET($BH$3,0,0,'Données projet'!$E$11+1,1))-AVERAGE(OFFSET($H$3,0,0,'Données projet'!$E$11+1,1))</f>
        <v>348.65374983303883</v>
      </c>
      <c r="BJ35" s="62">
        <f t="shared" si="11"/>
        <v>312.05848669315151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12.919999999999998</v>
      </c>
      <c r="BY35" s="13">
        <f>IF(A35&lt;'Données projet'!$A$114,$BV$205^A35,IF(A35='Données projet'!$A$114,'Données projet'!$B$114,BY34+BX35-CG34))</f>
        <v>167.63999999999993</v>
      </c>
      <c r="BZ35" s="14">
        <f>BY35*VLOOKUP('Données projet'!$B$12,Paramètres!$A$1:$I$88,3,0)*VLOOKUP('Données projet'!$B$12,Paramètres!$A$1:$I$88,5,0)</f>
        <v>122.91364799999994</v>
      </c>
      <c r="CA35" s="14">
        <f t="shared" si="46"/>
        <v>32.353608109504151</v>
      </c>
      <c r="CB35" s="22">
        <f t="shared" si="13"/>
        <v>270.42380439071962</v>
      </c>
      <c r="CC35" s="62">
        <f t="shared" si="14"/>
        <v>563.75713772405288</v>
      </c>
      <c r="CD35" s="62">
        <f ca="1">AVERAGE(OFFSET($CC$3,0,0,'Données projet'!$E$12+1,1))-AVERAGE(OFFSET($H$3,0,0,'Données projet'!$E$12+1,1))</f>
        <v>264.06656596707364</v>
      </c>
      <c r="CE35" s="62">
        <f t="shared" si="15"/>
        <v>315.34415130230195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>
        <f>VLOOKUP(A35,'Données projet'!$A$139:$I$159,2,0)</f>
        <v>243.4</v>
      </c>
      <c r="CR35" s="13">
        <f>VLOOKUP(A35,'Données projet'!$A$139:$I$159,9,0)</f>
        <v>16.150000000000006</v>
      </c>
      <c r="CS35" s="13">
        <f t="array" ref="CS35">INDEX(CR:CR,MIN(IF(ISNUMBER(CR35:CR231),ROW(CR35:CR231),"")))</f>
        <v>16.150000000000006</v>
      </c>
      <c r="CT35" s="13">
        <f>IF(A35&lt;'Données projet'!$A$140,$CQ$205^A35,IF(A35='Données projet'!$A$140,'Données projet'!$B$140,CT34+CS35-DB34))</f>
        <v>243.4</v>
      </c>
      <c r="CU35" s="18">
        <f>CT35*VLOOKUP('Données projet'!$B$13,Paramètres!$A$1:$I$88,3,0)*VLOOKUP('Données projet'!$B$13,Paramètres!$A$1:$I$88,5,0)</f>
        <v>145.55320000000003</v>
      </c>
      <c r="CV35" s="14">
        <f t="shared" si="47"/>
        <v>37.566271258601809</v>
      </c>
      <c r="CW35" s="22">
        <f t="shared" si="17"/>
        <v>318.93307910873153</v>
      </c>
      <c r="CX35" s="62">
        <f t="shared" si="18"/>
        <v>612.26641244206485</v>
      </c>
      <c r="CY35" s="62">
        <f ca="1">AVERAGE(OFFSET($CX$3,0,0,'Données projet'!$E$13+1,1))-AVERAGE(OFFSET($H$3,0,0,'Données projet'!$E$13+1,1))</f>
        <v>162.29089122912319</v>
      </c>
      <c r="CZ35" s="62">
        <f t="shared" si="19"/>
        <v>253.15422514195427</v>
      </c>
      <c r="DA35" s="16">
        <f>IF(ISNA(VLOOKUP(A35,'Données projet'!$A$139:$I$159,3,0)),0,VLOOKUP(A35,'Données projet'!$A$139:$I$159,3,0))</f>
        <v>4</v>
      </c>
      <c r="DB35" s="16">
        <f>IF(ISNA(VLOOKUP(A35,'Données projet'!$A$139:$I$159,4,0)),0,VLOOKUP(A35,'Données projet'!$A$139:$I$159,4,0))</f>
        <v>62.7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10.152172502619202</v>
      </c>
      <c r="DG35" s="23">
        <f>EXP(-LN(2)/25)*DG34+(1-EXP(-LN(2)/25))/(LN(2)/25)*Calculateur!DB35*Calculateur!DD35*VLOOKUP('Données projet'!$B$9,Paramètres!$A$1:$I$88,3,0)*0.475*44/12</f>
        <v>5.0217770160825932</v>
      </c>
      <c r="DH35" s="23">
        <f>EXP(-LN(2)/2)*DH34+(1-EXP(-LN(2)/2))/(LN(2)/2)*DB35*DE35*VLOOKUP('Données projet'!$B$9,Paramètres!$A$1:$I$88,3,0)*0.475*44/12</f>
        <v>1.16805070670264</v>
      </c>
      <c r="DI35" s="24">
        <f t="shared" si="20"/>
        <v>16.342000225404433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12.919999999999998</v>
      </c>
      <c r="DO35" s="13">
        <f>IF(A35&lt;'Données projet'!$A$166,$DL$205^A35,IF(A35='Données projet'!$A$166,'Données projet'!$B$166,DO34+DN35-DW34))</f>
        <v>167.63999999999993</v>
      </c>
      <c r="DP35" s="18">
        <f>DO35*VLOOKUP('Données projet'!$B$14,Paramètres!$A$1:$I$88,3,0)*VLOOKUP('Données projet'!$B$14,Paramètres!$A$1:$I$88,5,0)</f>
        <v>133.37438399999996</v>
      </c>
      <c r="DQ35" s="14">
        <f t="shared" si="48"/>
        <v>34.774913711031935</v>
      </c>
      <c r="DR35" s="22">
        <f t="shared" si="21"/>
        <v>292.86002684671388</v>
      </c>
      <c r="DS35" s="62">
        <f t="shared" si="22"/>
        <v>586.19336018004719</v>
      </c>
      <c r="DT35" s="62">
        <f ca="1">AVERAGE(OFFSET($DS$3,0,0,'Données projet'!$E$14+1,1))-AVERAGE(OFFSET($H$3,0,0,'Données projet'!$E$14+1,1))</f>
        <v>290.20755061064017</v>
      </c>
      <c r="DU35" s="62">
        <f t="shared" si="23"/>
        <v>343.54750327717181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25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4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IF(A36&lt;'Données projet'!$A$36,$K$205^A36,IF(A36='Données projet'!$A$36,'Données projet'!$B$36,N35+M36-V35))</f>
        <v>164.79999999999995</v>
      </c>
      <c r="O36" s="14">
        <f>N36*VLOOKUP('Données projet'!$B$9,Paramètres!$A$1:$I$88,3,0)*VLOOKUP('Données projet'!$B$9,Paramètres!$A$1:$I$88,5,0)</f>
        <v>77.126399999999975</v>
      </c>
      <c r="P36" s="14">
        <f t="shared" si="43"/>
        <v>21.43308513655586</v>
      </c>
      <c r="Q36" s="22">
        <f t="shared" si="53"/>
        <v>171.65776994616806</v>
      </c>
      <c r="R36" s="62">
        <f t="shared" si="0"/>
        <v>464.99110327950137</v>
      </c>
      <c r="S36" s="62">
        <f ca="1">AVERAGE(OFFSET($R$3,0,0,'Données projet'!$E$9+1,1))-AVERAGE(OFFSET($H$3,0,0,'Données projet'!$E$9+1,1))</f>
        <v>300.03481708703549</v>
      </c>
      <c r="T36" s="62">
        <f t="shared" si="3"/>
        <v>102.6350860969182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26.833333333333332</v>
      </c>
      <c r="AI36" s="14">
        <f>IF(A36&lt;'Données projet'!$A$62,$AF$205^A36,IF(A36='Données projet'!$A$62,'Données projet'!$B$62,AI35+AH36-AQ35))</f>
        <v>391.50000000000006</v>
      </c>
      <c r="AJ36" s="14">
        <f>AI36*VLOOKUP('Données projet'!$B$10,Paramètres!$A$1:$I$88,3,0)*VLOOKUP('Données projet'!$B$10,Paramètres!$A$1:$I$88,5,0)</f>
        <v>218.84850000000003</v>
      </c>
      <c r="AK36" s="14">
        <f t="shared" si="44"/>
        <v>53.864536496889208</v>
      </c>
      <c r="AL36" s="22">
        <f t="shared" si="5"/>
        <v>474.97520523208203</v>
      </c>
      <c r="AM36" s="62">
        <f t="shared" si="6"/>
        <v>768.30853856541535</v>
      </c>
      <c r="AN36" s="62">
        <f ca="1">AVERAGE(OFFSET($AM$3,0,0,'Données projet'!$E$10+1,1))-AVERAGE(OFFSET($H$3,0,0,'Données projet'!$E$10+1,1))</f>
        <v>328.27336939084597</v>
      </c>
      <c r="AO36" s="62">
        <f t="shared" si="7"/>
        <v>448.79354389108755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5.08383462744347</v>
      </c>
      <c r="AV36" s="23">
        <f>EXP(-LN(2)/25)*AV35+(1-EXP(-LN(2)/25))/(LN(2)/25)*Calculateur!AQ36*Calculateur!AS36*VLOOKUP('Données projet'!$B$9,Paramètres!$A$1:$I$88,3,0)*0.475*44/12</f>
        <v>12.664424699871553</v>
      </c>
      <c r="AW36" s="23">
        <f>EXP(-LN(2)/2)*AW35+(1-EXP(-LN(2)/2))/(LN(2)/2)*AQ36*AT36*VLOOKUP('Données projet'!$B$9,Paramètres!$A$1:$I$88,3,0)*0.475*44/12</f>
        <v>5.1504561731054039</v>
      </c>
      <c r="AX36" s="23">
        <f t="shared" si="8"/>
        <v>22.898715500420426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</v>
      </c>
      <c r="BD36" s="13">
        <f>IF(A36&lt;'Données projet'!$A$88,$BA$205^A36,IF(A36='Données projet'!$A$88,'Données projet'!$B$88,BD35+BC36-BL35))</f>
        <v>141.99999999999991</v>
      </c>
      <c r="BE36" s="14">
        <f>BD36*VLOOKUP('Données projet'!$B$11,Paramètres!$A$1:$I$88,3,0)*VLOOKUP('Données projet'!$B$11,Paramètres!$A$1:$I$88,5,0)</f>
        <v>124.05119999999994</v>
      </c>
      <c r="BF36" s="14">
        <f t="shared" si="45"/>
        <v>32.618041559365977</v>
      </c>
      <c r="BG36" s="22">
        <f t="shared" si="9"/>
        <v>272.86559571589561</v>
      </c>
      <c r="BH36" s="62">
        <f t="shared" si="10"/>
        <v>566.19892904922892</v>
      </c>
      <c r="BI36" s="62">
        <f ca="1">AVERAGE(OFFSET($BH$3,0,0,'Données projet'!$E$11+1,1))-AVERAGE(OFFSET($H$3,0,0,'Données projet'!$E$11+1,1))</f>
        <v>348.65374983303883</v>
      </c>
      <c r="BJ36" s="62">
        <f t="shared" si="11"/>
        <v>312.05848669315151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12.919999999999998</v>
      </c>
      <c r="BY36" s="13">
        <f>IF(A36&lt;'Données projet'!$A$114,$BV$205^A36,IF(A36='Données projet'!$A$114,'Données projet'!$B$114,BY35+BX36-CG35))</f>
        <v>180.55999999999992</v>
      </c>
      <c r="BZ36" s="14">
        <f>BY36*VLOOKUP('Données projet'!$B$12,Paramètres!$A$1:$I$88,3,0)*VLOOKUP('Données projet'!$B$12,Paramètres!$A$1:$I$88,5,0)</f>
        <v>132.38659199999992</v>
      </c>
      <c r="CA36" s="14">
        <f t="shared" si="46"/>
        <v>34.547245433823143</v>
      </c>
      <c r="CB36" s="22">
        <f t="shared" si="13"/>
        <v>290.74310019724186</v>
      </c>
      <c r="CC36" s="62">
        <f t="shared" si="14"/>
        <v>584.07643353057517</v>
      </c>
      <c r="CD36" s="62">
        <f ca="1">AVERAGE(OFFSET($CC$3,0,0,'Données projet'!$E$12+1,1))-AVERAGE(OFFSET($H$3,0,0,'Données projet'!$E$12+1,1))</f>
        <v>264.06656596707364</v>
      </c>
      <c r="CE36" s="62">
        <f t="shared" si="15"/>
        <v>315.34415130230195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12.833333333333334</v>
      </c>
      <c r="CT36" s="13">
        <f>IF(A36&lt;'Données projet'!$A$140,$CQ$205^A36,IF(A36='Données projet'!$A$140,'Données projet'!$B$140,CT35+CS36-DB35))</f>
        <v>193.53333333333336</v>
      </c>
      <c r="CU36" s="18">
        <f>CT36*VLOOKUP('Données projet'!$B$13,Paramètres!$A$1:$I$88,3,0)*VLOOKUP('Données projet'!$B$13,Paramètres!$A$1:$I$88,5,0)</f>
        <v>115.73293333333336</v>
      </c>
      <c r="CV36" s="14">
        <f t="shared" si="47"/>
        <v>30.677688646707754</v>
      </c>
      <c r="CW36" s="22">
        <f t="shared" si="17"/>
        <v>254.99849994857161</v>
      </c>
      <c r="CX36" s="62">
        <f t="shared" si="18"/>
        <v>548.33183328190489</v>
      </c>
      <c r="CY36" s="62">
        <f ca="1">AVERAGE(OFFSET($CX$3,0,0,'Données projet'!$E$13+1,1))-AVERAGE(OFFSET($H$3,0,0,'Données projet'!$E$13+1,1))</f>
        <v>162.29089122912319</v>
      </c>
      <c r="CZ36" s="62">
        <f t="shared" si="19"/>
        <v>253.15422514195427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9.9530945920566349</v>
      </c>
      <c r="DG36" s="23">
        <f>EXP(-LN(2)/25)*DG35+(1-EXP(-LN(2)/25))/(LN(2)/25)*Calculateur!DB36*Calculateur!DD36*VLOOKUP('Données projet'!$B$9,Paramètres!$A$1:$I$88,3,0)*0.475*44/12</f>
        <v>4.8844562594940388</v>
      </c>
      <c r="DH36" s="23">
        <f>EXP(-LN(2)/2)*DH35+(1-EXP(-LN(2)/2))/(LN(2)/2)*DB36*DE36*VLOOKUP('Données projet'!$B$9,Paramètres!$A$1:$I$88,3,0)*0.475*44/12</f>
        <v>0.82593657547917587</v>
      </c>
      <c r="DI36" s="24">
        <f t="shared" si="20"/>
        <v>15.66348742702985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12.919999999999998</v>
      </c>
      <c r="DO36" s="13">
        <f>IF(A36&lt;'Données projet'!$A$166,$DL$205^A36,IF(A36='Données projet'!$A$166,'Données projet'!$B$166,DO35+DN36-DW35))</f>
        <v>180.55999999999992</v>
      </c>
      <c r="DP36" s="18">
        <f>DO36*VLOOKUP('Données projet'!$B$14,Paramètres!$A$1:$I$88,3,0)*VLOOKUP('Données projet'!$B$14,Paramètres!$A$1:$I$88,5,0)</f>
        <v>143.65353599999995</v>
      </c>
      <c r="DQ36" s="14">
        <f t="shared" si="48"/>
        <v>37.132720247116019</v>
      </c>
      <c r="DR36" s="22">
        <f t="shared" si="21"/>
        <v>314.86939629706029</v>
      </c>
      <c r="DS36" s="62">
        <f t="shared" si="22"/>
        <v>608.20272963039361</v>
      </c>
      <c r="DT36" s="62">
        <f ca="1">AVERAGE(OFFSET($DS$3,0,0,'Données projet'!$E$14+1,1))-AVERAGE(OFFSET($H$3,0,0,'Données projet'!$E$14+1,1))</f>
        <v>290.20755061064017</v>
      </c>
      <c r="DU36" s="62">
        <f t="shared" si="23"/>
        <v>343.54750327717181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25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4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IF(A37&lt;'Données projet'!$A$36,$K$205^A37,IF(A37='Données projet'!$A$36,'Données projet'!$B$36,N36+M37-V36))</f>
        <v>179.39999999999995</v>
      </c>
      <c r="O37" s="14">
        <f>N37*VLOOKUP('Données projet'!$B$9,Paramètres!$A$1:$I$88,3,0)*VLOOKUP('Données projet'!$B$9,Paramètres!$A$1:$I$88,5,0)</f>
        <v>83.959199999999967</v>
      </c>
      <c r="P37" s="14">
        <f t="shared" si="43"/>
        <v>23.10249088081062</v>
      </c>
      <c r="Q37" s="22">
        <f t="shared" si="53"/>
        <v>186.46577828407843</v>
      </c>
      <c r="R37" s="62">
        <f t="shared" si="0"/>
        <v>479.79911161741177</v>
      </c>
      <c r="S37" s="62">
        <f ca="1">AVERAGE(OFFSET($R$3,0,0,'Données projet'!$E$9+1,1))-AVERAGE(OFFSET($H$3,0,0,'Données projet'!$E$9+1,1))</f>
        <v>300.03481708703549</v>
      </c>
      <c r="T37" s="62">
        <f t="shared" si="3"/>
        <v>102.6350860969182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26.833333333333332</v>
      </c>
      <c r="AI37" s="14">
        <f>IF(A37&lt;'Données projet'!$A$62,$AF$205^A37,IF(A37='Données projet'!$A$62,'Données projet'!$B$62,AI36+AH37-AQ36))</f>
        <v>418.33333333333337</v>
      </c>
      <c r="AJ37" s="14">
        <f>AI37*VLOOKUP('Données projet'!$B$10,Paramètres!$A$1:$I$88,3,0)*VLOOKUP('Données projet'!$B$10,Paramètres!$A$1:$I$88,5,0)</f>
        <v>233.84833333333336</v>
      </c>
      <c r="AK37" s="14">
        <f t="shared" si="44"/>
        <v>57.113975877934628</v>
      </c>
      <c r="AL37" s="22">
        <f t="shared" si="5"/>
        <v>506.75935520962508</v>
      </c>
      <c r="AM37" s="62">
        <f t="shared" si="6"/>
        <v>800.0926885429584</v>
      </c>
      <c r="AN37" s="62">
        <f ca="1">AVERAGE(OFFSET($AM$3,0,0,'Données projet'!$E$10+1,1))-AVERAGE(OFFSET($H$3,0,0,'Données projet'!$E$10+1,1))</f>
        <v>328.27336939084597</v>
      </c>
      <c r="AO37" s="62">
        <f t="shared" si="7"/>
        <v>448.79354389108755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4.9841437312322441</v>
      </c>
      <c r="AV37" s="23">
        <f>EXP(-LN(2)/25)*AV36+(1-EXP(-LN(2)/25))/(LN(2)/25)*Calculateur!AQ37*Calculateur!AS37*VLOOKUP('Données projet'!$B$9,Paramètres!$A$1:$I$88,3,0)*0.475*44/12</f>
        <v>12.318115340460416</v>
      </c>
      <c r="AW37" s="23">
        <f>EXP(-LN(2)/2)*AW36+(1-EXP(-LN(2)/2))/(LN(2)/2)*AQ37*AT37*VLOOKUP('Données projet'!$B$9,Paramètres!$A$1:$I$88,3,0)*0.475*44/12</f>
        <v>3.6419224862069459</v>
      </c>
      <c r="AX37" s="23">
        <f t="shared" si="8"/>
        <v>20.944181557899604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</v>
      </c>
      <c r="BD37" s="13">
        <f>IF(A37&lt;'Données projet'!$A$88,$BA$205^A37,IF(A37='Données projet'!$A$88,'Données projet'!$B$88,BD36+BC37-BL36))</f>
        <v>152.99999999999991</v>
      </c>
      <c r="BE37" s="14">
        <f>BD37*VLOOKUP('Données projet'!$B$11,Paramètres!$A$1:$I$88,3,0)*VLOOKUP('Données projet'!$B$11,Paramètres!$A$1:$I$88,5,0)</f>
        <v>133.66079999999994</v>
      </c>
      <c r="BF37" s="14">
        <f t="shared" si="45"/>
        <v>34.840890682716719</v>
      </c>
      <c r="BG37" s="22">
        <f t="shared" si="9"/>
        <v>293.47377793906486</v>
      </c>
      <c r="BH37" s="62">
        <f t="shared" si="10"/>
        <v>586.80711127239817</v>
      </c>
      <c r="BI37" s="62">
        <f ca="1">AVERAGE(OFFSET($BH$3,0,0,'Données projet'!$E$11+1,1))-AVERAGE(OFFSET($H$3,0,0,'Données projet'!$E$11+1,1))</f>
        <v>348.65374983303883</v>
      </c>
      <c r="BJ37" s="62">
        <f t="shared" si="11"/>
        <v>312.05848669315151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12.919999999999998</v>
      </c>
      <c r="BY37" s="13">
        <f>IF(A37&lt;'Données projet'!$A$114,$BV$205^A37,IF(A37='Données projet'!$A$114,'Données projet'!$B$114,BY36+BX37-CG36))</f>
        <v>193.4799999999999</v>
      </c>
      <c r="BZ37" s="14">
        <f>BY37*VLOOKUP('Données projet'!$B$12,Paramètres!$A$1:$I$88,3,0)*VLOOKUP('Données projet'!$B$12,Paramètres!$A$1:$I$88,5,0)</f>
        <v>141.85953599999993</v>
      </c>
      <c r="CA37" s="14">
        <f t="shared" si="46"/>
        <v>36.722671388271863</v>
      </c>
      <c r="CB37" s="22">
        <f t="shared" si="13"/>
        <v>311.03067786790672</v>
      </c>
      <c r="CC37" s="62">
        <f t="shared" si="14"/>
        <v>604.36401120124003</v>
      </c>
      <c r="CD37" s="62">
        <f ca="1">AVERAGE(OFFSET($CC$3,0,0,'Données projet'!$E$12+1,1))-AVERAGE(OFFSET($H$3,0,0,'Données projet'!$E$12+1,1))</f>
        <v>264.06656596707364</v>
      </c>
      <c r="CE37" s="62">
        <f t="shared" si="15"/>
        <v>315.34415130230195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12.833333333333334</v>
      </c>
      <c r="CT37" s="13">
        <f>IF(A37&lt;'Données projet'!$A$140,$CQ$205^A37,IF(A37='Données projet'!$A$140,'Données projet'!$B$140,CT36+CS37-DB36))</f>
        <v>206.3666666666667</v>
      </c>
      <c r="CU37" s="18">
        <f>CT37*VLOOKUP('Données projet'!$B$13,Paramètres!$A$1:$I$88,3,0)*VLOOKUP('Données projet'!$B$13,Paramètres!$A$1:$I$88,5,0)</f>
        <v>123.4072666666667</v>
      </c>
      <c r="CV37" s="14">
        <f t="shared" si="47"/>
        <v>32.468388718838185</v>
      </c>
      <c r="CW37" s="22">
        <f t="shared" si="17"/>
        <v>271.48343312975436</v>
      </c>
      <c r="CX37" s="62">
        <f t="shared" si="18"/>
        <v>564.81676646308767</v>
      </c>
      <c r="CY37" s="62">
        <f ca="1">AVERAGE(OFFSET($CX$3,0,0,'Données projet'!$E$13+1,1))-AVERAGE(OFFSET($H$3,0,0,'Données projet'!$E$13+1,1))</f>
        <v>162.29089122912319</v>
      </c>
      <c r="CZ37" s="62">
        <f t="shared" si="19"/>
        <v>253.15422514195427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9.7579204778946647</v>
      </c>
      <c r="DG37" s="23">
        <f>EXP(-LN(2)/25)*DG36+(1-EXP(-LN(2)/25))/(LN(2)/25)*Calculateur!DB37*Calculateur!DD37*VLOOKUP('Données projet'!$B$9,Paramètres!$A$1:$I$88,3,0)*0.475*44/12</f>
        <v>4.7508905462157829</v>
      </c>
      <c r="DH37" s="23">
        <f>EXP(-LN(2)/2)*DH36+(1-EXP(-LN(2)/2))/(LN(2)/2)*DB37*DE37*VLOOKUP('Données projet'!$B$9,Paramètres!$A$1:$I$88,3,0)*0.475*44/12</f>
        <v>0.58402535335132</v>
      </c>
      <c r="DI37" s="24">
        <f t="shared" si="20"/>
        <v>15.092836377461767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12.919999999999998</v>
      </c>
      <c r="DO37" s="13">
        <f>IF(A37&lt;'Données projet'!$A$166,$DL$205^A37,IF(A37='Données projet'!$A$166,'Données projet'!$B$166,DO36+DN37-DW36))</f>
        <v>193.4799999999999</v>
      </c>
      <c r="DP37" s="18">
        <f>DO37*VLOOKUP('Données projet'!$B$14,Paramètres!$A$1:$I$88,3,0)*VLOOKUP('Données projet'!$B$14,Paramètres!$A$1:$I$88,5,0)</f>
        <v>153.93268799999993</v>
      </c>
      <c r="DQ37" s="14">
        <f t="shared" si="48"/>
        <v>39.470952496040077</v>
      </c>
      <c r="DR37" s="22">
        <f t="shared" si="21"/>
        <v>336.84467386393629</v>
      </c>
      <c r="DS37" s="62">
        <f t="shared" si="22"/>
        <v>630.17800719726961</v>
      </c>
      <c r="DT37" s="62">
        <f ca="1">AVERAGE(OFFSET($DS$3,0,0,'Données projet'!$E$14+1,1))-AVERAGE(OFFSET($H$3,0,0,'Données projet'!$E$14+1,1))</f>
        <v>290.20755061064017</v>
      </c>
      <c r="DU37" s="62">
        <f t="shared" si="23"/>
        <v>343.54750327717181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25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4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</v>
      </c>
      <c r="N38" s="14">
        <f>IF(A38&lt;'Données projet'!$A$36,$K$205^A38,IF(A38='Données projet'!$A$36,'Données projet'!$B$36,N37+M38-V37))</f>
        <v>193.99999999999994</v>
      </c>
      <c r="O38" s="14">
        <f>N38*VLOOKUP('Données projet'!$B$9,Paramètres!$A$1:$I$88,3,0)*VLOOKUP('Données projet'!$B$9,Paramètres!$A$1:$I$88,5,0)</f>
        <v>90.791999999999973</v>
      </c>
      <c r="P38" s="14">
        <f t="shared" si="43"/>
        <v>24.756138813110173</v>
      </c>
      <c r="Q38" s="22">
        <f t="shared" si="53"/>
        <v>201.24634176616681</v>
      </c>
      <c r="R38" s="62">
        <f t="shared" si="0"/>
        <v>494.57967509950015</v>
      </c>
      <c r="S38" s="62">
        <f ca="1">AVERAGE(OFFSET($R$3,0,0,'Données projet'!$E$9+1,1))-AVERAGE(OFFSET($H$3,0,0,'Données projet'!$E$9+1,1))</f>
        <v>300.03481708703549</v>
      </c>
      <c r="T38" s="62">
        <f t="shared" si="3"/>
        <v>102.6350860969182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26.833333333333332</v>
      </c>
      <c r="AI38" s="14">
        <f>IF(A38&lt;'Données projet'!$A$62,$AF$205^A38,IF(A38='Données projet'!$A$62,'Données projet'!$B$62,AI37+AH38-AQ37))</f>
        <v>445.16666666666669</v>
      </c>
      <c r="AJ38" s="14">
        <f>AI38*VLOOKUP('Données projet'!$B$10,Paramètres!$A$1:$I$88,3,0)*VLOOKUP('Données projet'!$B$10,Paramètres!$A$1:$I$88,5,0)</f>
        <v>248.84816666666669</v>
      </c>
      <c r="AK38" s="14">
        <f t="shared" si="44"/>
        <v>60.339226828369291</v>
      </c>
      <c r="AL38" s="22">
        <f t="shared" si="5"/>
        <v>538.50137700385426</v>
      </c>
      <c r="AM38" s="62">
        <f t="shared" si="6"/>
        <v>831.83471033718752</v>
      </c>
      <c r="AN38" s="62">
        <f ca="1">AVERAGE(OFFSET($AM$3,0,0,'Données projet'!$E$10+1,1))-AVERAGE(OFFSET($H$3,0,0,'Données projet'!$E$10+1,1))</f>
        <v>328.27336939084597</v>
      </c>
      <c r="AO38" s="62">
        <f t="shared" si="7"/>
        <v>448.79354389108755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4.8864077126902776</v>
      </c>
      <c r="AV38" s="23">
        <f>EXP(-LN(2)/25)*AV37+(1-EXP(-LN(2)/25))/(LN(2)/25)*Calculateur!AQ38*Calculateur!AS38*VLOOKUP('Données projet'!$B$9,Paramètres!$A$1:$I$88,3,0)*0.475*44/12</f>
        <v>11.981275828693994</v>
      </c>
      <c r="AW38" s="23">
        <f>EXP(-LN(2)/2)*AW37+(1-EXP(-LN(2)/2))/(LN(2)/2)*AQ38*AT38*VLOOKUP('Données projet'!$B$9,Paramètres!$A$1:$I$88,3,0)*0.475*44/12</f>
        <v>2.5752280865527024</v>
      </c>
      <c r="AX38" s="23">
        <f t="shared" si="8"/>
        <v>19.442911627936972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164</v>
      </c>
      <c r="BB38" s="13">
        <f>VLOOKUP(A38,'Données projet'!$A$87:$I$107,9,0)</f>
        <v>11</v>
      </c>
      <c r="BC38" s="13">
        <f t="array" ref="BC38">INDEX(BB:BB,MIN(IF(ISNUMBER(BB38:BB234),ROW(BB38:BB234),"")))</f>
        <v>11</v>
      </c>
      <c r="BD38" s="13">
        <f>IF(A38&lt;'Données projet'!$A$88,$BA$205^A38,IF(A38='Données projet'!$A$88,'Données projet'!$B$88,BD37+BC38-BL37))</f>
        <v>163.99999999999991</v>
      </c>
      <c r="BE38" s="14">
        <f>BD38*VLOOKUP('Données projet'!$B$11,Paramètres!$A$1:$I$88,3,0)*VLOOKUP('Données projet'!$B$11,Paramètres!$A$1:$I$88,5,0)</f>
        <v>143.27039999999994</v>
      </c>
      <c r="BF38" s="14">
        <f t="shared" si="45"/>
        <v>37.045198377171303</v>
      </c>
      <c r="BG38" s="22">
        <f t="shared" si="9"/>
        <v>314.04966717357325</v>
      </c>
      <c r="BH38" s="62">
        <f t="shared" si="10"/>
        <v>607.38300050690657</v>
      </c>
      <c r="BI38" s="62">
        <f ca="1">AVERAGE(OFFSET($BH$3,0,0,'Données projet'!$E$11+1,1))-AVERAGE(OFFSET($H$3,0,0,'Données projet'!$E$11+1,1))</f>
        <v>348.65374983303883</v>
      </c>
      <c r="BJ38" s="62">
        <f t="shared" si="11"/>
        <v>312.05848669315151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206.4</v>
      </c>
      <c r="BW38" s="13">
        <f>VLOOKUP(A38,'Données projet'!$A$113:$I$133,9,0)</f>
        <v>12.919999999999998</v>
      </c>
      <c r="BX38" s="13">
        <f t="array" ref="BX38">INDEX(BW:BW,MIN(IF(ISNUMBER(BW38:BW234),ROW(BW38:BW234),"")))</f>
        <v>12.919999999999998</v>
      </c>
      <c r="BY38" s="13">
        <f>IF(A38&lt;'Données projet'!$A$114,$BV$205^A38,IF(A38='Données projet'!$A$114,'Données projet'!$B$114,BY37+BX38-CG37))</f>
        <v>206.39999999999989</v>
      </c>
      <c r="BZ38" s="14">
        <f>BY38*VLOOKUP('Données projet'!$B$12,Paramètres!$A$1:$I$88,3,0)*VLOOKUP('Données projet'!$B$12,Paramètres!$A$1:$I$88,5,0)</f>
        <v>151.33247999999992</v>
      </c>
      <c r="CA38" s="14">
        <f t="shared" si="46"/>
        <v>38.881240443489794</v>
      </c>
      <c r="CB38" s="22">
        <f t="shared" si="13"/>
        <v>331.28889643907786</v>
      </c>
      <c r="CC38" s="62">
        <f t="shared" si="14"/>
        <v>624.62222977241117</v>
      </c>
      <c r="CD38" s="62">
        <f ca="1">AVERAGE(OFFSET($CC$3,0,0,'Données projet'!$E$12+1,1))-AVERAGE(OFFSET($H$3,0,0,'Données projet'!$E$12+1,1))</f>
        <v>264.06656596707364</v>
      </c>
      <c r="CE38" s="62">
        <f t="shared" si="15"/>
        <v>315.34415130230195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219.2</v>
      </c>
      <c r="CR38" s="13">
        <f>VLOOKUP(A38,'Données projet'!$A$139:$I$159,9,0)</f>
        <v>12.833333333333334</v>
      </c>
      <c r="CS38" s="13">
        <f t="array" ref="CS38">INDEX(CR:CR,MIN(IF(ISNUMBER(CR38:CR234),ROW(CR38:CR234),"")))</f>
        <v>12.833333333333334</v>
      </c>
      <c r="CT38" s="13">
        <f>IF(A38&lt;'Données projet'!$A$140,$CQ$205^A38,IF(A38='Données projet'!$A$140,'Données projet'!$B$140,CT37+CS38-DB37))</f>
        <v>219.20000000000005</v>
      </c>
      <c r="CU38" s="18">
        <f>CT38*VLOOKUP('Données projet'!$B$13,Paramètres!$A$1:$I$88,3,0)*VLOOKUP('Données projet'!$B$13,Paramètres!$A$1:$I$88,5,0)</f>
        <v>131.08160000000004</v>
      </c>
      <c r="CV38" s="14">
        <f t="shared" si="47"/>
        <v>34.246164688678711</v>
      </c>
      <c r="CW38" s="22">
        <f t="shared" si="17"/>
        <v>287.94585683278211</v>
      </c>
      <c r="CX38" s="62">
        <f t="shared" si="18"/>
        <v>581.27919016611543</v>
      </c>
      <c r="CY38" s="62">
        <f ca="1">AVERAGE(OFFSET($CX$3,0,0,'Données projet'!$E$13+1,1))-AVERAGE(OFFSET($H$3,0,0,'Données projet'!$E$13+1,1))</f>
        <v>162.29089122912319</v>
      </c>
      <c r="CZ38" s="62">
        <f t="shared" si="19"/>
        <v>253.15422514195427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9.5665736090669551</v>
      </c>
      <c r="DG38" s="23">
        <f>EXP(-LN(2)/25)*DG37+(1-EXP(-LN(2)/25))/(LN(2)/25)*Calculateur!DB38*Calculateur!DD38*VLOOKUP('Données projet'!$B$9,Paramètres!$A$1:$I$88,3,0)*0.475*44/12</f>
        <v>4.6209771943910365</v>
      </c>
      <c r="DH38" s="23">
        <f>EXP(-LN(2)/2)*DH37+(1-EXP(-LN(2)/2))/(LN(2)/2)*DB38*DE38*VLOOKUP('Données projet'!$B$9,Paramètres!$A$1:$I$88,3,0)*0.475*44/12</f>
        <v>0.41296828773958794</v>
      </c>
      <c r="DI38" s="24">
        <f t="shared" si="20"/>
        <v>14.60051909119758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206.4</v>
      </c>
      <c r="DM38" s="13">
        <f>VLOOKUP(A38,'Données projet'!$A$165:$I$185,9,0)</f>
        <v>12.919999999999998</v>
      </c>
      <c r="DN38" s="13">
        <f t="array" ref="DN38">INDEX(DM:DM,MIN(IF(ISNUMBER(DM38:DM234),ROW(DM38:DM234),"")))</f>
        <v>12.919999999999998</v>
      </c>
      <c r="DO38" s="13">
        <f>IF(A38&lt;'Données projet'!$A$166,$DL$205^A38,IF(A38='Données projet'!$A$166,'Données projet'!$B$166,DO37+DN38-DW37))</f>
        <v>206.39999999999989</v>
      </c>
      <c r="DP38" s="18">
        <f>DO38*VLOOKUP('Données projet'!$B$14,Paramètres!$A$1:$I$88,3,0)*VLOOKUP('Données projet'!$B$14,Paramètres!$A$1:$I$88,5,0)</f>
        <v>164.21183999999994</v>
      </c>
      <c r="DQ38" s="14">
        <f t="shared" si="48"/>
        <v>41.79106629541738</v>
      </c>
      <c r="DR38" s="22">
        <f t="shared" si="21"/>
        <v>358.78839513118515</v>
      </c>
      <c r="DS38" s="62">
        <f t="shared" si="22"/>
        <v>652.12172846451847</v>
      </c>
      <c r="DT38" s="62">
        <f ca="1">AVERAGE(OFFSET($DS$3,0,0,'Données projet'!$E$14+1,1))-AVERAGE(OFFSET($H$3,0,0,'Données projet'!$E$14+1,1))</f>
        <v>290.20755061064017</v>
      </c>
      <c r="DU38" s="62">
        <f t="shared" si="23"/>
        <v>343.54750327717181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25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4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14.6</v>
      </c>
      <c r="N39" s="14">
        <f>IF(A39&lt;'Données projet'!$A$36,$K$205^A39,IF(A39='Données projet'!$A$36,'Données projet'!$B$36,N38+M39-V38))</f>
        <v>208.59999999999994</v>
      </c>
      <c r="O39" s="14">
        <f>N39*VLOOKUP('Données projet'!$B$9,Paramètres!$A$1:$I$88,3,0)*VLOOKUP('Données projet'!$B$9,Paramètres!$A$1:$I$88,5,0)</f>
        <v>97.624799999999965</v>
      </c>
      <c r="P39" s="14">
        <f t="shared" si="43"/>
        <v>26.395349675372152</v>
      </c>
      <c r="Q39" s="22">
        <f t="shared" si="53"/>
        <v>216.00176068460644</v>
      </c>
      <c r="R39" s="62">
        <f t="shared" si="0"/>
        <v>509.33509401793975</v>
      </c>
      <c r="S39" s="62">
        <f ca="1">AVERAGE(OFFSET($R$3,0,0,'Données projet'!$E$9+1,1))-AVERAGE(OFFSET($H$3,0,0,'Données projet'!$E$9+1,1))</f>
        <v>300.03481708703549</v>
      </c>
      <c r="T39" s="62">
        <f t="shared" si="3"/>
        <v>102.6350860969182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472</v>
      </c>
      <c r="AG39" s="13">
        <f>VLOOKUP(A39,'Données projet'!$A$61:$I$81,9,0)</f>
        <v>26.833333333333332</v>
      </c>
      <c r="AH39" s="13">
        <f t="array" ref="AH39">INDEX(AG:AG,MIN(IF(ISNUMBER(AG39:AG235),ROW(AG39:AG235),"")))</f>
        <v>26.833333333333332</v>
      </c>
      <c r="AI39" s="14">
        <f>IF(A39&lt;'Données projet'!$A$62,$AF$205^A39,IF(A39='Données projet'!$A$62,'Données projet'!$B$62,AI38+AH39-AQ38))</f>
        <v>472</v>
      </c>
      <c r="AJ39" s="14">
        <f>AI39*VLOOKUP('Données projet'!$B$10,Paramètres!$A$1:$I$88,3,0)*VLOOKUP('Données projet'!$B$10,Paramètres!$A$1:$I$88,5,0)</f>
        <v>263.84800000000001</v>
      </c>
      <c r="AK39" s="14">
        <f t="shared" si="44"/>
        <v>63.541913395692205</v>
      </c>
      <c r="AL39" s="22">
        <f t="shared" si="5"/>
        <v>570.20409916416395</v>
      </c>
      <c r="AM39" s="62">
        <f t="shared" si="6"/>
        <v>863.53743249749732</v>
      </c>
      <c r="AN39" s="62">
        <f ca="1">AVERAGE(OFFSET($AM$3,0,0,'Données projet'!$E$10+1,1))-AVERAGE(OFFSET($H$3,0,0,'Données projet'!$E$10+1,1))</f>
        <v>328.27336939084597</v>
      </c>
      <c r="AO39" s="62">
        <f t="shared" si="7"/>
        <v>448.79354389108755</v>
      </c>
      <c r="AP39" s="16">
        <f>IF(ISNA(VLOOKUP(A39,'Données projet'!$A$61:$I$81,3,0)),0,VLOOKUP(A39,'Données projet'!$A$61:$I$81,3,0))</f>
        <v>4</v>
      </c>
      <c r="AQ39" s="16">
        <f>IF(ISNA(VLOOKUP(A39,'Données projet'!$A$61:$I$81,4,0)),0,VLOOKUP(A39,'Données projet'!$A$61:$I$81,4,0))</f>
        <v>92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4.7905882378588345</v>
      </c>
      <c r="AV39" s="23">
        <f>EXP(-LN(2)/25)*AV38+(1-EXP(-LN(2)/25))/(LN(2)/25)*Calculateur!AQ39*Calculateur!AS39*VLOOKUP('Données projet'!$B$9,Paramètres!$A$1:$I$88,3,0)*0.475*44/12</f>
        <v>11.653647211090444</v>
      </c>
      <c r="AW39" s="23">
        <f>EXP(-LN(2)/2)*AW38+(1-EXP(-LN(2)/2))/(LN(2)/2)*AQ39*AT39*VLOOKUP('Données projet'!$B$9,Paramètres!$A$1:$I$88,3,0)*0.475*44/12</f>
        <v>1.8209612431034734</v>
      </c>
      <c r="AX39" s="23">
        <f t="shared" si="8"/>
        <v>18.265196692052751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</v>
      </c>
      <c r="BD39" s="13">
        <f>IF(A39&lt;'Données projet'!$A$88,$BA$205^A39,IF(A39='Données projet'!$A$88,'Données projet'!$B$88,BD38+BC39-BL38))</f>
        <v>174.99999999999991</v>
      </c>
      <c r="BE39" s="14">
        <f>BD39*VLOOKUP('Données projet'!$B$11,Paramètres!$A$1:$I$88,3,0)*VLOOKUP('Données projet'!$B$11,Paramètres!$A$1:$I$88,5,0)</f>
        <v>152.87999999999994</v>
      </c>
      <c r="BF39" s="14">
        <f t="shared" si="45"/>
        <v>39.232349774697852</v>
      </c>
      <c r="BG39" s="22">
        <f t="shared" si="9"/>
        <v>334.59567585759868</v>
      </c>
      <c r="BH39" s="62">
        <f t="shared" si="10"/>
        <v>627.92900919093199</v>
      </c>
      <c r="BI39" s="62">
        <f ca="1">AVERAGE(OFFSET($BH$3,0,0,'Données projet'!$E$11+1,1))-AVERAGE(OFFSET($H$3,0,0,'Données projet'!$E$11+1,1))</f>
        <v>348.65374983303883</v>
      </c>
      <c r="BJ39" s="62">
        <f t="shared" si="11"/>
        <v>312.05848669315151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11.340000000000003</v>
      </c>
      <c r="BY39" s="13">
        <f>IF(A39&lt;'Données projet'!$A$114,$BV$205^A39,IF(A39='Données projet'!$A$114,'Données projet'!$B$114,BY38+BX39-CG38))</f>
        <v>217.7399999999999</v>
      </c>
      <c r="BZ39" s="14">
        <f>BY39*VLOOKUP('Données projet'!$B$12,Paramètres!$A$1:$I$88,3,0)*VLOOKUP('Données projet'!$B$12,Paramètres!$A$1:$I$88,5,0)</f>
        <v>159.64696799999993</v>
      </c>
      <c r="CA39" s="14">
        <f t="shared" si="46"/>
        <v>40.762877819882384</v>
      </c>
      <c r="CB39" s="22">
        <f t="shared" si="13"/>
        <v>349.04714813629499</v>
      </c>
      <c r="CC39" s="62">
        <f t="shared" si="14"/>
        <v>642.38048146962831</v>
      </c>
      <c r="CD39" s="62">
        <f ca="1">AVERAGE(OFFSET($CC$3,0,0,'Données projet'!$E$12+1,1))-AVERAGE(OFFSET($H$3,0,0,'Données projet'!$E$12+1,1))</f>
        <v>264.06656596707364</v>
      </c>
      <c r="CE39" s="62">
        <f t="shared" si="15"/>
        <v>315.34415130230195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13.100000000000003</v>
      </c>
      <c r="CT39" s="13">
        <f>IF(A39&lt;'Données projet'!$A$140,$CQ$205^A39,IF(A39='Données projet'!$A$140,'Données projet'!$B$140,CT38+CS39-DB38))</f>
        <v>232.30000000000004</v>
      </c>
      <c r="CU39" s="18">
        <f>CT39*VLOOKUP('Données projet'!$B$13,Paramètres!$A$1:$I$88,3,0)*VLOOKUP('Données projet'!$B$13,Paramètres!$A$1:$I$88,5,0)</f>
        <v>138.91540000000003</v>
      </c>
      <c r="CV39" s="14">
        <f t="shared" si="47"/>
        <v>36.048426511596745</v>
      </c>
      <c r="CW39" s="22">
        <f t="shared" si="17"/>
        <v>304.72866450769772</v>
      </c>
      <c r="CX39" s="62">
        <f t="shared" si="18"/>
        <v>598.06199784103103</v>
      </c>
      <c r="CY39" s="62">
        <f ca="1">AVERAGE(OFFSET($CX$3,0,0,'Données projet'!$E$13+1,1))-AVERAGE(OFFSET($H$3,0,0,'Données projet'!$E$13+1,1))</f>
        <v>162.29089122912319</v>
      </c>
      <c r="CZ39" s="62">
        <f t="shared" si="19"/>
        <v>253.15422514195427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9.3789789356268916</v>
      </c>
      <c r="DG39" s="23">
        <f>EXP(-LN(2)/25)*DG38+(1-EXP(-LN(2)/25))/(LN(2)/25)*Calculateur!DB39*Calculateur!DD39*VLOOKUP('Données projet'!$B$9,Paramètres!$A$1:$I$88,3,0)*0.475*44/12</f>
        <v>4.494616330003784</v>
      </c>
      <c r="DH39" s="23">
        <f>EXP(-LN(2)/2)*DH38+(1-EXP(-LN(2)/2))/(LN(2)/2)*DB39*DE39*VLOOKUP('Données projet'!$B$9,Paramètres!$A$1:$I$88,3,0)*0.475*44/12</f>
        <v>0.29201267667566</v>
      </c>
      <c r="DI39" s="24">
        <f t="shared" si="20"/>
        <v>14.165607942306336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11.340000000000003</v>
      </c>
      <c r="DO39" s="13">
        <f>IF(A39&lt;'Données projet'!$A$166,$DL$205^A39,IF(A39='Données projet'!$A$166,'Données projet'!$B$166,DO38+DN39-DW38))</f>
        <v>217.7399999999999</v>
      </c>
      <c r="DP39" s="18">
        <f>DO39*VLOOKUP('Données projet'!$B$14,Paramètres!$A$1:$I$88,3,0)*VLOOKUP('Données projet'!$B$14,Paramètres!$A$1:$I$88,5,0)</f>
        <v>173.23394399999992</v>
      </c>
      <c r="DQ39" s="14">
        <f t="shared" si="48"/>
        <v>43.813523178063591</v>
      </c>
      <c r="DR39" s="22">
        <f t="shared" si="21"/>
        <v>378.02433866846064</v>
      </c>
      <c r="DS39" s="62">
        <f t="shared" si="22"/>
        <v>671.35767200179396</v>
      </c>
      <c r="DT39" s="62">
        <f ca="1">AVERAGE(OFFSET($DS$3,0,0,'Données projet'!$E$14+1,1))-AVERAGE(OFFSET($H$3,0,0,'Données projet'!$E$14+1,1))</f>
        <v>290.20755061064017</v>
      </c>
      <c r="DU39" s="62">
        <f t="shared" si="23"/>
        <v>343.54750327717181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25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4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14.6</v>
      </c>
      <c r="N40" s="14">
        <f>IF(A40&lt;'Données projet'!$A$36,$K$205^A40,IF(A40='Données projet'!$A$36,'Données projet'!$B$36,N39+M40-V39))</f>
        <v>223.19999999999993</v>
      </c>
      <c r="O40" s="14">
        <f>N40*VLOOKUP('Données projet'!$B$9,Paramètres!$A$1:$I$88,3,0)*VLOOKUP('Données projet'!$B$9,Paramètres!$A$1:$I$88,5,0)</f>
        <v>104.45759999999997</v>
      </c>
      <c r="P40" s="14">
        <f t="shared" si="43"/>
        <v>28.021248860498247</v>
      </c>
      <c r="Q40" s="22">
        <f t="shared" si="53"/>
        <v>230.73399509870103</v>
      </c>
      <c r="R40" s="62">
        <f t="shared" si="0"/>
        <v>524.0673284320344</v>
      </c>
      <c r="S40" s="62">
        <f ca="1">AVERAGE(OFFSET($R$3,0,0,'Données projet'!$E$9+1,1))-AVERAGE(OFFSET($H$3,0,0,'Données projet'!$E$9+1,1))</f>
        <v>300.03481708703549</v>
      </c>
      <c r="T40" s="62">
        <f t="shared" si="3"/>
        <v>102.6350860969182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26.333333333333332</v>
      </c>
      <c r="AI40" s="14">
        <f>IF(A40&lt;'Données projet'!$A$62,$AF$205^A40,IF(A40='Données projet'!$A$62,'Données projet'!$B$62,AI39+AH40-AQ39))</f>
        <v>406.33333333333331</v>
      </c>
      <c r="AJ40" s="14">
        <f>AI40*VLOOKUP('Données projet'!$B$10,Paramètres!$A$1:$I$88,3,0)*VLOOKUP('Données projet'!$B$10,Paramètres!$A$1:$I$88,5,0)</f>
        <v>227.14033333333333</v>
      </c>
      <c r="AK40" s="14">
        <f t="shared" si="44"/>
        <v>55.663905221219039</v>
      </c>
      <c r="AL40" s="22">
        <f t="shared" si="5"/>
        <v>492.55071548251203</v>
      </c>
      <c r="AM40" s="62">
        <f t="shared" si="6"/>
        <v>785.88404881584529</v>
      </c>
      <c r="AN40" s="62">
        <f ca="1">AVERAGE(OFFSET($AM$3,0,0,'Données projet'!$E$10+1,1))-AVERAGE(OFFSET($H$3,0,0,'Données projet'!$E$10+1,1))</f>
        <v>328.27336939084597</v>
      </c>
      <c r="AO40" s="62">
        <f t="shared" si="7"/>
        <v>448.79354389108755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4.6966477244847269</v>
      </c>
      <c r="AV40" s="23">
        <f>EXP(-LN(2)/25)*AV39+(1-EXP(-LN(2)/25))/(LN(2)/25)*Calculateur!AQ40*Calculateur!AS40*VLOOKUP('Données projet'!$B$9,Paramètres!$A$1:$I$88,3,0)*0.475*44/12</f>
        <v>11.334977615264505</v>
      </c>
      <c r="AW40" s="23">
        <f>EXP(-LN(2)/2)*AW39+(1-EXP(-LN(2)/2))/(LN(2)/2)*AQ40*AT40*VLOOKUP('Données projet'!$B$9,Paramètres!$A$1:$I$88,3,0)*0.475*44/12</f>
        <v>1.2876140432763514</v>
      </c>
      <c r="AX40" s="23">
        <f t="shared" si="8"/>
        <v>17.319239383025586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</v>
      </c>
      <c r="BD40" s="13">
        <f>IF(A40&lt;'Données projet'!$A$88,$BA$205^A40,IF(A40='Données projet'!$A$88,'Données projet'!$B$88,BD39+BC40-BL39))</f>
        <v>185.99999999999991</v>
      </c>
      <c r="BE40" s="14">
        <f>BD40*VLOOKUP('Données projet'!$B$11,Paramètres!$A$1:$I$88,3,0)*VLOOKUP('Données projet'!$B$11,Paramètres!$A$1:$I$88,5,0)</f>
        <v>162.48959999999997</v>
      </c>
      <c r="BF40" s="14">
        <f t="shared" si="45"/>
        <v>41.403546033820696</v>
      </c>
      <c r="BG40" s="22">
        <f t="shared" si="9"/>
        <v>355.11389600890431</v>
      </c>
      <c r="BH40" s="62">
        <f t="shared" si="10"/>
        <v>648.44722934223762</v>
      </c>
      <c r="BI40" s="62">
        <f ca="1">AVERAGE(OFFSET($BH$3,0,0,'Données projet'!$E$11+1,1))-AVERAGE(OFFSET($H$3,0,0,'Données projet'!$E$11+1,1))</f>
        <v>348.65374983303883</v>
      </c>
      <c r="BJ40" s="62">
        <f t="shared" si="11"/>
        <v>312.05848669315151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11.340000000000003</v>
      </c>
      <c r="BY40" s="13">
        <f>IF(A40&lt;'Données projet'!$A$114,$BV$205^A40,IF(A40='Données projet'!$A$114,'Données projet'!$B$114,BY39+BX40-CG39))</f>
        <v>229.0799999999999</v>
      </c>
      <c r="BZ40" s="14">
        <f>BY40*VLOOKUP('Données projet'!$B$12,Paramètres!$A$1:$I$88,3,0)*VLOOKUP('Données projet'!$B$12,Paramètres!$A$1:$I$88,5,0)</f>
        <v>167.96145599999994</v>
      </c>
      <c r="CA40" s="14">
        <f t="shared" si="46"/>
        <v>42.633137473671702</v>
      </c>
      <c r="CB40" s="22">
        <f t="shared" si="13"/>
        <v>366.78558363331143</v>
      </c>
      <c r="CC40" s="62">
        <f t="shared" si="14"/>
        <v>660.11891696664475</v>
      </c>
      <c r="CD40" s="62">
        <f ca="1">AVERAGE(OFFSET($CC$3,0,0,'Données projet'!$E$12+1,1))-AVERAGE(OFFSET($H$3,0,0,'Données projet'!$E$12+1,1))</f>
        <v>264.06656596707364</v>
      </c>
      <c r="CE40" s="62">
        <f t="shared" si="15"/>
        <v>315.34415130230195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13.100000000000003</v>
      </c>
      <c r="CT40" s="13">
        <f>IF(A40&lt;'Données projet'!$A$140,$CQ$205^A40,IF(A40='Données projet'!$A$140,'Données projet'!$B$140,CT39+CS40-DB39))</f>
        <v>245.40000000000003</v>
      </c>
      <c r="CU40" s="18">
        <f>CT40*VLOOKUP('Données projet'!$B$13,Paramètres!$A$1:$I$88,3,0)*VLOOKUP('Données projet'!$B$13,Paramètres!$A$1:$I$88,5,0)</f>
        <v>146.74920000000003</v>
      </c>
      <c r="CV40" s="14">
        <f t="shared" si="47"/>
        <v>37.838890253012828</v>
      </c>
      <c r="CW40" s="22">
        <f t="shared" si="17"/>
        <v>321.4909238573307</v>
      </c>
      <c r="CX40" s="62">
        <f t="shared" si="18"/>
        <v>614.82425719066396</v>
      </c>
      <c r="CY40" s="62">
        <f ca="1">AVERAGE(OFFSET($CX$3,0,0,'Données projet'!$E$13+1,1))-AVERAGE(OFFSET($H$3,0,0,'Données projet'!$E$13+1,1))</f>
        <v>162.29089122912319</v>
      </c>
      <c r="CZ40" s="62">
        <f t="shared" si="19"/>
        <v>253.15422514195427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9.1950628793115357</v>
      </c>
      <c r="DG40" s="23">
        <f>EXP(-LN(2)/25)*DG39+(1-EXP(-LN(2)/25))/(LN(2)/25)*Calculateur!DB40*Calculateur!DD40*VLOOKUP('Données projet'!$B$9,Paramètres!$A$1:$I$88,3,0)*0.475*44/12</f>
        <v>4.3717108100982305</v>
      </c>
      <c r="DH40" s="23">
        <f>EXP(-LN(2)/2)*DH39+(1-EXP(-LN(2)/2))/(LN(2)/2)*DB40*DE40*VLOOKUP('Données projet'!$B$9,Paramètres!$A$1:$I$88,3,0)*0.475*44/12</f>
        <v>0.20648414386979397</v>
      </c>
      <c r="DI40" s="24">
        <f t="shared" si="20"/>
        <v>13.77325783327956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11.340000000000003</v>
      </c>
      <c r="DO40" s="13">
        <f>IF(A40&lt;'Données projet'!$A$166,$DL$205^A40,IF(A40='Données projet'!$A$166,'Données projet'!$B$166,DO39+DN40-DW39))</f>
        <v>229.0799999999999</v>
      </c>
      <c r="DP40" s="18">
        <f>DO40*VLOOKUP('Données projet'!$B$14,Paramètres!$A$1:$I$88,3,0)*VLOOKUP('Données projet'!$B$14,Paramètres!$A$1:$I$88,5,0)</f>
        <v>182.25604799999994</v>
      </c>
      <c r="DQ40" s="14">
        <f t="shared" si="48"/>
        <v>45.823750842861273</v>
      </c>
      <c r="DR40" s="22">
        <f t="shared" si="21"/>
        <v>397.23898298464991</v>
      </c>
      <c r="DS40" s="62">
        <f t="shared" si="22"/>
        <v>690.57231631798322</v>
      </c>
      <c r="DT40" s="62">
        <f ca="1">AVERAGE(OFFSET($DS$3,0,0,'Données projet'!$E$14+1,1))-AVERAGE(OFFSET($H$3,0,0,'Données projet'!$E$14+1,1))</f>
        <v>290.20755061064017</v>
      </c>
      <c r="DU40" s="62">
        <f t="shared" si="23"/>
        <v>343.54750327717181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25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4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14.6</v>
      </c>
      <c r="N41" s="14">
        <f>IF(A41&lt;'Données projet'!$A$36,$K$205^A41,IF(A41='Données projet'!$A$36,'Données projet'!$B$36,N40+M41-V40))</f>
        <v>237.79999999999993</v>
      </c>
      <c r="O41" s="14">
        <f>N41*VLOOKUP('Données projet'!$B$9,Paramètres!$A$1:$I$88,3,0)*VLOOKUP('Données projet'!$B$9,Paramètres!$A$1:$I$88,5,0)</f>
        <v>111.29039999999998</v>
      </c>
      <c r="P41" s="14">
        <f t="shared" si="43"/>
        <v>29.634806205918217</v>
      </c>
      <c r="Q41" s="22">
        <f t="shared" si="53"/>
        <v>245.44473414197418</v>
      </c>
      <c r="R41" s="62">
        <f t="shared" si="0"/>
        <v>538.77806747530747</v>
      </c>
      <c r="S41" s="62">
        <f ca="1">AVERAGE(OFFSET($R$3,0,0,'Données projet'!$E$9+1,1))-AVERAGE(OFFSET($H$3,0,0,'Données projet'!$E$9+1,1))</f>
        <v>300.03481708703549</v>
      </c>
      <c r="T41" s="62">
        <f t="shared" si="3"/>
        <v>102.6350860969182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26.333333333333332</v>
      </c>
      <c r="AI41" s="14">
        <f>IF(A41&lt;'Données projet'!$A$62,$AF$205^A41,IF(A41='Données projet'!$A$62,'Données projet'!$B$62,AI40+AH41-AQ40))</f>
        <v>432.66666666666663</v>
      </c>
      <c r="AJ41" s="14">
        <f>AI41*VLOOKUP('Données projet'!$B$10,Paramètres!$A$1:$I$88,3,0)*VLOOKUP('Données projet'!$B$10,Paramètres!$A$1:$I$88,5,0)</f>
        <v>241.86066666666665</v>
      </c>
      <c r="AK41" s="14">
        <f t="shared" si="44"/>
        <v>58.839681864356905</v>
      </c>
      <c r="AL41" s="22">
        <f t="shared" si="5"/>
        <v>523.71977369153274</v>
      </c>
      <c r="AM41" s="62">
        <f t="shared" si="6"/>
        <v>817.05310702486599</v>
      </c>
      <c r="AN41" s="62">
        <f ca="1">AVERAGE(OFFSET($AM$3,0,0,'Données projet'!$E$10+1,1))-AVERAGE(OFFSET($H$3,0,0,'Données projet'!$E$10+1,1))</f>
        <v>328.27336939084597</v>
      </c>
      <c r="AO41" s="62">
        <f t="shared" si="7"/>
        <v>448.79354389108755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4.6045493272798304</v>
      </c>
      <c r="AV41" s="23">
        <f>EXP(-LN(2)/25)*AV40+(1-EXP(-LN(2)/25))/(LN(2)/25)*Calculateur!AQ41*Calculateur!AS41*VLOOKUP('Données projet'!$B$9,Paramètres!$A$1:$I$88,3,0)*0.475*44/12</f>
        <v>11.02502205629453</v>
      </c>
      <c r="AW41" s="23">
        <f>EXP(-LN(2)/2)*AW40+(1-EXP(-LN(2)/2))/(LN(2)/2)*AQ41*AT41*VLOOKUP('Données projet'!$B$9,Paramètres!$A$1:$I$88,3,0)*0.475*44/12</f>
        <v>0.91048062155173681</v>
      </c>
      <c r="AX41" s="23">
        <f t="shared" si="8"/>
        <v>16.540052005126096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</v>
      </c>
      <c r="BD41" s="13">
        <f>IF(A41&lt;'Données projet'!$A$88,$BA$205^A41,IF(A41='Données projet'!$A$88,'Données projet'!$B$88,BD40+BC41-BL40))</f>
        <v>196.99999999999991</v>
      </c>
      <c r="BE41" s="14">
        <f>BD41*VLOOKUP('Données projet'!$B$11,Paramètres!$A$1:$I$88,3,0)*VLOOKUP('Données projet'!$B$11,Paramètres!$A$1:$I$88,5,0)</f>
        <v>172.09919999999994</v>
      </c>
      <c r="BF41" s="14">
        <f t="shared" si="45"/>
        <v>43.559838214506954</v>
      </c>
      <c r="BG41" s="22">
        <f t="shared" si="9"/>
        <v>375.60615822359949</v>
      </c>
      <c r="BH41" s="62">
        <f t="shared" si="10"/>
        <v>668.93949155693281</v>
      </c>
      <c r="BI41" s="62">
        <f ca="1">AVERAGE(OFFSET($BH$3,0,0,'Données projet'!$E$11+1,1))-AVERAGE(OFFSET($H$3,0,0,'Données projet'!$E$11+1,1))</f>
        <v>348.65374983303883</v>
      </c>
      <c r="BJ41" s="62">
        <f t="shared" si="11"/>
        <v>312.05848669315151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11.340000000000003</v>
      </c>
      <c r="BY41" s="13">
        <f>IF(A41&lt;'Données projet'!$A$114,$BV$205^A41,IF(A41='Données projet'!$A$114,'Données projet'!$B$114,BY40+BX41-CG40))</f>
        <v>240.4199999999999</v>
      </c>
      <c r="BZ41" s="14">
        <f>BY41*VLOOKUP('Données projet'!$B$12,Paramètres!$A$1:$I$88,3,0)*VLOOKUP('Données projet'!$B$12,Paramètres!$A$1:$I$88,5,0)</f>
        <v>176.27594399999992</v>
      </c>
      <c r="CA41" s="14">
        <f t="shared" si="46"/>
        <v>44.492646904932492</v>
      </c>
      <c r="CB41" s="22">
        <f t="shared" si="13"/>
        <v>384.50529582609062</v>
      </c>
      <c r="CC41" s="62">
        <f t="shared" si="14"/>
        <v>677.83862915942393</v>
      </c>
      <c r="CD41" s="62">
        <f ca="1">AVERAGE(OFFSET($CC$3,0,0,'Données projet'!$E$12+1,1))-AVERAGE(OFFSET($H$3,0,0,'Données projet'!$E$12+1,1))</f>
        <v>264.06656596707364</v>
      </c>
      <c r="CE41" s="62">
        <f t="shared" si="15"/>
        <v>315.34415130230195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>
        <f>VLOOKUP(A41,'Données projet'!$A$139:$I$159,2,0)</f>
        <v>258.5</v>
      </c>
      <c r="CR41" s="13">
        <f>VLOOKUP(A41,'Données projet'!$A$139:$I$159,9,0)</f>
        <v>13.100000000000003</v>
      </c>
      <c r="CS41" s="13">
        <f t="array" ref="CS41">INDEX(CR:CR,MIN(IF(ISNUMBER(CR41:CR237),ROW(CR41:CR237),"")))</f>
        <v>13.100000000000003</v>
      </c>
      <c r="CT41" s="13">
        <f>IF(A41&lt;'Données projet'!$A$140,$CQ$205^A41,IF(A41='Données projet'!$A$140,'Données projet'!$B$140,CT40+CS41-DB40))</f>
        <v>258.50000000000006</v>
      </c>
      <c r="CU41" s="18">
        <f>CT41*VLOOKUP('Données projet'!$B$13,Paramètres!$A$1:$I$88,3,0)*VLOOKUP('Données projet'!$B$13,Paramètres!$A$1:$I$88,5,0)</f>
        <v>154.58300000000003</v>
      </c>
      <c r="CV41" s="14">
        <f t="shared" si="47"/>
        <v>39.618257534260778</v>
      </c>
      <c r="CW41" s="22">
        <f t="shared" si="17"/>
        <v>338.23385687217092</v>
      </c>
      <c r="CX41" s="62">
        <f t="shared" si="18"/>
        <v>631.56719020550418</v>
      </c>
      <c r="CY41" s="62">
        <f ca="1">AVERAGE(OFFSET($CX$3,0,0,'Données projet'!$E$13+1,1))-AVERAGE(OFFSET($H$3,0,0,'Données projet'!$E$13+1,1))</f>
        <v>162.29089122912319</v>
      </c>
      <c r="CZ41" s="62">
        <f t="shared" si="19"/>
        <v>253.15422514195427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9.0147533046828059</v>
      </c>
      <c r="DG41" s="23">
        <f>EXP(-LN(2)/25)*DG40+(1-EXP(-LN(2)/25))/(LN(2)/25)*Calculateur!DB41*Calculateur!DD41*VLOOKUP('Données projet'!$B$9,Paramètres!$A$1:$I$88,3,0)*0.475*44/12</f>
        <v>4.2521661480978148</v>
      </c>
      <c r="DH41" s="23">
        <f>EXP(-LN(2)/2)*DH40+(1-EXP(-LN(2)/2))/(LN(2)/2)*DB41*DE41*VLOOKUP('Données projet'!$B$9,Paramètres!$A$1:$I$88,3,0)*0.475*44/12</f>
        <v>0.14600633833783</v>
      </c>
      <c r="DI41" s="24">
        <f t="shared" si="20"/>
        <v>13.41292579111845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11.340000000000003</v>
      </c>
      <c r="DO41" s="13">
        <f>IF(A41&lt;'Données projet'!$A$166,$DL$205^A41,IF(A41='Données projet'!$A$166,'Données projet'!$B$166,DO40+DN41-DW40))</f>
        <v>240.4199999999999</v>
      </c>
      <c r="DP41" s="18">
        <f>DO41*VLOOKUP('Données projet'!$B$14,Paramètres!$A$1:$I$88,3,0)*VLOOKUP('Données projet'!$B$14,Paramètres!$A$1:$I$88,5,0)</f>
        <v>191.27815199999995</v>
      </c>
      <c r="DQ41" s="14">
        <f t="shared" si="48"/>
        <v>47.822423751245466</v>
      </c>
      <c r="DR41" s="22">
        <f t="shared" si="21"/>
        <v>416.43350276675238</v>
      </c>
      <c r="DS41" s="62">
        <f t="shared" si="22"/>
        <v>709.7668361000857</v>
      </c>
      <c r="DT41" s="62">
        <f ca="1">AVERAGE(OFFSET($DS$3,0,0,'Données projet'!$E$14+1,1))-AVERAGE(OFFSET($H$3,0,0,'Données projet'!$E$14+1,1))</f>
        <v>290.20755061064017</v>
      </c>
      <c r="DU41" s="62">
        <f t="shared" si="23"/>
        <v>343.54750327717181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25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4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14.6</v>
      </c>
      <c r="N42" s="14">
        <f>IF(A42&lt;'Données projet'!$A$36,$K$205^A42,IF(A42='Données projet'!$A$36,'Données projet'!$B$36,N41+M42-V41))</f>
        <v>252.39999999999992</v>
      </c>
      <c r="O42" s="14">
        <f>N42*VLOOKUP('Données projet'!$B$9,Paramètres!$A$1:$I$88,3,0)*VLOOKUP('Données projet'!$B$9,Paramètres!$A$1:$I$88,5,0)</f>
        <v>118.12319999999995</v>
      </c>
      <c r="P42" s="14">
        <f t="shared" si="43"/>
        <v>31.236865730893584</v>
      </c>
      <c r="Q42" s="22">
        <f t="shared" si="53"/>
        <v>260.13544781463958</v>
      </c>
      <c r="R42" s="62">
        <f t="shared" si="0"/>
        <v>553.46878114797289</v>
      </c>
      <c r="S42" s="62">
        <f ca="1">AVERAGE(OFFSET($R$3,0,0,'Données projet'!$E$9+1,1))-AVERAGE(OFFSET($H$3,0,0,'Données projet'!$E$9+1,1))</f>
        <v>300.03481708703549</v>
      </c>
      <c r="T42" s="62">
        <f t="shared" si="3"/>
        <v>102.6350860969182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26.333333333333332</v>
      </c>
      <c r="AI42" s="14">
        <f>IF(A42&lt;'Données projet'!$A$62,$AF$205^A42,IF(A42='Données projet'!$A$62,'Données projet'!$B$62,AI41+AH42-AQ41))</f>
        <v>458.99999999999994</v>
      </c>
      <c r="AJ42" s="14">
        <f>AI42*VLOOKUP('Données projet'!$B$10,Paramètres!$A$1:$I$88,3,0)*VLOOKUP('Données projet'!$B$10,Paramètres!$A$1:$I$88,5,0)</f>
        <v>256.58099999999996</v>
      </c>
      <c r="AK42" s="14">
        <f t="shared" si="44"/>
        <v>61.993024805604456</v>
      </c>
      <c r="AL42" s="22">
        <f t="shared" si="5"/>
        <v>554.84975986976099</v>
      </c>
      <c r="AM42" s="62">
        <f t="shared" si="6"/>
        <v>848.18309320309436</v>
      </c>
      <c r="AN42" s="62">
        <f ca="1">AVERAGE(OFFSET($AM$3,0,0,'Données projet'!$E$10+1,1))-AVERAGE(OFFSET($H$3,0,0,'Données projet'!$E$10+1,1))</f>
        <v>328.27336939084597</v>
      </c>
      <c r="AO42" s="62">
        <f t="shared" si="7"/>
        <v>448.79354389108755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4.5142569234696461</v>
      </c>
      <c r="AV42" s="23">
        <f>EXP(-LN(2)/25)*AV41+(1-EXP(-LN(2)/25))/(LN(2)/25)*Calculateur!AQ42*Calculateur!AS42*VLOOKUP('Données projet'!$B$9,Paramètres!$A$1:$I$88,3,0)*0.475*44/12</f>
        <v>10.723542248384444</v>
      </c>
      <c r="AW42" s="23">
        <f>EXP(-LN(2)/2)*AW41+(1-EXP(-LN(2)/2))/(LN(2)/2)*AQ42*AT42*VLOOKUP('Données projet'!$B$9,Paramètres!$A$1:$I$88,3,0)*0.475*44/12</f>
        <v>0.64380702163817582</v>
      </c>
      <c r="AX42" s="23">
        <f t="shared" si="8"/>
        <v>15.881606193492265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</v>
      </c>
      <c r="BD42" s="13">
        <f>IF(A42&lt;'Données projet'!$A$88,$BA$205^A42,IF(A42='Données projet'!$A$88,'Données projet'!$B$88,BD41+BC42-BL41))</f>
        <v>207.99999999999991</v>
      </c>
      <c r="BE42" s="14">
        <f>BD42*VLOOKUP('Données projet'!$B$11,Paramètres!$A$1:$I$88,3,0)*VLOOKUP('Données projet'!$B$11,Paramètres!$A$1:$I$88,5,0)</f>
        <v>181.70879999999994</v>
      </c>
      <c r="BF42" s="14">
        <f t="shared" si="45"/>
        <v>45.702153370067769</v>
      </c>
      <c r="BG42" s="22">
        <f t="shared" si="9"/>
        <v>396.07407711953459</v>
      </c>
      <c r="BH42" s="62">
        <f t="shared" si="10"/>
        <v>689.40741045286791</v>
      </c>
      <c r="BI42" s="62">
        <f ca="1">AVERAGE(OFFSET($BH$3,0,0,'Données projet'!$E$11+1,1))-AVERAGE(OFFSET($H$3,0,0,'Données projet'!$E$11+1,1))</f>
        <v>348.65374983303883</v>
      </c>
      <c r="BJ42" s="62">
        <f t="shared" si="11"/>
        <v>312.05848669315151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11.340000000000003</v>
      </c>
      <c r="BY42" s="13">
        <f>IF(A42&lt;'Données projet'!$A$114,$BV$205^A42,IF(A42='Données projet'!$A$114,'Données projet'!$B$114,BY41+BX42-CG41))</f>
        <v>251.75999999999991</v>
      </c>
      <c r="BZ42" s="14">
        <f>BY42*VLOOKUP('Données projet'!$B$12,Paramètres!$A$1:$I$88,3,0)*VLOOKUP('Données projet'!$B$12,Paramètres!$A$1:$I$88,5,0)</f>
        <v>184.59043199999994</v>
      </c>
      <c r="CA42" s="14">
        <f t="shared" si="46"/>
        <v>46.341971073486597</v>
      </c>
      <c r="CB42" s="22">
        <f t="shared" si="13"/>
        <v>402.20726868632238</v>
      </c>
      <c r="CC42" s="62">
        <f t="shared" si="14"/>
        <v>695.54060201965569</v>
      </c>
      <c r="CD42" s="62">
        <f ca="1">AVERAGE(OFFSET($CC$3,0,0,'Données projet'!$E$12+1,1))-AVERAGE(OFFSET($H$3,0,0,'Données projet'!$E$12+1,1))</f>
        <v>264.06656596707364</v>
      </c>
      <c r="CE42" s="62">
        <f t="shared" si="15"/>
        <v>315.34415130230195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13.166666666666666</v>
      </c>
      <c r="CT42" s="13">
        <f>IF(A42&lt;'Données projet'!$A$140,$CQ$205^A42,IF(A42='Données projet'!$A$140,'Données projet'!$B$140,CT41+CS42-DB41))</f>
        <v>271.66666666666674</v>
      </c>
      <c r="CU42" s="18">
        <f>CT42*VLOOKUP('Données projet'!$B$13,Paramètres!$A$1:$I$88,3,0)*VLOOKUP('Données projet'!$B$13,Paramètres!$A$1:$I$88,5,0)</f>
        <v>162.45666666666673</v>
      </c>
      <c r="CV42" s="14">
        <f t="shared" si="47"/>
        <v>41.396131079346667</v>
      </c>
      <c r="CW42" s="22">
        <f t="shared" si="17"/>
        <v>355.04362274097338</v>
      </c>
      <c r="CX42" s="62">
        <f t="shared" si="18"/>
        <v>648.37695607430669</v>
      </c>
      <c r="CY42" s="62">
        <f ca="1">AVERAGE(OFFSET($CX$3,0,0,'Données projet'!$E$13+1,1))-AVERAGE(OFFSET($H$3,0,0,'Données projet'!$E$13+1,1))</f>
        <v>162.29089122912319</v>
      </c>
      <c r="CZ42" s="62">
        <f t="shared" si="19"/>
        <v>253.15422514195427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8.8379794908345648</v>
      </c>
      <c r="DG42" s="23">
        <f>EXP(-LN(2)/25)*DG41+(1-EXP(-LN(2)/25))/(LN(2)/25)*Calculateur!DB42*Calculateur!DD42*VLOOKUP('Données projet'!$B$9,Paramètres!$A$1:$I$88,3,0)*0.475*44/12</f>
        <v>4.1358904411663806</v>
      </c>
      <c r="DH42" s="23">
        <f>EXP(-LN(2)/2)*DH41+(1-EXP(-LN(2)/2))/(LN(2)/2)*DB42*DE42*VLOOKUP('Données projet'!$B$9,Paramètres!$A$1:$I$88,3,0)*0.475*44/12</f>
        <v>0.10324207193489698</v>
      </c>
      <c r="DI42" s="24">
        <f t="shared" si="20"/>
        <v>13.077112003935841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11.340000000000003</v>
      </c>
      <c r="DO42" s="13">
        <f>IF(A42&lt;'Données projet'!$A$166,$DL$205^A42,IF(A42='Données projet'!$A$166,'Données projet'!$B$166,DO41+DN42-DW41))</f>
        <v>251.75999999999991</v>
      </c>
      <c r="DP42" s="18">
        <f>DO42*VLOOKUP('Données projet'!$B$14,Paramètres!$A$1:$I$88,3,0)*VLOOKUP('Données projet'!$B$14,Paramètres!$A$1:$I$88,5,0)</f>
        <v>200.30025599999993</v>
      </c>
      <c r="DQ42" s="14">
        <f t="shared" si="48"/>
        <v>49.810149143959919</v>
      </c>
      <c r="DR42" s="22">
        <f t="shared" si="21"/>
        <v>435.60895562573</v>
      </c>
      <c r="DS42" s="62">
        <f t="shared" si="22"/>
        <v>728.94228895906326</v>
      </c>
      <c r="DT42" s="62">
        <f ca="1">AVERAGE(OFFSET($DS$3,0,0,'Données projet'!$E$14+1,1))-AVERAGE(OFFSET($H$3,0,0,'Données projet'!$E$14+1,1))</f>
        <v>290.20755061064017</v>
      </c>
      <c r="DU42" s="62">
        <f t="shared" si="23"/>
        <v>343.54750327717181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25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4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267</v>
      </c>
      <c r="L43" s="13">
        <f>VLOOKUP(A43,'Données projet'!$A$35:$I$55,9,0)</f>
        <v>14.6</v>
      </c>
      <c r="M43" s="13">
        <f t="array" ref="M43">INDEX(L:L,MIN(IF(ISNUMBER(L43:L239),ROW(L43:L239),"")))</f>
        <v>14.6</v>
      </c>
      <c r="N43" s="14">
        <f>IF(A43&lt;'Données projet'!$A$36,$K$205^A43,IF(A43='Données projet'!$A$36,'Données projet'!$B$36,N42+M43-V42))</f>
        <v>266.99999999999994</v>
      </c>
      <c r="O43" s="14">
        <f>N43*VLOOKUP('Données projet'!$B$9,Paramètres!$A$1:$I$88,3,0)*VLOOKUP('Données projet'!$B$9,Paramètres!$A$1:$I$88,5,0)</f>
        <v>124.95599999999997</v>
      </c>
      <c r="P43" s="14">
        <f t="shared" si="43"/>
        <v>32.828168295117194</v>
      </c>
      <c r="Q43" s="22">
        <f t="shared" si="53"/>
        <v>274.80742644732908</v>
      </c>
      <c r="R43" s="62">
        <f t="shared" si="0"/>
        <v>568.14075978066239</v>
      </c>
      <c r="S43" s="62">
        <f ca="1">AVERAGE(OFFSET($R$3,0,0,'Données projet'!$E$9+1,1))-AVERAGE(OFFSET($H$3,0,0,'Données projet'!$E$9+1,1))</f>
        <v>300.03481708703549</v>
      </c>
      <c r="T43" s="62">
        <f t="shared" si="3"/>
        <v>102.6350860969182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91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26.333333333333332</v>
      </c>
      <c r="AI43" s="14">
        <f>IF(A43&lt;'Données projet'!$A$62,$AF$205^A43,IF(A43='Données projet'!$A$62,'Données projet'!$B$62,AI42+AH43-AQ42))</f>
        <v>485.33333333333326</v>
      </c>
      <c r="AJ43" s="14">
        <f>AI43*VLOOKUP('Données projet'!$B$10,Paramètres!$A$1:$I$88,3,0)*VLOOKUP('Données projet'!$B$10,Paramètres!$A$1:$I$88,5,0)</f>
        <v>271.30133333333328</v>
      </c>
      <c r="AK43" s="14">
        <f t="shared" si="44"/>
        <v>65.125367733252759</v>
      </c>
      <c r="AL43" s="22">
        <f t="shared" si="5"/>
        <v>585.94317102430398</v>
      </c>
      <c r="AM43" s="62">
        <f t="shared" si="6"/>
        <v>879.27650435763735</v>
      </c>
      <c r="AN43" s="62">
        <f ca="1">AVERAGE(OFFSET($AM$3,0,0,'Données projet'!$E$10+1,1))-AVERAGE(OFFSET($H$3,0,0,'Données projet'!$E$10+1,1))</f>
        <v>328.27336939084597</v>
      </c>
      <c r="AO43" s="62">
        <f t="shared" si="7"/>
        <v>448.79354389108755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4.4257350986252515</v>
      </c>
      <c r="AV43" s="23">
        <f>EXP(-LN(2)/25)*AV42+(1-EXP(-LN(2)/25))/(LN(2)/25)*Calculateur!AQ43*Calculateur!AS43*VLOOKUP('Données projet'!$B$9,Paramètres!$A$1:$I$88,3,0)*0.475*44/12</f>
        <v>10.430306421675793</v>
      </c>
      <c r="AW43" s="23">
        <f>EXP(-LN(2)/2)*AW42+(1-EXP(-LN(2)/2))/(LN(2)/2)*AQ43*AT43*VLOOKUP('Données projet'!$B$9,Paramètres!$A$1:$I$88,3,0)*0.475*44/12</f>
        <v>0.45524031077586852</v>
      </c>
      <c r="AX43" s="23">
        <f t="shared" si="8"/>
        <v>15.311281831076913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</v>
      </c>
      <c r="BB43" s="13">
        <f>VLOOKUP(A43,'Données projet'!$A$87:$I$107,9,0)</f>
        <v>11</v>
      </c>
      <c r="BC43" s="13">
        <f t="array" ref="BC43">INDEX(BB:BB,MIN(IF(ISNUMBER(BB43:BB239),ROW(BB43:BB239),"")))</f>
        <v>11</v>
      </c>
      <c r="BD43" s="13">
        <f>IF(A43&lt;'Données projet'!$A$88,$BA$205^A43,IF(A43='Données projet'!$A$88,'Données projet'!$B$88,BD42+BC43-BL42))</f>
        <v>218.99999999999991</v>
      </c>
      <c r="BE43" s="14">
        <f>BD43*VLOOKUP('Données projet'!$B$11,Paramètres!$A$1:$I$88,3,0)*VLOOKUP('Données projet'!$B$11,Paramètres!$A$1:$I$88,5,0)</f>
        <v>191.31839999999994</v>
      </c>
      <c r="BF43" s="14">
        <f t="shared" si="45"/>
        <v>47.831314962098354</v>
      </c>
      <c r="BG43" s="22">
        <f t="shared" si="9"/>
        <v>416.51908689232118</v>
      </c>
      <c r="BH43" s="62">
        <f t="shared" si="10"/>
        <v>709.85242022565444</v>
      </c>
      <c r="BI43" s="62">
        <f ca="1">AVERAGE(OFFSET($BH$3,0,0,'Données projet'!$E$11+1,1))-AVERAGE(OFFSET($H$3,0,0,'Données projet'!$E$11+1,1))</f>
        <v>348.65374983303883</v>
      </c>
      <c r="BJ43" s="62">
        <f t="shared" si="11"/>
        <v>312.05848669315151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66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263.10000000000002</v>
      </c>
      <c r="BW43" s="13">
        <f>VLOOKUP(A43,'Données projet'!$A$113:$I$133,9,0)</f>
        <v>11.340000000000003</v>
      </c>
      <c r="BX43" s="13">
        <f t="array" ref="BX43">INDEX(BW:BW,MIN(IF(ISNUMBER(BW43:BW239),ROW(BW43:BW239),"")))</f>
        <v>11.340000000000003</v>
      </c>
      <c r="BY43" s="13">
        <f>IF(A43&lt;'Données projet'!$A$114,$BV$205^A43,IF(A43='Données projet'!$A$114,'Données projet'!$B$114,BY42+BX43-CG42))</f>
        <v>263.09999999999991</v>
      </c>
      <c r="BZ43" s="14">
        <f>BY43*VLOOKUP('Données projet'!$B$12,Paramètres!$A$1:$I$88,3,0)*VLOOKUP('Données projet'!$B$12,Paramètres!$A$1:$I$88,5,0)</f>
        <v>192.90491999999995</v>
      </c>
      <c r="CA43" s="14">
        <f t="shared" si="46"/>
        <v>48.181621167171684</v>
      </c>
      <c r="CB43" s="22">
        <f t="shared" si="13"/>
        <v>419.89239253282386</v>
      </c>
      <c r="CC43" s="62">
        <f t="shared" si="14"/>
        <v>713.22572586615718</v>
      </c>
      <c r="CD43" s="62">
        <f ca="1">AVERAGE(OFFSET($CC$3,0,0,'Données projet'!$E$12+1,1))-AVERAGE(OFFSET($H$3,0,0,'Données projet'!$E$12+1,1))</f>
        <v>264.06656596707364</v>
      </c>
      <c r="CE43" s="62">
        <f t="shared" si="15"/>
        <v>315.34415130230195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70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13.166666666666666</v>
      </c>
      <c r="CT43" s="13">
        <f>IF(A43&lt;'Données projet'!$A$140,$CQ$205^A43,IF(A43='Données projet'!$A$140,'Données projet'!$B$140,CT42+CS43-DB42))</f>
        <v>284.83333333333343</v>
      </c>
      <c r="CU43" s="18">
        <f>CT43*VLOOKUP('Données projet'!$B$13,Paramètres!$A$1:$I$88,3,0)*VLOOKUP('Données projet'!$B$13,Paramètres!$A$1:$I$88,5,0)</f>
        <v>170.33033333333339</v>
      </c>
      <c r="CV43" s="14">
        <f t="shared" si="47"/>
        <v>43.163998902412935</v>
      </c>
      <c r="CW43" s="22">
        <f t="shared" si="17"/>
        <v>371.83596197725819</v>
      </c>
      <c r="CX43" s="62">
        <f t="shared" si="18"/>
        <v>665.16929531059145</v>
      </c>
      <c r="CY43" s="62">
        <f ca="1">AVERAGE(OFFSET($CX$3,0,0,'Données projet'!$E$13+1,1))-AVERAGE(OFFSET($H$3,0,0,'Données projet'!$E$13+1,1))</f>
        <v>162.29089122912319</v>
      </c>
      <c r="CZ43" s="62">
        <f t="shared" si="19"/>
        <v>253.15422514195427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8.6646721036545067</v>
      </c>
      <c r="DG43" s="23">
        <f>EXP(-LN(2)/25)*DG42+(1-EXP(-LN(2)/25))/(LN(2)/25)*Calculateur!DB43*Calculateur!DD43*VLOOKUP('Données projet'!$B$9,Paramètres!$A$1:$I$88,3,0)*0.475*44/12</f>
        <v>4.0227942995556605</v>
      </c>
      <c r="DH43" s="23">
        <f>EXP(-LN(2)/2)*DH42+(1-EXP(-LN(2)/2))/(LN(2)/2)*DB43*DE43*VLOOKUP('Données projet'!$B$9,Paramètres!$A$1:$I$88,3,0)*0.475*44/12</f>
        <v>7.3003169168915E-2</v>
      </c>
      <c r="DI43" s="24">
        <f t="shared" si="20"/>
        <v>12.760469572379082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263.10000000000002</v>
      </c>
      <c r="DM43" s="13">
        <f>VLOOKUP(A43,'Données projet'!$A$165:$I$185,9,0)</f>
        <v>11.340000000000003</v>
      </c>
      <c r="DN43" s="13">
        <f t="array" ref="DN43">INDEX(DM:DM,MIN(IF(ISNUMBER(DM43:DM239),ROW(DM43:DM239),"")))</f>
        <v>11.340000000000003</v>
      </c>
      <c r="DO43" s="13">
        <f>IF(A43&lt;'Données projet'!$A$166,$DL$205^A43,IF(A43='Données projet'!$A$166,'Données projet'!$B$166,DO42+DN43-DW42))</f>
        <v>263.09999999999991</v>
      </c>
      <c r="DP43" s="18">
        <f>DO43*VLOOKUP('Données projet'!$B$14,Paramètres!$A$1:$I$88,3,0)*VLOOKUP('Données projet'!$B$14,Paramètres!$A$1:$I$88,5,0)</f>
        <v>209.32235999999995</v>
      </c>
      <c r="DQ43" s="14">
        <f t="shared" si="48"/>
        <v>51.78747646553299</v>
      </c>
      <c r="DR43" s="22">
        <f t="shared" si="21"/>
        <v>454.7662985108031</v>
      </c>
      <c r="DS43" s="62">
        <f t="shared" si="22"/>
        <v>748.09963184413641</v>
      </c>
      <c r="DT43" s="62">
        <f ca="1">AVERAGE(OFFSET($DS$3,0,0,'Données projet'!$E$14+1,1))-AVERAGE(OFFSET($H$3,0,0,'Données projet'!$E$14+1,1))</f>
        <v>290.20755061064017</v>
      </c>
      <c r="DU43" s="62">
        <f t="shared" si="23"/>
        <v>343.54750327717181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70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25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4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20.399999999999999</v>
      </c>
      <c r="N44" s="14">
        <f>IF(A44&lt;'Données projet'!$A$36,$K$205^A44,IF(A44='Données projet'!$A$36,'Données projet'!$B$36,N43+M44-V43))</f>
        <v>196.39999999999992</v>
      </c>
      <c r="O44" s="14">
        <f>N44*VLOOKUP('Données projet'!$B$9,Paramètres!$A$1:$I$88,3,0)*VLOOKUP('Données projet'!$B$9,Paramètres!$A$1:$I$88,5,0)</f>
        <v>91.915199999999956</v>
      </c>
      <c r="P44" s="14">
        <f t="shared" si="43"/>
        <v>25.026557534351902</v>
      </c>
      <c r="Q44" s="22">
        <f t="shared" si="53"/>
        <v>203.67356103899616</v>
      </c>
      <c r="R44" s="62">
        <f t="shared" si="0"/>
        <v>497.0068943723295</v>
      </c>
      <c r="S44" s="62">
        <f ca="1">AVERAGE(OFFSET($R$3,0,0,'Données projet'!$E$9+1,1))-AVERAGE(OFFSET($H$3,0,0,'Données projet'!$E$9+1,1))</f>
        <v>300.03481708703549</v>
      </c>
      <c r="T44" s="62">
        <f t="shared" si="3"/>
        <v>102.6350860969182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26.333333333333332</v>
      </c>
      <c r="AI44" s="14">
        <f>IF(A44&lt;'Données projet'!$A$62,$AF$205^A44,IF(A44='Données projet'!$A$62,'Données projet'!$B$62,AI43+AH44-AQ43))</f>
        <v>511.66666666666657</v>
      </c>
      <c r="AJ44" s="14">
        <f>AI44*VLOOKUP('Données projet'!$B$10,Paramètres!$A$1:$I$88,3,0)*VLOOKUP('Données projet'!$B$10,Paramètres!$A$1:$I$88,5,0)</f>
        <v>286.02166666666665</v>
      </c>
      <c r="AK44" s="14">
        <f t="shared" si="44"/>
        <v>68.237979970003394</v>
      </c>
      <c r="AL44" s="22">
        <f t="shared" si="5"/>
        <v>617.00221789220029</v>
      </c>
      <c r="AM44" s="62">
        <f t="shared" si="6"/>
        <v>910.33555122553366</v>
      </c>
      <c r="AN44" s="62">
        <f ca="1">AVERAGE(OFFSET($AM$3,0,0,'Données projet'!$E$10+1,1))-AVERAGE(OFFSET($H$3,0,0,'Données projet'!$E$10+1,1))</f>
        <v>328.27336939084597</v>
      </c>
      <c r="AO44" s="62">
        <f t="shared" si="7"/>
        <v>448.79354389108755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4.3389491327730738</v>
      </c>
      <c r="AV44" s="23">
        <f>EXP(-LN(2)/25)*AV43+(1-EXP(-LN(2)/25))/(LN(2)/25)*Calculateur!AQ44*Calculateur!AS44*VLOOKUP('Données projet'!$B$9,Paramètres!$A$1:$I$88,3,0)*0.475*44/12</f>
        <v>10.145089144069093</v>
      </c>
      <c r="AW44" s="23">
        <f>EXP(-LN(2)/2)*AW43+(1-EXP(-LN(2)/2))/(LN(2)/2)*AQ44*AT44*VLOOKUP('Données projet'!$B$9,Paramètres!$A$1:$I$88,3,0)*0.475*44/12</f>
        <v>0.32190351081908797</v>
      </c>
      <c r="AX44" s="23">
        <f t="shared" si="8"/>
        <v>14.805941787661254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</v>
      </c>
      <c r="BD44" s="13">
        <f>IF(A44&lt;'Données projet'!$A$88,$BA$205^A44,IF(A44='Données projet'!$A$88,'Données projet'!$B$88,BD43+BC44-BL43))</f>
        <v>163.79999999999993</v>
      </c>
      <c r="BE44" s="14">
        <f>BD44*VLOOKUP('Données projet'!$B$11,Paramètres!$A$1:$I$88,3,0)*VLOOKUP('Données projet'!$B$11,Paramètres!$A$1:$I$88,5,0)</f>
        <v>143.09567999999996</v>
      </c>
      <c r="BF44" s="14">
        <f t="shared" si="45"/>
        <v>37.005277082542683</v>
      </c>
      <c r="BG44" s="22">
        <f t="shared" si="9"/>
        <v>313.67583358542839</v>
      </c>
      <c r="BH44" s="62">
        <f t="shared" si="10"/>
        <v>607.00916691876171</v>
      </c>
      <c r="BI44" s="62">
        <f ca="1">AVERAGE(OFFSET($BH$3,0,0,'Données projet'!$E$11+1,1))-AVERAGE(OFFSET($H$3,0,0,'Données projet'!$E$11+1,1))</f>
        <v>348.65374983303883</v>
      </c>
      <c r="BJ44" s="62">
        <f t="shared" si="11"/>
        <v>312.05848669315151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9.8199999999999932</v>
      </c>
      <c r="BY44" s="13">
        <f>IF(A44&lt;'Données projet'!$A$114,$BV$205^A44,IF(A44='Données projet'!$A$114,'Données projet'!$B$114,BY43+BX44-CG43))</f>
        <v>202.9199999999999</v>
      </c>
      <c r="BZ44" s="14">
        <f>BY44*VLOOKUP('Données projet'!$B$12,Paramètres!$A$1:$I$88,3,0)*VLOOKUP('Données projet'!$B$12,Paramètres!$A$1:$I$88,5,0)</f>
        <v>148.78094399999992</v>
      </c>
      <c r="CA44" s="14">
        <f t="shared" si="46"/>
        <v>38.301419336680702</v>
      </c>
      <c r="CB44" s="22">
        <f t="shared" si="13"/>
        <v>325.83511614471871</v>
      </c>
      <c r="CC44" s="62">
        <f t="shared" si="14"/>
        <v>619.16844947805203</v>
      </c>
      <c r="CD44" s="62">
        <f ca="1">AVERAGE(OFFSET($CC$3,0,0,'Données projet'!$E$12+1,1))-AVERAGE(OFFSET($H$3,0,0,'Données projet'!$E$12+1,1))</f>
        <v>264.06656596707364</v>
      </c>
      <c r="CE44" s="62">
        <f t="shared" si="15"/>
        <v>315.34415130230195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>
        <f>VLOOKUP(A44,'Données projet'!$A$139:$I$159,2,0)</f>
        <v>298</v>
      </c>
      <c r="CR44" s="13">
        <f>VLOOKUP(A44,'Données projet'!$A$139:$I$159,9,0)</f>
        <v>13.166666666666666</v>
      </c>
      <c r="CS44" s="13">
        <f t="array" ref="CS44">INDEX(CR:CR,MIN(IF(ISNUMBER(CR44:CR240),ROW(CR44:CR240),"")))</f>
        <v>13.166666666666666</v>
      </c>
      <c r="CT44" s="13">
        <f>IF(A44&lt;'Données projet'!$A$140,$CQ$205^A44,IF(A44='Données projet'!$A$140,'Données projet'!$B$140,CT43+CS44-DB43))</f>
        <v>298.00000000000011</v>
      </c>
      <c r="CU44" s="18">
        <f>CT44*VLOOKUP('Données projet'!$B$13,Paramètres!$A$1:$I$88,3,0)*VLOOKUP('Données projet'!$B$13,Paramètres!$A$1:$I$88,5,0)</f>
        <v>178.20400000000009</v>
      </c>
      <c r="CV44" s="14">
        <f t="shared" si="47"/>
        <v>44.922376352779835</v>
      </c>
      <c r="CW44" s="22">
        <f t="shared" si="17"/>
        <v>388.6117721477583</v>
      </c>
      <c r="CX44" s="62">
        <f t="shared" si="18"/>
        <v>681.94510548109156</v>
      </c>
      <c r="CY44" s="62">
        <f ca="1">AVERAGE(OFFSET($CX$3,0,0,'Données projet'!$E$13+1,1))-AVERAGE(OFFSET($H$3,0,0,'Données projet'!$E$13+1,1))</f>
        <v>162.29089122912319</v>
      </c>
      <c r="CZ44" s="62">
        <f t="shared" si="19"/>
        <v>253.15422514195427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8.4947631686299818</v>
      </c>
      <c r="DG44" s="23">
        <f>EXP(-LN(2)/25)*DG43+(1-EXP(-LN(2)/25))/(LN(2)/25)*Calculateur!DB44*Calculateur!DD44*VLOOKUP('Données projet'!$B$9,Paramètres!$A$1:$I$88,3,0)*0.475*44/12</f>
        <v>3.9127907778847528</v>
      </c>
      <c r="DH44" s="23">
        <f>EXP(-LN(2)/2)*DH43+(1-EXP(-LN(2)/2))/(LN(2)/2)*DB44*DE44*VLOOKUP('Données projet'!$B$9,Paramètres!$A$1:$I$88,3,0)*0.475*44/12</f>
        <v>5.1621035967448492E-2</v>
      </c>
      <c r="DI44" s="24">
        <f t="shared" si="20"/>
        <v>12.459174982482184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9.8199999999999932</v>
      </c>
      <c r="DO44" s="13">
        <f>IF(A44&lt;'Données projet'!$A$166,$DL$205^A44,IF(A44='Données projet'!$A$166,'Données projet'!$B$166,DO43+DN44-DW43))</f>
        <v>202.9199999999999</v>
      </c>
      <c r="DP44" s="18">
        <f>DO44*VLOOKUP('Données projet'!$B$14,Paramètres!$A$1:$I$88,3,0)*VLOOKUP('Données projet'!$B$14,Paramètres!$A$1:$I$88,5,0)</f>
        <v>161.44315199999994</v>
      </c>
      <c r="DQ44" s="14">
        <f t="shared" si="48"/>
        <v>41.167852065682119</v>
      </c>
      <c r="DR44" s="22">
        <f t="shared" si="21"/>
        <v>352.88083208106292</v>
      </c>
      <c r="DS44" s="62">
        <f t="shared" si="22"/>
        <v>646.21416541439623</v>
      </c>
      <c r="DT44" s="62">
        <f ca="1">AVERAGE(OFFSET($DS$3,0,0,'Données projet'!$E$14+1,1))-AVERAGE(OFFSET($H$3,0,0,'Données projet'!$E$14+1,1))</f>
        <v>290.20755061064017</v>
      </c>
      <c r="DU44" s="62">
        <f t="shared" si="23"/>
        <v>343.54750327717181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25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4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20.399999999999999</v>
      </c>
      <c r="N45" s="14">
        <f>IF(A45&lt;'Données projet'!$A$36,$K$205^A45,IF(A45='Données projet'!$A$36,'Données projet'!$B$36,N44+M45-V44))</f>
        <v>216.79999999999993</v>
      </c>
      <c r="O45" s="14">
        <f>N45*VLOOKUP('Données projet'!$B$9,Paramètres!$A$1:$I$88,3,0)*VLOOKUP('Données projet'!$B$9,Paramètres!$A$1:$I$88,5,0)</f>
        <v>101.46239999999997</v>
      </c>
      <c r="P45" s="14">
        <f t="shared" si="43"/>
        <v>27.310099257465147</v>
      </c>
      <c r="Q45" s="22">
        <f t="shared" si="53"/>
        <v>224.27876954008505</v>
      </c>
      <c r="R45" s="62">
        <f t="shared" si="0"/>
        <v>517.61210287341839</v>
      </c>
      <c r="S45" s="62">
        <f ca="1">AVERAGE(OFFSET($R$3,0,0,'Données projet'!$E$9+1,1))-AVERAGE(OFFSET($H$3,0,0,'Données projet'!$E$9+1,1))</f>
        <v>300.03481708703549</v>
      </c>
      <c r="T45" s="62">
        <f t="shared" si="3"/>
        <v>102.6350860969182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538</v>
      </c>
      <c r="AG45" s="13">
        <f>VLOOKUP(A45,'Données projet'!$A$61:$I$81,9,0)</f>
        <v>26.333333333333332</v>
      </c>
      <c r="AH45" s="13">
        <f t="array" ref="AH45">INDEX(AG:AG,MIN(IF(ISNUMBER(AG45:AG241),ROW(AG45:AG241),"")))</f>
        <v>26.333333333333332</v>
      </c>
      <c r="AI45" s="14">
        <f>IF(A45&lt;'Données projet'!$A$62,$AF$205^A45,IF(A45='Données projet'!$A$62,'Données projet'!$B$62,AI44+AH45-AQ44))</f>
        <v>537.99999999999989</v>
      </c>
      <c r="AJ45" s="14">
        <f>AI45*VLOOKUP('Données projet'!$B$10,Paramètres!$A$1:$I$88,3,0)*VLOOKUP('Données projet'!$B$10,Paramètres!$A$1:$I$88,5,0)</f>
        <v>300.74199999999996</v>
      </c>
      <c r="AK45" s="14">
        <f t="shared" si="44"/>
        <v>71.331992805448834</v>
      </c>
      <c r="AL45" s="22">
        <f t="shared" si="5"/>
        <v>648.02887080282335</v>
      </c>
      <c r="AM45" s="62">
        <f t="shared" si="6"/>
        <v>941.36220413615661</v>
      </c>
      <c r="AN45" s="62">
        <f ca="1">AVERAGE(OFFSET($AM$3,0,0,'Données projet'!$E$10+1,1))-AVERAGE(OFFSET($H$3,0,0,'Données projet'!$E$10+1,1))</f>
        <v>328.27336939084597</v>
      </c>
      <c r="AO45" s="62">
        <f t="shared" si="7"/>
        <v>448.79354389108755</v>
      </c>
      <c r="AP45" s="16">
        <f>IF(ISNA(VLOOKUP(A45,'Données projet'!$A$61:$I$81,3,0)),0,VLOOKUP(A45,'Données projet'!$A$61:$I$81,3,0))</f>
        <v>5</v>
      </c>
      <c r="AQ45" s="16">
        <f>IF(ISNA(VLOOKUP(A45,'Données projet'!$A$61:$I$81,4,0)),0,VLOOKUP(A45,'Données projet'!$A$61:$I$81,4,0))</f>
        <v>88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4.2538649867770451</v>
      </c>
      <c r="AV45" s="23">
        <f>EXP(-LN(2)/25)*AV44+(1-EXP(-LN(2)/25))/(LN(2)/25)*Calculateur!AQ45*Calculateur!AS45*VLOOKUP('Données projet'!$B$9,Paramètres!$A$1:$I$88,3,0)*0.475*44/12</f>
        <v>9.8676711479174735</v>
      </c>
      <c r="AW45" s="23">
        <f>EXP(-LN(2)/2)*AW44+(1-EXP(-LN(2)/2))/(LN(2)/2)*AQ45*AT45*VLOOKUP('Données projet'!$B$9,Paramètres!$A$1:$I$88,3,0)*0.475*44/12</f>
        <v>0.22762015538793429</v>
      </c>
      <c r="AX45" s="23">
        <f t="shared" si="8"/>
        <v>14.349156290082453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</v>
      </c>
      <c r="BD45" s="13">
        <f>IF(A45&lt;'Données projet'!$A$88,$BA$205^A45,IF(A45='Données projet'!$A$88,'Données projet'!$B$88,BD44+BC45-BL44))</f>
        <v>174.59999999999994</v>
      </c>
      <c r="BE45" s="14">
        <f>BD45*VLOOKUP('Données projet'!$B$11,Paramètres!$A$1:$I$88,3,0)*VLOOKUP('Données projet'!$B$11,Paramètres!$A$1:$I$88,5,0)</f>
        <v>152.53055999999995</v>
      </c>
      <c r="BF45" s="14">
        <f t="shared" si="45"/>
        <v>39.153103329629708</v>
      </c>
      <c r="BG45" s="22">
        <f t="shared" si="9"/>
        <v>333.84904696577166</v>
      </c>
      <c r="BH45" s="62">
        <f t="shared" si="10"/>
        <v>627.18238029910503</v>
      </c>
      <c r="BI45" s="62">
        <f ca="1">AVERAGE(OFFSET($BH$3,0,0,'Données projet'!$E$11+1,1))-AVERAGE(OFFSET($H$3,0,0,'Données projet'!$E$11+1,1))</f>
        <v>348.65374983303883</v>
      </c>
      <c r="BJ45" s="62">
        <f t="shared" si="11"/>
        <v>312.05848669315151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9.8199999999999932</v>
      </c>
      <c r="BY45" s="13">
        <f>IF(A45&lt;'Données projet'!$A$114,$BV$205^A45,IF(A45='Données projet'!$A$114,'Données projet'!$B$114,BY44+BX45-CG44))</f>
        <v>212.7399999999999</v>
      </c>
      <c r="BZ45" s="14">
        <f>BY45*VLOOKUP('Données projet'!$B$12,Paramètres!$A$1:$I$88,3,0)*VLOOKUP('Données projet'!$B$12,Paramètres!$A$1:$I$88,5,0)</f>
        <v>155.98096799999993</v>
      </c>
      <c r="CA45" s="14">
        <f t="shared" si="46"/>
        <v>39.934673726794031</v>
      </c>
      <c r="CB45" s="22">
        <f t="shared" si="13"/>
        <v>341.21974267416618</v>
      </c>
      <c r="CC45" s="62">
        <f t="shared" si="14"/>
        <v>634.5530760074995</v>
      </c>
      <c r="CD45" s="62">
        <f ca="1">AVERAGE(OFFSET($CC$3,0,0,'Données projet'!$E$12+1,1))-AVERAGE(OFFSET($H$3,0,0,'Données projet'!$E$12+1,1))</f>
        <v>264.06656596707364</v>
      </c>
      <c r="CE45" s="62">
        <f t="shared" si="15"/>
        <v>315.34415130230195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13.266666666666671</v>
      </c>
      <c r="CT45" s="13">
        <f>IF(A45&lt;'Données projet'!$A$140,$CQ$205^A45,IF(A45='Données projet'!$A$140,'Données projet'!$B$140,CT44+CS45-DB44))</f>
        <v>311.26666666666677</v>
      </c>
      <c r="CU45" s="18">
        <f>CT45*VLOOKUP('Données projet'!$B$13,Paramètres!$A$1:$I$88,3,0)*VLOOKUP('Données projet'!$B$13,Paramètres!$A$1:$I$88,5,0)</f>
        <v>186.13746666666671</v>
      </c>
      <c r="CV45" s="14">
        <f t="shared" si="47"/>
        <v>46.684983488857348</v>
      </c>
      <c r="CW45" s="22">
        <f t="shared" si="17"/>
        <v>405.49910068753775</v>
      </c>
      <c r="CX45" s="62">
        <f t="shared" si="18"/>
        <v>698.83243402087101</v>
      </c>
      <c r="CY45" s="62">
        <f ca="1">AVERAGE(OFFSET($CX$3,0,0,'Données projet'!$E$13+1,1))-AVERAGE(OFFSET($H$3,0,0,'Données projet'!$E$13+1,1))</f>
        <v>162.29089122912319</v>
      </c>
      <c r="CZ45" s="62">
        <f t="shared" si="19"/>
        <v>253.15422514195427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8.3281860441870705</v>
      </c>
      <c r="DG45" s="23">
        <f>EXP(-LN(2)/25)*DG44+(1-EXP(-LN(2)/25))/(LN(2)/25)*Calculateur!DB45*Calculateur!DD45*VLOOKUP('Données projet'!$B$9,Paramètres!$A$1:$I$88,3,0)*0.475*44/12</f>
        <v>3.8057953082987699</v>
      </c>
      <c r="DH45" s="23">
        <f>EXP(-LN(2)/2)*DH44+(1-EXP(-LN(2)/2))/(LN(2)/2)*DB45*DE45*VLOOKUP('Données projet'!$B$9,Paramètres!$A$1:$I$88,3,0)*0.475*44/12</f>
        <v>3.65015845844575E-2</v>
      </c>
      <c r="DI45" s="24">
        <f t="shared" si="20"/>
        <v>12.170482937070297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9.8199999999999932</v>
      </c>
      <c r="DO45" s="13">
        <f>IF(A45&lt;'Données projet'!$A$166,$DL$205^A45,IF(A45='Données projet'!$A$166,'Données projet'!$B$166,DO44+DN45-DW44))</f>
        <v>212.7399999999999</v>
      </c>
      <c r="DP45" s="18">
        <f>DO45*VLOOKUP('Données projet'!$B$14,Paramètres!$A$1:$I$88,3,0)*VLOOKUP('Données projet'!$B$14,Paramètres!$A$1:$I$88,5,0)</f>
        <v>169.25594399999991</v>
      </c>
      <c r="DQ45" s="14">
        <f t="shared" si="48"/>
        <v>42.923337274383478</v>
      </c>
      <c r="DR45" s="22">
        <f t="shared" si="21"/>
        <v>369.54558155288436</v>
      </c>
      <c r="DS45" s="62">
        <f t="shared" si="22"/>
        <v>662.87891488621767</v>
      </c>
      <c r="DT45" s="62">
        <f ca="1">AVERAGE(OFFSET($DS$3,0,0,'Données projet'!$E$14+1,1))-AVERAGE(OFFSET($H$3,0,0,'Données projet'!$E$14+1,1))</f>
        <v>290.20755061064017</v>
      </c>
      <c r="DU45" s="62">
        <f t="shared" si="23"/>
        <v>343.54750327717181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25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4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20.399999999999999</v>
      </c>
      <c r="N46" s="14">
        <f>IF(A46&lt;'Données projet'!$A$36,$K$205^A46,IF(A46='Données projet'!$A$36,'Données projet'!$B$36,N45+M46-V45))</f>
        <v>237.19999999999993</v>
      </c>
      <c r="O46" s="14">
        <f>N46*VLOOKUP('Données projet'!$B$9,Paramètres!$A$1:$I$88,3,0)*VLOOKUP('Données projet'!$B$9,Paramètres!$A$1:$I$88,5,0)</f>
        <v>111.00959999999996</v>
      </c>
      <c r="P46" s="14">
        <f t="shared" si="43"/>
        <v>29.568727576170897</v>
      </c>
      <c r="Q46" s="22">
        <f t="shared" si="53"/>
        <v>244.8405871951642</v>
      </c>
      <c r="R46" s="62">
        <f t="shared" si="0"/>
        <v>538.17392052849755</v>
      </c>
      <c r="S46" s="62">
        <f ca="1">AVERAGE(OFFSET($R$3,0,0,'Données projet'!$E$9+1,1))-AVERAGE(OFFSET($H$3,0,0,'Données projet'!$E$9+1,1))</f>
        <v>300.03481708703549</v>
      </c>
      <c r="T46" s="62">
        <f t="shared" si="3"/>
        <v>102.6350860969182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25.166666666666668</v>
      </c>
      <c r="AI46" s="14">
        <f>IF(A46&lt;'Données projet'!$A$62,$AF$205^A46,IF(A46='Données projet'!$A$62,'Données projet'!$B$62,AI45+AH46-AQ45))</f>
        <v>475.16666666666652</v>
      </c>
      <c r="AJ46" s="14">
        <f>AI46*VLOOKUP('Données projet'!$B$10,Paramètres!$A$1:$I$88,3,0)*VLOOKUP('Données projet'!$B$10,Paramètres!$A$1:$I$88,5,0)</f>
        <v>265.61816666666658</v>
      </c>
      <c r="AK46" s="14">
        <f t="shared" si="44"/>
        <v>63.918449963047308</v>
      </c>
      <c r="AL46" s="22">
        <f t="shared" si="5"/>
        <v>573.94294063008499</v>
      </c>
      <c r="AM46" s="62">
        <f t="shared" si="6"/>
        <v>867.27627396341836</v>
      </c>
      <c r="AN46" s="62">
        <f ca="1">AVERAGE(OFFSET($AM$3,0,0,'Données projet'!$E$10+1,1))-AVERAGE(OFFSET($H$3,0,0,'Données projet'!$E$10+1,1))</f>
        <v>328.27336939084597</v>
      </c>
      <c r="AO46" s="62">
        <f t="shared" si="7"/>
        <v>448.79354389108755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4.1704492889877933</v>
      </c>
      <c r="AV46" s="23">
        <f>EXP(-LN(2)/25)*AV45+(1-EXP(-LN(2)/25))/(LN(2)/25)*Calculateur!AQ46*Calculateur!AS46*VLOOKUP('Données projet'!$B$9,Paramètres!$A$1:$I$88,3,0)*0.475*44/12</f>
        <v>9.5978391614593974</v>
      </c>
      <c r="AW46" s="23">
        <f>EXP(-LN(2)/2)*AW45+(1-EXP(-LN(2)/2))/(LN(2)/2)*AQ46*AT46*VLOOKUP('Données projet'!$B$9,Paramètres!$A$1:$I$88,3,0)*0.475*44/12</f>
        <v>0.16095175540954401</v>
      </c>
      <c r="AX46" s="23">
        <f t="shared" si="8"/>
        <v>13.929240205856734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</v>
      </c>
      <c r="BD46" s="13">
        <f>IF(A46&lt;'Données projet'!$A$88,$BA$205^A46,IF(A46='Données projet'!$A$88,'Données projet'!$B$88,BD45+BC46-BL45))</f>
        <v>185.39999999999995</v>
      </c>
      <c r="BE46" s="14">
        <f>BD46*VLOOKUP('Données projet'!$B$11,Paramètres!$A$1:$I$88,3,0)*VLOOKUP('Données projet'!$B$11,Paramètres!$A$1:$I$88,5,0)</f>
        <v>161.96543999999997</v>
      </c>
      <c r="BF46" s="14">
        <f t="shared" si="45"/>
        <v>41.285510388923619</v>
      </c>
      <c r="BG46" s="22">
        <f t="shared" si="9"/>
        <v>353.99540526070859</v>
      </c>
      <c r="BH46" s="62">
        <f t="shared" si="10"/>
        <v>647.32873859404185</v>
      </c>
      <c r="BI46" s="62">
        <f ca="1">AVERAGE(OFFSET($BH$3,0,0,'Données projet'!$E$11+1,1))-AVERAGE(OFFSET($H$3,0,0,'Données projet'!$E$11+1,1))</f>
        <v>348.65374983303883</v>
      </c>
      <c r="BJ46" s="62">
        <f t="shared" si="11"/>
        <v>312.05848669315151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9.8199999999999932</v>
      </c>
      <c r="BY46" s="13">
        <f>IF(A46&lt;'Données projet'!$A$114,$BV$205^A46,IF(A46='Données projet'!$A$114,'Données projet'!$B$114,BY45+BX46-CG45))</f>
        <v>222.55999999999989</v>
      </c>
      <c r="BZ46" s="14">
        <f>BY46*VLOOKUP('Données projet'!$B$12,Paramètres!$A$1:$I$88,3,0)*VLOOKUP('Données projet'!$B$12,Paramètres!$A$1:$I$88,5,0)</f>
        <v>163.18099199999992</v>
      </c>
      <c r="CA46" s="14">
        <f t="shared" si="46"/>
        <v>41.559172921966017</v>
      </c>
      <c r="CB46" s="22">
        <f t="shared" si="13"/>
        <v>356.58912057242401</v>
      </c>
      <c r="CC46" s="62">
        <f t="shared" si="14"/>
        <v>649.92245390575727</v>
      </c>
      <c r="CD46" s="62">
        <f ca="1">AVERAGE(OFFSET($CC$3,0,0,'Données projet'!$E$12+1,1))-AVERAGE(OFFSET($H$3,0,0,'Données projet'!$E$12+1,1))</f>
        <v>264.06656596707364</v>
      </c>
      <c r="CE46" s="62">
        <f t="shared" si="15"/>
        <v>315.34415130230195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13.266666666666671</v>
      </c>
      <c r="CT46" s="13">
        <f>IF(A46&lt;'Données projet'!$A$140,$CQ$205^A46,IF(A46='Données projet'!$A$140,'Données projet'!$B$140,CT45+CS46-DB45))</f>
        <v>324.53333333333342</v>
      </c>
      <c r="CU46" s="18">
        <f>CT46*VLOOKUP('Données projet'!$B$13,Paramètres!$A$1:$I$88,3,0)*VLOOKUP('Données projet'!$B$13,Paramètres!$A$1:$I$88,5,0)</f>
        <v>194.07093333333339</v>
      </c>
      <c r="CV46" s="14">
        <f t="shared" si="47"/>
        <v>48.438864935862263</v>
      </c>
      <c r="CW46" s="22">
        <f t="shared" si="17"/>
        <v>422.37123198551575</v>
      </c>
      <c r="CX46" s="62">
        <f t="shared" si="18"/>
        <v>715.70456531884906</v>
      </c>
      <c r="CY46" s="62">
        <f ca="1">AVERAGE(OFFSET($CX$3,0,0,'Données projet'!$E$13+1,1))-AVERAGE(OFFSET($H$3,0,0,'Données projet'!$E$13+1,1))</f>
        <v>162.29089122912319</v>
      </c>
      <c r="CZ46" s="62">
        <f t="shared" si="19"/>
        <v>253.15422514195427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8.1648753955524711</v>
      </c>
      <c r="DG46" s="23">
        <f>EXP(-LN(2)/25)*DG45+(1-EXP(-LN(2)/25))/(LN(2)/25)*Calculateur!DB46*Calculateur!DD46*VLOOKUP('Données projet'!$B$9,Paramètres!$A$1:$I$88,3,0)*0.475*44/12</f>
        <v>3.7017256354552632</v>
      </c>
      <c r="DH46" s="23">
        <f>EXP(-LN(2)/2)*DH45+(1-EXP(-LN(2)/2))/(LN(2)/2)*DB46*DE46*VLOOKUP('Données projet'!$B$9,Paramètres!$A$1:$I$88,3,0)*0.475*44/12</f>
        <v>2.5810517983724246E-2</v>
      </c>
      <c r="DI46" s="24">
        <f t="shared" si="20"/>
        <v>11.892411548991458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9.8199999999999932</v>
      </c>
      <c r="DO46" s="13">
        <f>IF(A46&lt;'Données projet'!$A$166,$DL$205^A46,IF(A46='Données projet'!$A$166,'Données projet'!$B$166,DO45+DN46-DW45))</f>
        <v>222.55999999999989</v>
      </c>
      <c r="DP46" s="18">
        <f>DO46*VLOOKUP('Données projet'!$B$14,Paramètres!$A$1:$I$88,3,0)*VLOOKUP('Données projet'!$B$14,Paramètres!$A$1:$I$88,5,0)</f>
        <v>177.06873599999992</v>
      </c>
      <c r="DQ46" s="14">
        <f t="shared" si="48"/>
        <v>44.669412059753448</v>
      </c>
      <c r="DR46" s="22">
        <f t="shared" si="21"/>
        <v>386.19394120407043</v>
      </c>
      <c r="DS46" s="62">
        <f t="shared" si="22"/>
        <v>679.52727453740374</v>
      </c>
      <c r="DT46" s="62">
        <f ca="1">AVERAGE(OFFSET($DS$3,0,0,'Données projet'!$E$14+1,1))-AVERAGE(OFFSET($H$3,0,0,'Données projet'!$E$14+1,1))</f>
        <v>290.20755061064017</v>
      </c>
      <c r="DU46" s="62">
        <f t="shared" si="23"/>
        <v>343.54750327717181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25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4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20.399999999999999</v>
      </c>
      <c r="N47" s="14">
        <f>IF(A47&lt;'Données projet'!$A$36,$K$205^A47,IF(A47='Données projet'!$A$36,'Données projet'!$B$36,N46+M47-V46))</f>
        <v>257.59999999999991</v>
      </c>
      <c r="O47" s="14">
        <f>N47*VLOOKUP('Données projet'!$B$9,Paramètres!$A$1:$I$88,3,0)*VLOOKUP('Données projet'!$B$9,Paramètres!$A$1:$I$88,5,0)</f>
        <v>120.55679999999995</v>
      </c>
      <c r="P47" s="14">
        <f t="shared" si="43"/>
        <v>31.804828741198779</v>
      </c>
      <c r="Q47" s="22">
        <f t="shared" si="53"/>
        <v>265.36317005758775</v>
      </c>
      <c r="R47" s="62">
        <f t="shared" si="0"/>
        <v>558.69650339092107</v>
      </c>
      <c r="S47" s="62">
        <f ca="1">AVERAGE(OFFSET($R$3,0,0,'Données projet'!$E$9+1,1))-AVERAGE(OFFSET($H$3,0,0,'Données projet'!$E$9+1,1))</f>
        <v>300.03481708703549</v>
      </c>
      <c r="T47" s="62">
        <f t="shared" si="3"/>
        <v>102.6350860969182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25.166666666666668</v>
      </c>
      <c r="AI47" s="14">
        <f>IF(A47&lt;'Données projet'!$A$62,$AF$205^A47,IF(A47='Données projet'!$A$62,'Données projet'!$B$62,AI46+AH47-AQ46))</f>
        <v>500.3333333333332</v>
      </c>
      <c r="AJ47" s="14">
        <f>AI47*VLOOKUP('Données projet'!$B$10,Paramètres!$A$1:$I$88,3,0)*VLOOKUP('Données projet'!$B$10,Paramètres!$A$1:$I$88,5,0)</f>
        <v>279.68633333333327</v>
      </c>
      <c r="AK47" s="14">
        <f t="shared" si="44"/>
        <v>66.900717774032884</v>
      </c>
      <c r="AL47" s="22">
        <f t="shared" si="5"/>
        <v>603.63911401199607</v>
      </c>
      <c r="AM47" s="62">
        <f t="shared" si="6"/>
        <v>896.97244734532933</v>
      </c>
      <c r="AN47" s="62">
        <f ca="1">AVERAGE(OFFSET($AM$3,0,0,'Données projet'!$E$10+1,1))-AVERAGE(OFFSET($H$3,0,0,'Données projet'!$E$10+1,1))</f>
        <v>328.27336939084597</v>
      </c>
      <c r="AO47" s="62">
        <f t="shared" si="7"/>
        <v>448.79354389108755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4.0886693221536374</v>
      </c>
      <c r="AV47" s="23">
        <f>EXP(-LN(2)/25)*AV46+(1-EXP(-LN(2)/25))/(LN(2)/25)*Calculateur!AQ47*Calculateur!AS47*VLOOKUP('Données projet'!$B$9,Paramètres!$A$1:$I$88,3,0)*0.475*44/12</f>
        <v>9.335385744860865</v>
      </c>
      <c r="AW47" s="23">
        <f>EXP(-LN(2)/2)*AW46+(1-EXP(-LN(2)/2))/(LN(2)/2)*AQ47*AT47*VLOOKUP('Données projet'!$B$9,Paramètres!$A$1:$I$88,3,0)*0.475*44/12</f>
        <v>0.11381007769396716</v>
      </c>
      <c r="AX47" s="23">
        <f t="shared" si="8"/>
        <v>13.537865144708471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10.8</v>
      </c>
      <c r="BD47" s="13">
        <f>IF(A47&lt;'Données projet'!$A$88,$BA$205^A47,IF(A47='Données projet'!$A$88,'Données projet'!$B$88,BD46+BC47-BL46))</f>
        <v>196.19999999999996</v>
      </c>
      <c r="BE47" s="14">
        <f>BD47*VLOOKUP('Données projet'!$B$11,Paramètres!$A$1:$I$88,3,0)*VLOOKUP('Données projet'!$B$11,Paramètres!$A$1:$I$88,5,0)</f>
        <v>171.40031999999999</v>
      </c>
      <c r="BF47" s="14">
        <f t="shared" si="45"/>
        <v>43.403498788621114</v>
      </c>
      <c r="BG47" s="22">
        <f t="shared" si="9"/>
        <v>374.11665105684841</v>
      </c>
      <c r="BH47" s="62">
        <f t="shared" si="10"/>
        <v>667.44998439018173</v>
      </c>
      <c r="BI47" s="62">
        <f ca="1">AVERAGE(OFFSET($BH$3,0,0,'Données projet'!$E$11+1,1))-AVERAGE(OFFSET($H$3,0,0,'Données projet'!$E$11+1,1))</f>
        <v>348.65374983303883</v>
      </c>
      <c r="BJ47" s="62">
        <f t="shared" si="11"/>
        <v>312.05848669315151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9.8199999999999932</v>
      </c>
      <c r="BY47" s="13">
        <f>IF(A47&lt;'Données projet'!$A$114,$BV$205^A47,IF(A47='Données projet'!$A$114,'Données projet'!$B$114,BY46+BX47-CG46))</f>
        <v>232.37999999999988</v>
      </c>
      <c r="BZ47" s="14">
        <f>BY47*VLOOKUP('Données projet'!$B$12,Paramètres!$A$1:$I$88,3,0)*VLOOKUP('Données projet'!$B$12,Paramètres!$A$1:$I$88,5,0)</f>
        <v>170.3810159999999</v>
      </c>
      <c r="CA47" s="14">
        <f t="shared" si="46"/>
        <v>43.17534737258952</v>
      </c>
      <c r="CB47" s="22">
        <f t="shared" si="13"/>
        <v>371.94399954059327</v>
      </c>
      <c r="CC47" s="62">
        <f t="shared" si="14"/>
        <v>665.27733287392653</v>
      </c>
      <c r="CD47" s="62">
        <f ca="1">AVERAGE(OFFSET($CC$3,0,0,'Données projet'!$E$12+1,1))-AVERAGE(OFFSET($H$3,0,0,'Données projet'!$E$12+1,1))</f>
        <v>264.06656596707364</v>
      </c>
      <c r="CE47" s="62">
        <f t="shared" si="15"/>
        <v>315.34415130230195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337.8</v>
      </c>
      <c r="CR47" s="13">
        <f>VLOOKUP(A47,'Données projet'!$A$139:$I$159,9,0)</f>
        <v>13.266666666666671</v>
      </c>
      <c r="CS47" s="13">
        <f t="array" ref="CS47">INDEX(CR:CR,MIN(IF(ISNUMBER(CR47:CR243),ROW(CR47:CR243),"")))</f>
        <v>13.266666666666671</v>
      </c>
      <c r="CT47" s="13">
        <f>IF(A47&lt;'Données projet'!$A$140,$CQ$205^A47,IF(A47='Données projet'!$A$140,'Données projet'!$B$140,CT46+CS47-DB46))</f>
        <v>337.80000000000007</v>
      </c>
      <c r="CU47" s="18">
        <f>CT47*VLOOKUP('Données projet'!$B$13,Paramètres!$A$1:$I$88,3,0)*VLOOKUP('Données projet'!$B$13,Paramètres!$A$1:$I$88,5,0)</f>
        <v>202.00440000000006</v>
      </c>
      <c r="CV47" s="14">
        <f t="shared" si="47"/>
        <v>50.184418192658534</v>
      </c>
      <c r="CW47" s="22">
        <f t="shared" si="17"/>
        <v>439.22885835221365</v>
      </c>
      <c r="CX47" s="62">
        <f t="shared" si="18"/>
        <v>732.56219168554696</v>
      </c>
      <c r="CY47" s="62">
        <f ca="1">AVERAGE(OFFSET($CX$3,0,0,'Données projet'!$E$13+1,1))-AVERAGE(OFFSET($H$3,0,0,'Données projet'!$E$13+1,1))</f>
        <v>162.29089122912319</v>
      </c>
      <c r="CZ47" s="62">
        <f t="shared" si="19"/>
        <v>253.15422514195427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337.8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8.0047671691279358</v>
      </c>
      <c r="DG47" s="23">
        <f>EXP(-LN(2)/25)*DG46+(1-EXP(-LN(2)/25))/(LN(2)/25)*Calculateur!DB47*Calculateur!DD47*VLOOKUP('Données projet'!$B$9,Paramètres!$A$1:$I$88,3,0)*0.475*44/12</f>
        <v>3.6005017532884485</v>
      </c>
      <c r="DH47" s="23">
        <f>EXP(-LN(2)/2)*DH46+(1-EXP(-LN(2)/2))/(LN(2)/2)*DB47*DE47*VLOOKUP('Données projet'!$B$9,Paramètres!$A$1:$I$88,3,0)*0.475*44/12</f>
        <v>1.825079229222875E-2</v>
      </c>
      <c r="DI47" s="24">
        <f t="shared" si="20"/>
        <v>11.623519714708612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9.8199999999999932</v>
      </c>
      <c r="DO47" s="13">
        <f>IF(A47&lt;'Données projet'!$A$166,$DL$205^A47,IF(A47='Données projet'!$A$166,'Données projet'!$B$166,DO46+DN47-DW46))</f>
        <v>232.37999999999988</v>
      </c>
      <c r="DP47" s="18">
        <f>DO47*VLOOKUP('Données projet'!$B$14,Paramètres!$A$1:$I$88,3,0)*VLOOKUP('Données projet'!$B$14,Paramètres!$A$1:$I$88,5,0)</f>
        <v>184.88152799999992</v>
      </c>
      <c r="DQ47" s="14">
        <f t="shared" si="48"/>
        <v>46.406539086581006</v>
      </c>
      <c r="DR47" s="22">
        <f t="shared" si="21"/>
        <v>402.82671684246179</v>
      </c>
      <c r="DS47" s="62">
        <f t="shared" si="22"/>
        <v>696.16005017579505</v>
      </c>
      <c r="DT47" s="62">
        <f ca="1">AVERAGE(OFFSET($DS$3,0,0,'Données projet'!$E$14+1,1))-AVERAGE(OFFSET($H$3,0,0,'Données projet'!$E$14+1,1))</f>
        <v>290.20755061064017</v>
      </c>
      <c r="DU47" s="62">
        <f t="shared" si="23"/>
        <v>343.54750327717181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25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4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20.399999999999999</v>
      </c>
      <c r="N48" s="14">
        <f>IF(A48&lt;'Données projet'!$A$36,$K$205^A48,IF(A48='Données projet'!$A$36,'Données projet'!$B$36,N47+M48-V47))</f>
        <v>277.99999999999989</v>
      </c>
      <c r="O48" s="14">
        <f>N48*VLOOKUP('Données projet'!$B$9,Paramètres!$A$1:$I$88,3,0)*VLOOKUP('Données projet'!$B$9,Paramètres!$A$1:$I$88,5,0)</f>
        <v>130.10399999999996</v>
      </c>
      <c r="P48" s="14">
        <f t="shared" si="43"/>
        <v>34.020389560268086</v>
      </c>
      <c r="Q48" s="22">
        <f t="shared" si="53"/>
        <v>285.84997848413349</v>
      </c>
      <c r="R48" s="62">
        <f t="shared" si="0"/>
        <v>579.1833118174668</v>
      </c>
      <c r="S48" s="62">
        <f ca="1">AVERAGE(OFFSET($R$3,0,0,'Données projet'!$E$9+1,1))-AVERAGE(OFFSET($H$3,0,0,'Données projet'!$E$9+1,1))</f>
        <v>300.03481708703549</v>
      </c>
      <c r="T48" s="62">
        <f t="shared" si="3"/>
        <v>102.6350860969182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25.166666666666668</v>
      </c>
      <c r="AI48" s="14">
        <f>IF(A48&lt;'Données projet'!$A$62,$AF$205^A48,IF(A48='Données projet'!$A$62,'Données projet'!$B$62,AI47+AH48-AQ47))</f>
        <v>525.49999999999989</v>
      </c>
      <c r="AJ48" s="14">
        <f>AI48*VLOOKUP('Données projet'!$B$10,Paramètres!$A$1:$I$88,3,0)*VLOOKUP('Données projet'!$B$10,Paramètres!$A$1:$I$88,5,0)</f>
        <v>293.75449999999995</v>
      </c>
      <c r="AK48" s="14">
        <f t="shared" si="44"/>
        <v>69.865567977016994</v>
      </c>
      <c r="AL48" s="22">
        <f t="shared" si="5"/>
        <v>633.3049517266378</v>
      </c>
      <c r="AM48" s="62">
        <f t="shared" si="6"/>
        <v>926.63828505997117</v>
      </c>
      <c r="AN48" s="62">
        <f ca="1">AVERAGE(OFFSET($AM$3,0,0,'Données projet'!$E$10+1,1))-AVERAGE(OFFSET($H$3,0,0,'Données projet'!$E$10+1,1))</f>
        <v>328.27336939084597</v>
      </c>
      <c r="AO48" s="62">
        <f t="shared" si="7"/>
        <v>448.79354389108755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4.0084930105882446</v>
      </c>
      <c r="AV48" s="23">
        <f>EXP(-LN(2)/25)*AV47+(1-EXP(-LN(2)/25))/(LN(2)/25)*Calculateur!AQ48*Calculateur!AS48*VLOOKUP('Données projet'!$B$9,Paramètres!$A$1:$I$88,3,0)*0.475*44/12</f>
        <v>9.0801091307410449</v>
      </c>
      <c r="AW48" s="23">
        <f>EXP(-LN(2)/2)*AW47+(1-EXP(-LN(2)/2))/(LN(2)/2)*AQ48*AT48*VLOOKUP('Données projet'!$B$9,Paramètres!$A$1:$I$88,3,0)*0.475*44/12</f>
        <v>8.047587770477202E-2</v>
      </c>
      <c r="AX48" s="23">
        <f t="shared" si="8"/>
        <v>13.169078019034062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207</v>
      </c>
      <c r="BB48" s="13">
        <f>VLOOKUP(A48,'Données projet'!$A$87:$I$107,9,0)</f>
        <v>10.8</v>
      </c>
      <c r="BC48" s="13">
        <f t="array" ref="BC48">INDEX(BB:BB,MIN(IF(ISNUMBER(BB48:BB244),ROW(BB48:BB244),"")))</f>
        <v>10.8</v>
      </c>
      <c r="BD48" s="13">
        <f>IF(A48&lt;'Données projet'!$A$88,$BA$205^A48,IF(A48='Données projet'!$A$88,'Données projet'!$B$88,BD47+BC48-BL47))</f>
        <v>206.99999999999997</v>
      </c>
      <c r="BE48" s="14">
        <f>BD48*VLOOKUP('Données projet'!$B$11,Paramètres!$A$1:$I$88,3,0)*VLOOKUP('Données projet'!$B$11,Paramètres!$A$1:$I$88,5,0)</f>
        <v>180.83520000000001</v>
      </c>
      <c r="BF48" s="14">
        <f t="shared" si="45"/>
        <v>45.507952685945142</v>
      </c>
      <c r="BG48" s="22">
        <f t="shared" si="9"/>
        <v>394.21432426135442</v>
      </c>
      <c r="BH48" s="62">
        <f t="shared" si="10"/>
        <v>687.54765759468773</v>
      </c>
      <c r="BI48" s="62">
        <f ca="1">AVERAGE(OFFSET($BH$3,0,0,'Données projet'!$E$11+1,1))-AVERAGE(OFFSET($H$3,0,0,'Données projet'!$E$11+1,1))</f>
        <v>348.65374983303883</v>
      </c>
      <c r="BJ48" s="62">
        <f t="shared" si="11"/>
        <v>312.05848669315151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242.2</v>
      </c>
      <c r="BW48" s="13">
        <f>VLOOKUP(A48,'Données projet'!$A$113:$I$133,9,0)</f>
        <v>9.8199999999999932</v>
      </c>
      <c r="BX48" s="13">
        <f t="array" ref="BX48">INDEX(BW:BW,MIN(IF(ISNUMBER(BW48:BW244),ROW(BW48:BW244),"")))</f>
        <v>9.8199999999999932</v>
      </c>
      <c r="BY48" s="13">
        <f>IF(A48&lt;'Données projet'!$A$114,$BV$205^A48,IF(A48='Données projet'!$A$114,'Données projet'!$B$114,BY47+BX48-CG47))</f>
        <v>242.19999999999987</v>
      </c>
      <c r="BZ48" s="14">
        <f>BY48*VLOOKUP('Données projet'!$B$12,Paramètres!$A$1:$I$88,3,0)*VLOOKUP('Données projet'!$B$12,Paramètres!$A$1:$I$88,5,0)</f>
        <v>177.58103999999989</v>
      </c>
      <c r="CA48" s="14">
        <f t="shared" si="46"/>
        <v>44.783589090869476</v>
      </c>
      <c r="CB48" s="22">
        <f t="shared" si="13"/>
        <v>387.28506233326408</v>
      </c>
      <c r="CC48" s="62">
        <f t="shared" si="14"/>
        <v>680.61839566659739</v>
      </c>
      <c r="CD48" s="62">
        <f ca="1">AVERAGE(OFFSET($CC$3,0,0,'Données projet'!$E$12+1,1))-AVERAGE(OFFSET($H$3,0,0,'Données projet'!$E$12+1,1))</f>
        <v>264.06656596707364</v>
      </c>
      <c r="CE48" s="62">
        <f t="shared" si="15"/>
        <v>315.34415130230195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5.6843418860808015E-14</v>
      </c>
      <c r="CU48" s="18">
        <f>CT48*VLOOKUP('Données projet'!$B$13,Paramètres!$A$1:$I$88,3,0)*VLOOKUP('Données projet'!$B$13,Paramètres!$A$1:$I$88,5,0)</f>
        <v>3.3992364478763198E-14</v>
      </c>
      <c r="CV48" s="14">
        <f t="shared" si="47"/>
        <v>5.790027782444094E-13</v>
      </c>
      <c r="CW48" s="22">
        <f t="shared" si="17"/>
        <v>1.0676332069095257E-12</v>
      </c>
      <c r="CX48" s="62">
        <f t="shared" si="18"/>
        <v>293.33333333333439</v>
      </c>
      <c r="CY48" s="62">
        <f ca="1">AVERAGE(OFFSET($CX$3,0,0,'Données projet'!$E$13+1,1))-AVERAGE(OFFSET($H$3,0,0,'Données projet'!$E$13+1,1))</f>
        <v>162.29089122912319</v>
      </c>
      <c r="CZ48" s="62">
        <f t="shared" si="19"/>
        <v>253.15422514195427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7.847798567367211</v>
      </c>
      <c r="DG48" s="23">
        <f>EXP(-LN(2)/25)*DG47+(1-EXP(-LN(2)/25))/(LN(2)/25)*Calculateur!DB48*Calculateur!DD48*VLOOKUP('Données projet'!$B$9,Paramètres!$A$1:$I$88,3,0)*0.475*44/12</f>
        <v>3.5020458435026178</v>
      </c>
      <c r="DH48" s="23">
        <f>EXP(-LN(2)/2)*DH47+(1-EXP(-LN(2)/2))/(LN(2)/2)*DB48*DE48*VLOOKUP('Données projet'!$B$9,Paramètres!$A$1:$I$88,3,0)*0.475*44/12</f>
        <v>1.2905258991862123E-2</v>
      </c>
      <c r="DI48" s="24">
        <f t="shared" si="20"/>
        <v>11.362749669861691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242.2</v>
      </c>
      <c r="DM48" s="13">
        <f>VLOOKUP(A48,'Données projet'!$A$165:$I$185,9,0)</f>
        <v>9.8199999999999932</v>
      </c>
      <c r="DN48" s="13">
        <f t="array" ref="DN48">INDEX(DM:DM,MIN(IF(ISNUMBER(DM48:DM244),ROW(DM48:DM244),"")))</f>
        <v>9.8199999999999932</v>
      </c>
      <c r="DO48" s="13">
        <f>IF(A48&lt;'Données projet'!$A$166,$DL$205^A48,IF(A48='Données projet'!$A$166,'Données projet'!$B$166,DO47+DN48-DW47))</f>
        <v>242.19999999999987</v>
      </c>
      <c r="DP48" s="18">
        <f>DO48*VLOOKUP('Données projet'!$B$14,Paramètres!$A$1:$I$88,3,0)*VLOOKUP('Données projet'!$B$14,Paramètres!$A$1:$I$88,5,0)</f>
        <v>192.69431999999989</v>
      </c>
      <c r="DQ48" s="14">
        <f t="shared" si="48"/>
        <v>48.13513970479886</v>
      </c>
      <c r="DR48" s="22">
        <f t="shared" si="21"/>
        <v>419.44464231919113</v>
      </c>
      <c r="DS48" s="62">
        <f t="shared" si="22"/>
        <v>712.77797565252445</v>
      </c>
      <c r="DT48" s="62">
        <f ca="1">AVERAGE(OFFSET($DS$3,0,0,'Données projet'!$E$14+1,1))-AVERAGE(OFFSET($H$3,0,0,'Données projet'!$E$14+1,1))</f>
        <v>290.20755061064017</v>
      </c>
      <c r="DU48" s="62">
        <f t="shared" si="23"/>
        <v>343.54750327717181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25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4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IF(A49&lt;'Données projet'!$A$36,$K$205^A49,IF(A49='Données projet'!$A$36,'Données projet'!$B$36,N48+M49-V48))</f>
        <v>298.39999999999986</v>
      </c>
      <c r="O49" s="14">
        <f>N49*VLOOKUP('Données projet'!$B$9,Paramètres!$A$1:$I$88,3,0)*VLOOKUP('Données projet'!$B$9,Paramètres!$A$1:$I$88,5,0)</f>
        <v>139.65119999999993</v>
      </c>
      <c r="P49" s="14">
        <f t="shared" si="43"/>
        <v>36.217088715919452</v>
      </c>
      <c r="Q49" s="22">
        <f t="shared" si="53"/>
        <v>306.30393618022629</v>
      </c>
      <c r="R49" s="62">
        <f t="shared" si="0"/>
        <v>599.63726951355966</v>
      </c>
      <c r="S49" s="62">
        <f ca="1">AVERAGE(OFFSET($R$3,0,0,'Données projet'!$E$9+1,1))-AVERAGE(OFFSET($H$3,0,0,'Données projet'!$E$9+1,1))</f>
        <v>300.03481708703549</v>
      </c>
      <c r="T49" s="62">
        <f t="shared" si="3"/>
        <v>102.6350860969182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25.166666666666668</v>
      </c>
      <c r="AI49" s="14">
        <f>IF(A49&lt;'Données projet'!$A$62,$AF$205^A49,IF(A49='Données projet'!$A$62,'Données projet'!$B$62,AI48+AH49-AQ48))</f>
        <v>550.66666666666652</v>
      </c>
      <c r="AJ49" s="14">
        <f>AI49*VLOOKUP('Données projet'!$B$10,Paramètres!$A$1:$I$88,3,0)*VLOOKUP('Données projet'!$B$10,Paramètres!$A$1:$I$88,5,0)</f>
        <v>307.82266666666658</v>
      </c>
      <c r="AK49" s="14">
        <f t="shared" si="44"/>
        <v>72.813929947417051</v>
      </c>
      <c r="AL49" s="22">
        <f t="shared" si="5"/>
        <v>662.94207243619564</v>
      </c>
      <c r="AM49" s="62">
        <f t="shared" si="6"/>
        <v>956.27540576952902</v>
      </c>
      <c r="AN49" s="62">
        <f ca="1">AVERAGE(OFFSET($AM$3,0,0,'Données projet'!$E$10+1,1))-AVERAGE(OFFSET($H$3,0,0,'Données projet'!$E$10+1,1))</f>
        <v>328.27336939084597</v>
      </c>
      <c r="AO49" s="62">
        <f t="shared" si="7"/>
        <v>448.79354389108755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3.9298889075899277</v>
      </c>
      <c r="AV49" s="23">
        <f>EXP(-LN(2)/25)*AV48+(1-EXP(-LN(2)/25))/(LN(2)/25)*Calculateur!AQ49*Calculateur!AS49*VLOOKUP('Données projet'!$B$9,Paramètres!$A$1:$I$88,3,0)*0.475*44/12</f>
        <v>8.8318130690587449</v>
      </c>
      <c r="AW49" s="23">
        <f>EXP(-LN(2)/2)*AW48+(1-EXP(-LN(2)/2))/(LN(2)/2)*AQ49*AT49*VLOOKUP('Données projet'!$B$9,Paramètres!$A$1:$I$88,3,0)*0.475*44/12</f>
        <v>5.6905038846983592E-2</v>
      </c>
      <c r="AX49" s="23">
        <f t="shared" si="8"/>
        <v>12.818607015495656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10.6</v>
      </c>
      <c r="BD49" s="13">
        <f>IF(A49&lt;'Données projet'!$A$88,$BA$205^A49,IF(A49='Données projet'!$A$88,'Données projet'!$B$88,BD48+BC49-BL48))</f>
        <v>217.59999999999997</v>
      </c>
      <c r="BE49" s="14">
        <f>BD49*VLOOKUP('Données projet'!$B$11,Paramètres!$A$1:$I$88,3,0)*VLOOKUP('Données projet'!$B$11,Paramètres!$A$1:$I$88,5,0)</f>
        <v>190.09536</v>
      </c>
      <c r="BF49" s="14">
        <f t="shared" si="45"/>
        <v>47.56103497756866</v>
      </c>
      <c r="BG49" s="22">
        <f t="shared" si="9"/>
        <v>413.9182212525987</v>
      </c>
      <c r="BH49" s="62">
        <f t="shared" si="10"/>
        <v>707.25155458593201</v>
      </c>
      <c r="BI49" s="62">
        <f ca="1">AVERAGE(OFFSET($BH$3,0,0,'Données projet'!$E$11+1,1))-AVERAGE(OFFSET($H$3,0,0,'Données projet'!$E$11+1,1))</f>
        <v>348.65374983303883</v>
      </c>
      <c r="BJ49" s="62">
        <f t="shared" si="11"/>
        <v>312.05848669315151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8.5399999999999974</v>
      </c>
      <c r="BY49" s="13">
        <f>IF(A49&lt;'Données projet'!$A$114,$BV$205^A49,IF(A49='Données projet'!$A$114,'Données projet'!$B$114,BY48+BX49-CG48))</f>
        <v>250.73999999999987</v>
      </c>
      <c r="BZ49" s="14">
        <f>BY49*VLOOKUP('Données projet'!$B$12,Paramètres!$A$1:$I$88,3,0)*VLOOKUP('Données projet'!$B$12,Paramètres!$A$1:$I$88,5,0)</f>
        <v>183.84256799999991</v>
      </c>
      <c r="CA49" s="14">
        <f t="shared" si="46"/>
        <v>46.176032940903148</v>
      </c>
      <c r="CB49" s="22">
        <f t="shared" si="13"/>
        <v>400.61572997207281</v>
      </c>
      <c r="CC49" s="62">
        <f t="shared" si="14"/>
        <v>693.94906330540607</v>
      </c>
      <c r="CD49" s="62">
        <f ca="1">AVERAGE(OFFSET($CC$3,0,0,'Données projet'!$E$12+1,1))-AVERAGE(OFFSET($H$3,0,0,'Données projet'!$E$12+1,1))</f>
        <v>264.06656596707364</v>
      </c>
      <c r="CE49" s="62">
        <f t="shared" si="15"/>
        <v>315.34415130230195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5.6843418860808015E-14</v>
      </c>
      <c r="CU49" s="18">
        <f>CT49*VLOOKUP('Données projet'!$B$13,Paramètres!$A$1:$I$88,3,0)*VLOOKUP('Données projet'!$B$13,Paramètres!$A$1:$I$88,5,0)</f>
        <v>3.3992364478763198E-14</v>
      </c>
      <c r="CV49" s="14">
        <f t="shared" si="47"/>
        <v>5.790027782444094E-13</v>
      </c>
      <c r="CW49" s="22">
        <f t="shared" si="17"/>
        <v>1.0676332069095257E-12</v>
      </c>
      <c r="CX49" s="62">
        <f t="shared" si="18"/>
        <v>293.33333333333439</v>
      </c>
      <c r="CY49" s="62">
        <f ca="1">AVERAGE(OFFSET($CX$3,0,0,'Données projet'!$E$13+1,1))-AVERAGE(OFFSET($H$3,0,0,'Données projet'!$E$13+1,1))</f>
        <v>162.29089122912319</v>
      </c>
      <c r="CZ49" s="62">
        <f t="shared" si="19"/>
        <v>253.15422514195427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7.6939080241456201</v>
      </c>
      <c r="DG49" s="23">
        <f>EXP(-LN(2)/25)*DG48+(1-EXP(-LN(2)/25))/(LN(2)/25)*Calculateur!DB49*Calculateur!DD49*VLOOKUP('Données projet'!$B$9,Paramètres!$A$1:$I$88,3,0)*0.475*44/12</f>
        <v>3.4062822157474519</v>
      </c>
      <c r="DH49" s="23">
        <f>EXP(-LN(2)/2)*DH48+(1-EXP(-LN(2)/2))/(LN(2)/2)*DB49*DE49*VLOOKUP('Données projet'!$B$9,Paramètres!$A$1:$I$88,3,0)*0.475*44/12</f>
        <v>9.125396146114375E-3</v>
      </c>
      <c r="DI49" s="24">
        <f t="shared" si="20"/>
        <v>11.109315636039186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8.5399999999999974</v>
      </c>
      <c r="DO49" s="13">
        <f>IF(A49&lt;'Données projet'!$A$166,$DL$205^A49,IF(A49='Données projet'!$A$166,'Données projet'!$B$166,DO48+DN49-DW48))</f>
        <v>250.73999999999987</v>
      </c>
      <c r="DP49" s="18">
        <f>DO49*VLOOKUP('Données projet'!$B$14,Paramètres!$A$1:$I$88,3,0)*VLOOKUP('Données projet'!$B$14,Paramètres!$A$1:$I$88,5,0)</f>
        <v>199.48874399999991</v>
      </c>
      <c r="DQ49" s="14">
        <f t="shared" si="48"/>
        <v>49.631792398634111</v>
      </c>
      <c r="DR49" s="22">
        <f t="shared" si="21"/>
        <v>433.88493422762093</v>
      </c>
      <c r="DS49" s="62">
        <f t="shared" si="22"/>
        <v>727.21826756095425</v>
      </c>
      <c r="DT49" s="62">
        <f ca="1">AVERAGE(OFFSET($DS$3,0,0,'Données projet'!$E$14+1,1))-AVERAGE(OFFSET($H$3,0,0,'Données projet'!$E$14+1,1))</f>
        <v>290.20755061064017</v>
      </c>
      <c r="DU49" s="62">
        <f t="shared" si="23"/>
        <v>343.54750327717181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25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4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IF(A50&lt;'Données projet'!$A$36,$K$205^A50,IF(A50='Données projet'!$A$36,'Données projet'!$B$36,N49+M50-V49))</f>
        <v>318.79999999999984</v>
      </c>
      <c r="O50" s="14">
        <f>N50*VLOOKUP('Données projet'!$B$9,Paramètres!$A$1:$I$88,3,0)*VLOOKUP('Données projet'!$B$9,Paramètres!$A$1:$I$88,5,0)</f>
        <v>149.19839999999994</v>
      </c>
      <c r="P50" s="14">
        <f t="shared" si="43"/>
        <v>38.396362373864498</v>
      </c>
      <c r="Q50" s="22">
        <f t="shared" si="53"/>
        <v>326.72754446781386</v>
      </c>
      <c r="R50" s="62">
        <f t="shared" si="0"/>
        <v>620.06087780114717</v>
      </c>
      <c r="S50" s="62">
        <f ca="1">AVERAGE(OFFSET($R$3,0,0,'Données projet'!$E$9+1,1))-AVERAGE(OFFSET($H$3,0,0,'Données projet'!$E$9+1,1))</f>
        <v>300.03481708703549</v>
      </c>
      <c r="T50" s="62">
        <f t="shared" si="3"/>
        <v>102.6350860969182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25.166666666666668</v>
      </c>
      <c r="AI50" s="14">
        <f>IF(A50&lt;'Données projet'!$A$62,$AF$205^A50,IF(A50='Données projet'!$A$62,'Données projet'!$B$62,AI49+AH50-AQ49))</f>
        <v>575.83333333333314</v>
      </c>
      <c r="AJ50" s="14">
        <f>AI50*VLOOKUP('Données projet'!$B$10,Paramètres!$A$1:$I$88,3,0)*VLOOKUP('Données projet'!$B$10,Paramètres!$A$1:$I$88,5,0)</f>
        <v>321.89083333333321</v>
      </c>
      <c r="AK50" s="14">
        <f t="shared" si="44"/>
        <v>75.746643310063419</v>
      </c>
      <c r="AL50" s="22">
        <f t="shared" si="5"/>
        <v>692.55193848724912</v>
      </c>
      <c r="AM50" s="62">
        <f t="shared" si="6"/>
        <v>985.88527182058237</v>
      </c>
      <c r="AN50" s="62">
        <f ca="1">AVERAGE(OFFSET($AM$3,0,0,'Données projet'!$E$10+1,1))-AVERAGE(OFFSET($H$3,0,0,'Données projet'!$E$10+1,1))</f>
        <v>328.27336939084597</v>
      </c>
      <c r="AO50" s="62">
        <f t="shared" si="7"/>
        <v>448.79354389108755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3.8528261831076391</v>
      </c>
      <c r="AV50" s="23">
        <f>EXP(-LN(2)/25)*AV49+(1-EXP(-LN(2)/25))/(LN(2)/25)*Calculateur!AQ50*Calculateur!AS50*VLOOKUP('Données projet'!$B$9,Paramètres!$A$1:$I$88,3,0)*0.475*44/12</f>
        <v>8.5903066762404698</v>
      </c>
      <c r="AW50" s="23">
        <f>EXP(-LN(2)/2)*AW49+(1-EXP(-LN(2)/2))/(LN(2)/2)*AQ50*AT50*VLOOKUP('Données projet'!$B$9,Paramètres!$A$1:$I$88,3,0)*0.475*44/12</f>
        <v>4.0237938852386017E-2</v>
      </c>
      <c r="AX50" s="23">
        <f t="shared" si="8"/>
        <v>12.483370798200495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10.6</v>
      </c>
      <c r="BD50" s="13">
        <f>IF(A50&lt;'Données projet'!$A$88,$BA$205^A50,IF(A50='Données projet'!$A$88,'Données projet'!$B$88,BD49+BC50-BL49))</f>
        <v>228.19999999999996</v>
      </c>
      <c r="BE50" s="14">
        <f>BD50*VLOOKUP('Données projet'!$B$11,Paramètres!$A$1:$I$88,3,0)*VLOOKUP('Données projet'!$B$11,Paramètres!$A$1:$I$88,5,0)</f>
        <v>199.35551999999998</v>
      </c>
      <c r="BF50" s="14">
        <f t="shared" si="45"/>
        <v>49.602503932783179</v>
      </c>
      <c r="BG50" s="22">
        <f t="shared" si="9"/>
        <v>433.60189168293067</v>
      </c>
      <c r="BH50" s="62">
        <f t="shared" si="10"/>
        <v>726.93522501626398</v>
      </c>
      <c r="BI50" s="62">
        <f ca="1">AVERAGE(OFFSET($BH$3,0,0,'Données projet'!$E$11+1,1))-AVERAGE(OFFSET($H$3,0,0,'Données projet'!$E$11+1,1))</f>
        <v>348.65374983303883</v>
      </c>
      <c r="BJ50" s="62">
        <f t="shared" si="11"/>
        <v>312.05848669315151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8.5399999999999974</v>
      </c>
      <c r="BY50" s="13">
        <f>IF(A50&lt;'Données projet'!$A$114,$BV$205^A50,IF(A50='Données projet'!$A$114,'Données projet'!$B$114,BY49+BX50-CG49))</f>
        <v>259.27999999999986</v>
      </c>
      <c r="BZ50" s="14">
        <f>BY50*VLOOKUP('Données projet'!$B$12,Paramètres!$A$1:$I$88,3,0)*VLOOKUP('Données projet'!$B$12,Paramètres!$A$1:$I$88,5,0)</f>
        <v>190.10409599999988</v>
      </c>
      <c r="CA50" s="14">
        <f t="shared" si="46"/>
        <v>47.562966265165443</v>
      </c>
      <c r="CB50" s="22">
        <f t="shared" si="13"/>
        <v>413.9368001118296</v>
      </c>
      <c r="CC50" s="62">
        <f t="shared" si="14"/>
        <v>707.27013344516286</v>
      </c>
      <c r="CD50" s="62">
        <f ca="1">AVERAGE(OFFSET($CC$3,0,0,'Données projet'!$E$12+1,1))-AVERAGE(OFFSET($H$3,0,0,'Données projet'!$E$12+1,1))</f>
        <v>264.06656596707364</v>
      </c>
      <c r="CE50" s="62">
        <f t="shared" si="15"/>
        <v>315.34415130230195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5.6843418860808015E-14</v>
      </c>
      <c r="CU50" s="18">
        <f>CT50*VLOOKUP('Données projet'!$B$13,Paramètres!$A$1:$I$88,3,0)*VLOOKUP('Données projet'!$B$13,Paramètres!$A$1:$I$88,5,0)</f>
        <v>3.3992364478763198E-14</v>
      </c>
      <c r="CV50" s="14">
        <f t="shared" si="47"/>
        <v>5.790027782444094E-13</v>
      </c>
      <c r="CW50" s="22">
        <f t="shared" si="17"/>
        <v>1.0676332069095257E-12</v>
      </c>
      <c r="CX50" s="62">
        <f t="shared" si="18"/>
        <v>293.33333333333439</v>
      </c>
      <c r="CY50" s="62">
        <f ca="1">AVERAGE(OFFSET($CX$3,0,0,'Données projet'!$E$13+1,1))-AVERAGE(OFFSET($H$3,0,0,'Données projet'!$E$13+1,1))</f>
        <v>162.29089122912319</v>
      </c>
      <c r="CZ50" s="62">
        <f t="shared" si="19"/>
        <v>253.15422514195427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7.5430351806126419</v>
      </c>
      <c r="DG50" s="23">
        <f>EXP(-LN(2)/25)*DG49+(1-EXP(-LN(2)/25))/(LN(2)/25)*Calculateur!DB50*Calculateur!DD50*VLOOKUP('Données projet'!$B$9,Paramètres!$A$1:$I$88,3,0)*0.475*44/12</f>
        <v>3.3131372494292415</v>
      </c>
      <c r="DH50" s="23">
        <f>EXP(-LN(2)/2)*DH49+(1-EXP(-LN(2)/2))/(LN(2)/2)*DB50*DE50*VLOOKUP('Données projet'!$B$9,Paramètres!$A$1:$I$88,3,0)*0.475*44/12</f>
        <v>6.4526294959310615E-3</v>
      </c>
      <c r="DI50" s="24">
        <f t="shared" si="20"/>
        <v>10.862625059537814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8.5399999999999974</v>
      </c>
      <c r="DO50" s="13">
        <f>IF(A50&lt;'Données projet'!$A$166,$DL$205^A50,IF(A50='Données projet'!$A$166,'Données projet'!$B$166,DO49+DN50-DW49))</f>
        <v>259.27999999999986</v>
      </c>
      <c r="DP50" s="18">
        <f>DO50*VLOOKUP('Données projet'!$B$14,Paramètres!$A$1:$I$88,3,0)*VLOOKUP('Données projet'!$B$14,Paramètres!$A$1:$I$88,5,0)</f>
        <v>206.2831679999999</v>
      </c>
      <c r="DQ50" s="14">
        <f t="shared" si="48"/>
        <v>51.122522165494573</v>
      </c>
      <c r="DR50" s="22">
        <f t="shared" si="21"/>
        <v>448.31491037156951</v>
      </c>
      <c r="DS50" s="62">
        <f t="shared" si="22"/>
        <v>741.64824370490282</v>
      </c>
      <c r="DT50" s="62">
        <f ca="1">AVERAGE(OFFSET($DS$3,0,0,'Données projet'!$E$14+1,1))-AVERAGE(OFFSET($H$3,0,0,'Données projet'!$E$14+1,1))</f>
        <v>290.20755061064017</v>
      </c>
      <c r="DU50" s="62">
        <f t="shared" si="23"/>
        <v>343.54750327717181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25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4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IF(A51&lt;'Données projet'!$A$36,$K$205^A51,IF(A51='Données projet'!$A$36,'Données projet'!$B$36,N50+M51-V50))</f>
        <v>339.19999999999982</v>
      </c>
      <c r="O51" s="14">
        <f>N51*VLOOKUP('Données projet'!$B$9,Paramètres!$A$1:$I$88,3,0)*VLOOKUP('Données projet'!$B$9,Paramètres!$A$1:$I$88,5,0)</f>
        <v>158.74559999999991</v>
      </c>
      <c r="P51" s="14">
        <f t="shared" si="43"/>
        <v>40.559452507902058</v>
      </c>
      <c r="Q51" s="22">
        <f t="shared" si="53"/>
        <v>347.12296645126258</v>
      </c>
      <c r="R51" s="62">
        <f t="shared" si="0"/>
        <v>640.4562997845959</v>
      </c>
      <c r="S51" s="62">
        <f ca="1">AVERAGE(OFFSET($R$3,0,0,'Données projet'!$E$9+1,1))-AVERAGE(OFFSET($H$3,0,0,'Données projet'!$E$9+1,1))</f>
        <v>300.03481708703549</v>
      </c>
      <c r="T51" s="62">
        <f t="shared" si="3"/>
        <v>102.6350860969182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601</v>
      </c>
      <c r="AG51" s="13">
        <f>VLOOKUP(A51,'Données projet'!$A$61:$I$81,9,0)</f>
        <v>25.166666666666668</v>
      </c>
      <c r="AH51" s="13">
        <f t="array" ref="AH51">INDEX(AG:AG,MIN(IF(ISNUMBER(AG51:AG247),ROW(AG51:AG247),"")))</f>
        <v>25.166666666666668</v>
      </c>
      <c r="AI51" s="14">
        <f>IF(A51&lt;'Données projet'!$A$62,$AF$205^A51,IF(A51='Données projet'!$A$62,'Données projet'!$B$62,AI50+AH51-AQ50))</f>
        <v>600.99999999999977</v>
      </c>
      <c r="AJ51" s="14">
        <f>AI51*VLOOKUP('Données projet'!$B$10,Paramètres!$A$1:$I$88,3,0)*VLOOKUP('Données projet'!$B$10,Paramètres!$A$1:$I$88,5,0)</f>
        <v>335.95899999999989</v>
      </c>
      <c r="AK51" s="14">
        <f t="shared" si="44"/>
        <v>78.664470148496989</v>
      </c>
      <c r="AL51" s="22">
        <f t="shared" si="5"/>
        <v>722.13587717529879</v>
      </c>
      <c r="AM51" s="62">
        <f t="shared" si="6"/>
        <v>1015.4692105086322</v>
      </c>
      <c r="AN51" s="62">
        <f ca="1">AVERAGE(OFFSET($AM$3,0,0,'Données projet'!$E$10+1,1))-AVERAGE(OFFSET($H$3,0,0,'Données projet'!$E$10+1,1))</f>
        <v>328.27336939084597</v>
      </c>
      <c r="AO51" s="62">
        <f t="shared" si="7"/>
        <v>448.79354389108755</v>
      </c>
      <c r="AP51" s="16">
        <f>IF(ISNA(VLOOKUP(A51,'Données projet'!$A$61:$I$81,3,0)),0,VLOOKUP(A51,'Données projet'!$A$61:$I$81,3,0))</f>
        <v>6</v>
      </c>
      <c r="AQ51" s="16">
        <f>IF(ISNA(VLOOKUP(A51,'Données projet'!$A$61:$I$81,4,0)),0,VLOOKUP(A51,'Données projet'!$A$61:$I$81,4,0))</f>
        <v>102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3.7772746116488274</v>
      </c>
      <c r="AV51" s="23">
        <f>EXP(-LN(2)/25)*AV50+(1-EXP(-LN(2)/25))/(LN(2)/25)*Calculateur!AQ51*Calculateur!AS51*VLOOKUP('Données projet'!$B$9,Paramètres!$A$1:$I$88,3,0)*0.475*44/12</f>
        <v>8.3554042884340802</v>
      </c>
      <c r="AW51" s="23">
        <f>EXP(-LN(2)/2)*AW50+(1-EXP(-LN(2)/2))/(LN(2)/2)*AQ51*AT51*VLOOKUP('Données projet'!$B$9,Paramètres!$A$1:$I$88,3,0)*0.475*44/12</f>
        <v>2.84525194234918E-2</v>
      </c>
      <c r="AX51" s="23">
        <f t="shared" si="8"/>
        <v>12.1611314195064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10.6</v>
      </c>
      <c r="BD51" s="13">
        <f>IF(A51&lt;'Données projet'!$A$88,$BA$205^A51,IF(A51='Données projet'!$A$88,'Données projet'!$B$88,BD50+BC51-BL50))</f>
        <v>238.79999999999995</v>
      </c>
      <c r="BE51" s="14">
        <f>BD51*VLOOKUP('Données projet'!$B$11,Paramètres!$A$1:$I$88,3,0)*VLOOKUP('Données projet'!$B$11,Paramètres!$A$1:$I$88,5,0)</f>
        <v>208.61567999999997</v>
      </c>
      <c r="BF51" s="14">
        <f t="shared" si="45"/>
        <v>51.63296060480328</v>
      </c>
      <c r="BG51" s="22">
        <f t="shared" si="9"/>
        <v>453.26638238669898</v>
      </c>
      <c r="BH51" s="62">
        <f t="shared" si="10"/>
        <v>746.59971572003224</v>
      </c>
      <c r="BI51" s="62">
        <f ca="1">AVERAGE(OFFSET($BH$3,0,0,'Données projet'!$E$11+1,1))-AVERAGE(OFFSET($H$3,0,0,'Données projet'!$E$11+1,1))</f>
        <v>348.65374983303883</v>
      </c>
      <c r="BJ51" s="62">
        <f t="shared" si="11"/>
        <v>312.05848669315151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8.5399999999999974</v>
      </c>
      <c r="BY51" s="13">
        <f>IF(A51&lt;'Données projet'!$A$114,$BV$205^A51,IF(A51='Données projet'!$A$114,'Données projet'!$B$114,BY50+BX51-CG50))</f>
        <v>267.81999999999988</v>
      </c>
      <c r="BZ51" s="14">
        <f>BY51*VLOOKUP('Données projet'!$B$12,Paramètres!$A$1:$I$88,3,0)*VLOOKUP('Données projet'!$B$12,Paramètres!$A$1:$I$88,5,0)</f>
        <v>196.36562399999991</v>
      </c>
      <c r="CA51" s="14">
        <f t="shared" si="46"/>
        <v>48.944591379063773</v>
      </c>
      <c r="CB51" s="22">
        <f t="shared" si="13"/>
        <v>427.24862511853593</v>
      </c>
      <c r="CC51" s="62">
        <f t="shared" si="14"/>
        <v>720.58195845186924</v>
      </c>
      <c r="CD51" s="62">
        <f ca="1">AVERAGE(OFFSET($CC$3,0,0,'Données projet'!$E$12+1,1))-AVERAGE(OFFSET($H$3,0,0,'Données projet'!$E$12+1,1))</f>
        <v>264.06656596707364</v>
      </c>
      <c r="CE51" s="62">
        <f t="shared" si="15"/>
        <v>315.34415130230195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5.6843418860808015E-14</v>
      </c>
      <c r="CU51" s="18">
        <f>CT51*VLOOKUP('Données projet'!$B$13,Paramètres!$A$1:$I$88,3,0)*VLOOKUP('Données projet'!$B$13,Paramètres!$A$1:$I$88,5,0)</f>
        <v>3.3992364478763198E-14</v>
      </c>
      <c r="CV51" s="14">
        <f t="shared" si="47"/>
        <v>5.790027782444094E-13</v>
      </c>
      <c r="CW51" s="22">
        <f t="shared" si="17"/>
        <v>1.0676332069095257E-12</v>
      </c>
      <c r="CX51" s="62">
        <f t="shared" si="18"/>
        <v>293.33333333333439</v>
      </c>
      <c r="CY51" s="62">
        <f ca="1">AVERAGE(OFFSET($CX$3,0,0,'Données projet'!$E$13+1,1))-AVERAGE(OFFSET($H$3,0,0,'Données projet'!$E$13+1,1))</f>
        <v>162.29089122912319</v>
      </c>
      <c r="CZ51" s="62">
        <f t="shared" si="19"/>
        <v>253.15422514195427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7.3951208615179969</v>
      </c>
      <c r="DG51" s="23">
        <f>EXP(-LN(2)/25)*DG50+(1-EXP(-LN(2)/25))/(LN(2)/25)*Calculateur!DB51*Calculateur!DD51*VLOOKUP('Données projet'!$B$9,Paramètres!$A$1:$I$88,3,0)*0.475*44/12</f>
        <v>3.2225393371132833</v>
      </c>
      <c r="DH51" s="23">
        <f>EXP(-LN(2)/2)*DH50+(1-EXP(-LN(2)/2))/(LN(2)/2)*DB51*DE51*VLOOKUP('Données projet'!$B$9,Paramètres!$A$1:$I$88,3,0)*0.475*44/12</f>
        <v>4.5626980730571875E-3</v>
      </c>
      <c r="DI51" s="24">
        <f t="shared" si="20"/>
        <v>10.622222896704338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8.5399999999999974</v>
      </c>
      <c r="DO51" s="13">
        <f>IF(A51&lt;'Données projet'!$A$166,$DL$205^A51,IF(A51='Données projet'!$A$166,'Données projet'!$B$166,DO50+DN51-DW50))</f>
        <v>267.81999999999988</v>
      </c>
      <c r="DP51" s="18">
        <f>DO51*VLOOKUP('Données projet'!$B$14,Paramètres!$A$1:$I$88,3,0)*VLOOKUP('Données projet'!$B$14,Paramètres!$A$1:$I$88,5,0)</f>
        <v>213.07759199999992</v>
      </c>
      <c r="DQ51" s="14">
        <f t="shared" si="48"/>
        <v>52.607546461832449</v>
      </c>
      <c r="DR51" s="22">
        <f t="shared" si="21"/>
        <v>462.73494948769138</v>
      </c>
      <c r="DS51" s="62">
        <f t="shared" si="22"/>
        <v>756.0682828210247</v>
      </c>
      <c r="DT51" s="62">
        <f ca="1">AVERAGE(OFFSET($DS$3,0,0,'Données projet'!$E$14+1,1))-AVERAGE(OFFSET($H$3,0,0,'Données projet'!$E$14+1,1))</f>
        <v>290.20755061064017</v>
      </c>
      <c r="DU51" s="62">
        <f t="shared" si="23"/>
        <v>343.54750327717181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25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4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IF(A52&lt;'Données projet'!$A$36,$K$205^A52,IF(A52='Données projet'!$A$36,'Données projet'!$B$36,N51+M52-V51))</f>
        <v>359.5999999999998</v>
      </c>
      <c r="O52" s="14">
        <f>N52*VLOOKUP('Données projet'!$B$9,Paramètres!$A$1:$I$88,3,0)*VLOOKUP('Données projet'!$B$9,Paramètres!$A$1:$I$88,5,0)</f>
        <v>168.29279999999991</v>
      </c>
      <c r="P52" s="14">
        <f t="shared" si="43"/>
        <v>42.707443263135069</v>
      </c>
      <c r="Q52" s="22">
        <f t="shared" si="53"/>
        <v>367.49209034996011</v>
      </c>
      <c r="R52" s="62">
        <f t="shared" si="0"/>
        <v>660.82542368329337</v>
      </c>
      <c r="S52" s="62">
        <f ca="1">AVERAGE(OFFSET($R$3,0,0,'Données projet'!$E$9+1,1))-AVERAGE(OFFSET($H$3,0,0,'Données projet'!$E$9+1,1))</f>
        <v>300.03481708703549</v>
      </c>
      <c r="T52" s="62">
        <f t="shared" si="3"/>
        <v>102.6350860969182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23.5</v>
      </c>
      <c r="AI52" s="14">
        <f>IF(A52&lt;'Données projet'!$A$62,$AF$205^A52,IF(A52='Données projet'!$A$62,'Données projet'!$B$62,AI51+AH52-AQ51))</f>
        <v>522.49999999999977</v>
      </c>
      <c r="AJ52" s="14">
        <f>AI52*VLOOKUP('Données projet'!$B$10,Paramètres!$A$1:$I$88,3,0)*VLOOKUP('Données projet'!$B$10,Paramètres!$A$1:$I$88,5,0)</f>
        <v>292.07749999999987</v>
      </c>
      <c r="AK52" s="14">
        <f t="shared" si="44"/>
        <v>69.513025042244749</v>
      </c>
      <c r="AL52" s="22">
        <f t="shared" si="5"/>
        <v>629.770164448576</v>
      </c>
      <c r="AM52" s="62">
        <f t="shared" si="6"/>
        <v>923.10349778190925</v>
      </c>
      <c r="AN52" s="62">
        <f ca="1">AVERAGE(OFFSET($AM$3,0,0,'Données projet'!$E$10+1,1))-AVERAGE(OFFSET($H$3,0,0,'Données projet'!$E$10+1,1))</f>
        <v>328.27336939084597</v>
      </c>
      <c r="AO52" s="62">
        <f t="shared" si="7"/>
        <v>448.79354389108755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3.7032045604244148</v>
      </c>
      <c r="AV52" s="23">
        <f>EXP(-LN(2)/25)*AV51+(1-EXP(-LN(2)/25))/(LN(2)/25)*Calculateur!AQ52*Calculateur!AS52*VLOOKUP('Données projet'!$B$9,Paramètres!$A$1:$I$88,3,0)*0.475*44/12</f>
        <v>8.1269253187752355</v>
      </c>
      <c r="AW52" s="23">
        <f>EXP(-LN(2)/2)*AW51+(1-EXP(-LN(2)/2))/(LN(2)/2)*AQ52*AT52*VLOOKUP('Données projet'!$B$9,Paramètres!$A$1:$I$88,3,0)*0.475*44/12</f>
        <v>2.0118969426193012E-2</v>
      </c>
      <c r="AX52" s="23">
        <f t="shared" si="8"/>
        <v>11.850248848625842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10.6</v>
      </c>
      <c r="BD52" s="13">
        <f>IF(A52&lt;'Données projet'!$A$88,$BA$205^A52,IF(A52='Données projet'!$A$88,'Données projet'!$B$88,BD51+BC52-BL51))</f>
        <v>249.39999999999995</v>
      </c>
      <c r="BE52" s="14">
        <f>BD52*VLOOKUP('Données projet'!$B$11,Paramètres!$A$1:$I$88,3,0)*VLOOKUP('Données projet'!$B$11,Paramètres!$A$1:$I$88,5,0)</f>
        <v>217.87583999999998</v>
      </c>
      <c r="BF52" s="14">
        <f t="shared" si="45"/>
        <v>53.652949670124926</v>
      </c>
      <c r="BG52" s="22">
        <f t="shared" si="9"/>
        <v>472.9126420088009</v>
      </c>
      <c r="BH52" s="62">
        <f t="shared" si="10"/>
        <v>766.24597534213422</v>
      </c>
      <c r="BI52" s="62">
        <f ca="1">AVERAGE(OFFSET($BH$3,0,0,'Données projet'!$E$11+1,1))-AVERAGE(OFFSET($H$3,0,0,'Données projet'!$E$11+1,1))</f>
        <v>348.65374983303883</v>
      </c>
      <c r="BJ52" s="62">
        <f t="shared" si="11"/>
        <v>312.05848669315151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8.5399999999999974</v>
      </c>
      <c r="BY52" s="13">
        <f>IF(A52&lt;'Données projet'!$A$114,$BV$205^A52,IF(A52='Données projet'!$A$114,'Données projet'!$B$114,BY51+BX52-CG51))</f>
        <v>276.3599999999999</v>
      </c>
      <c r="BZ52" s="14">
        <f>BY52*VLOOKUP('Données projet'!$B$12,Paramètres!$A$1:$I$88,3,0)*VLOOKUP('Données projet'!$B$12,Paramètres!$A$1:$I$88,5,0)</f>
        <v>202.62715199999994</v>
      </c>
      <c r="CA52" s="14">
        <f t="shared" si="46"/>
        <v>50.321096962872829</v>
      </c>
      <c r="CB52" s="22">
        <f t="shared" si="13"/>
        <v>440.55153361033672</v>
      </c>
      <c r="CC52" s="62">
        <f t="shared" si="14"/>
        <v>733.88486694366998</v>
      </c>
      <c r="CD52" s="62">
        <f ca="1">AVERAGE(OFFSET($CC$3,0,0,'Données projet'!$E$12+1,1))-AVERAGE(OFFSET($H$3,0,0,'Données projet'!$E$12+1,1))</f>
        <v>264.06656596707364</v>
      </c>
      <c r="CE52" s="62">
        <f t="shared" si="15"/>
        <v>315.34415130230195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5.6843418860808015E-14</v>
      </c>
      <c r="CU52" s="18">
        <f>CT52*VLOOKUP('Données projet'!$B$13,Paramètres!$A$1:$I$88,3,0)*VLOOKUP('Données projet'!$B$13,Paramètres!$A$1:$I$88,5,0)</f>
        <v>3.3992364478763198E-14</v>
      </c>
      <c r="CV52" s="14">
        <f t="shared" si="47"/>
        <v>5.790027782444094E-13</v>
      </c>
      <c r="CW52" s="22">
        <f t="shared" si="17"/>
        <v>1.0676332069095257E-12</v>
      </c>
      <c r="CX52" s="62">
        <f t="shared" si="18"/>
        <v>293.33333333333439</v>
      </c>
      <c r="CY52" s="62">
        <f ca="1">AVERAGE(OFFSET($CX$3,0,0,'Données projet'!$E$13+1,1))-AVERAGE(OFFSET($H$3,0,0,'Données projet'!$E$13+1,1))</f>
        <v>162.29089122912319</v>
      </c>
      <c r="CZ52" s="62">
        <f t="shared" si="19"/>
        <v>253.15422514195427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7.2501070520019715</v>
      </c>
      <c r="DG52" s="23">
        <f>EXP(-LN(2)/25)*DG51+(1-EXP(-LN(2)/25))/(LN(2)/25)*Calculateur!DB52*Calculateur!DD52*VLOOKUP('Données projet'!$B$9,Paramètres!$A$1:$I$88,3,0)*0.475*44/12</f>
        <v>3.1344188294739421</v>
      </c>
      <c r="DH52" s="23">
        <f>EXP(-LN(2)/2)*DH51+(1-EXP(-LN(2)/2))/(LN(2)/2)*DB52*DE52*VLOOKUP('Données projet'!$B$9,Paramètres!$A$1:$I$88,3,0)*0.475*44/12</f>
        <v>3.2263147479655307E-3</v>
      </c>
      <c r="DI52" s="24">
        <f t="shared" si="20"/>
        <v>10.387752196223879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8.5399999999999974</v>
      </c>
      <c r="DO52" s="13">
        <f>IF(A52&lt;'Données projet'!$A$166,$DL$205^A52,IF(A52='Données projet'!$A$166,'Données projet'!$B$166,DO51+DN52-DW51))</f>
        <v>276.3599999999999</v>
      </c>
      <c r="DP52" s="18">
        <f>DO52*VLOOKUP('Données projet'!$B$14,Paramètres!$A$1:$I$88,3,0)*VLOOKUP('Données projet'!$B$14,Paramètres!$A$1:$I$88,5,0)</f>
        <v>219.87201599999992</v>
      </c>
      <c r="DQ52" s="14">
        <f t="shared" si="48"/>
        <v>54.087068088530145</v>
      </c>
      <c r="DR52" s="22">
        <f t="shared" si="21"/>
        <v>477.14540478752315</v>
      </c>
      <c r="DS52" s="62">
        <f t="shared" si="22"/>
        <v>770.47873812085641</v>
      </c>
      <c r="DT52" s="62">
        <f ca="1">AVERAGE(OFFSET($DS$3,0,0,'Données projet'!$E$14+1,1))-AVERAGE(OFFSET($H$3,0,0,'Données projet'!$E$14+1,1))</f>
        <v>290.20755061064017</v>
      </c>
      <c r="DU52" s="62">
        <f t="shared" si="23"/>
        <v>343.54750327717181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25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4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380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IF(A53&lt;'Données projet'!$A$36,$K$205^A53,IF(A53='Données projet'!$A$36,'Données projet'!$B$36,N52+M53-V52))</f>
        <v>379.99999999999977</v>
      </c>
      <c r="O53" s="14">
        <f>N53*VLOOKUP('Données projet'!$B$9,Paramètres!$A$1:$I$88,3,0)*VLOOKUP('Données projet'!$B$9,Paramètres!$A$1:$I$88,5,0)</f>
        <v>177.83999999999992</v>
      </c>
      <c r="P53" s="14">
        <f t="shared" si="43"/>
        <v>44.841288830609102</v>
      </c>
      <c r="Q53" s="22">
        <f t="shared" si="53"/>
        <v>387.83657804664404</v>
      </c>
      <c r="R53" s="62">
        <f t="shared" si="0"/>
        <v>681.16991137997729</v>
      </c>
      <c r="S53" s="62">
        <f ca="1">AVERAGE(OFFSET($R$3,0,0,'Données projet'!$E$9+1,1))-AVERAGE(OFFSET($H$3,0,0,'Données projet'!$E$9+1,1))</f>
        <v>300.03481708703549</v>
      </c>
      <c r="T53" s="62">
        <f t="shared" si="3"/>
        <v>102.6350860969182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91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23.5</v>
      </c>
      <c r="AI53" s="14">
        <f>IF(A53&lt;'Données projet'!$A$62,$AF$205^A53,IF(A53='Données projet'!$A$62,'Données projet'!$B$62,AI52+AH53-AQ52))</f>
        <v>545.99999999999977</v>
      </c>
      <c r="AJ53" s="14">
        <f>AI53*VLOOKUP('Données projet'!$B$10,Paramètres!$A$1:$I$88,3,0)*VLOOKUP('Données projet'!$B$10,Paramètres!$A$1:$I$88,5,0)</f>
        <v>305.21399999999988</v>
      </c>
      <c r="AK53" s="14">
        <f t="shared" si="44"/>
        <v>72.268419591231265</v>
      </c>
      <c r="AL53" s="22">
        <f t="shared" si="5"/>
        <v>657.44854745472765</v>
      </c>
      <c r="AM53" s="62">
        <f t="shared" si="6"/>
        <v>950.78188078806102</v>
      </c>
      <c r="AN53" s="62">
        <f ca="1">AVERAGE(OFFSET($AM$3,0,0,'Données projet'!$E$10+1,1))-AVERAGE(OFFSET($H$3,0,0,'Données projet'!$E$10+1,1))</f>
        <v>328.27336939084597</v>
      </c>
      <c r="AO53" s="62">
        <f t="shared" si="7"/>
        <v>448.79354389108755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3.6305869777262427</v>
      </c>
      <c r="AV53" s="23">
        <f>EXP(-LN(2)/25)*AV52+(1-EXP(-LN(2)/25))/(LN(2)/25)*Calculateur!AQ53*Calculateur!AS53*VLOOKUP('Données projet'!$B$9,Paramètres!$A$1:$I$88,3,0)*0.475*44/12</f>
        <v>7.9046941185568986</v>
      </c>
      <c r="AW53" s="23">
        <f>EXP(-LN(2)/2)*AW52+(1-EXP(-LN(2)/2))/(LN(2)/2)*AQ53*AT53*VLOOKUP('Données projet'!$B$9,Paramètres!$A$1:$I$88,3,0)*0.475*44/12</f>
        <v>1.4226259711745903E-2</v>
      </c>
      <c r="AX53" s="23">
        <f t="shared" si="8"/>
        <v>11.549507355994887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260</v>
      </c>
      <c r="BB53" s="13">
        <f>VLOOKUP(A53,'Données projet'!$A$87:$I$107,9,0)</f>
        <v>10.6</v>
      </c>
      <c r="BC53" s="13">
        <f t="array" ref="BC53">INDEX(BB:BB,MIN(IF(ISNUMBER(BB53:BB249),ROW(BB53:BB249),"")))</f>
        <v>10.6</v>
      </c>
      <c r="BD53" s="13">
        <f>IF(A53&lt;'Données projet'!$A$88,$BA$205^A53,IF(A53='Données projet'!$A$88,'Données projet'!$B$88,BD52+BC53-BL52))</f>
        <v>259.99999999999994</v>
      </c>
      <c r="BE53" s="14">
        <f>BD53*VLOOKUP('Données projet'!$B$11,Paramètres!$A$1:$I$88,3,0)*VLOOKUP('Données projet'!$B$11,Paramètres!$A$1:$I$88,5,0)</f>
        <v>227.136</v>
      </c>
      <c r="BF53" s="14">
        <f t="shared" si="45"/>
        <v>55.662966886685133</v>
      </c>
      <c r="BG53" s="22">
        <f t="shared" si="9"/>
        <v>492.54153399430999</v>
      </c>
      <c r="BH53" s="62">
        <f t="shared" si="10"/>
        <v>785.8748673276433</v>
      </c>
      <c r="BI53" s="62">
        <f ca="1">AVERAGE(OFFSET($BH$3,0,0,'Données projet'!$E$11+1,1))-AVERAGE(OFFSET($H$3,0,0,'Données projet'!$E$11+1,1))</f>
        <v>348.65374983303883</v>
      </c>
      <c r="BJ53" s="62">
        <f t="shared" si="11"/>
        <v>312.05848669315151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64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284.89999999999998</v>
      </c>
      <c r="BW53" s="13">
        <f>VLOOKUP(A53,'Données projet'!$A$113:$I$133,9,0)</f>
        <v>8.5399999999999974</v>
      </c>
      <c r="BX53" s="13">
        <f t="array" ref="BX53">INDEX(BW:BW,MIN(IF(ISNUMBER(BW53:BW249),ROW(BW53:BW249),"")))</f>
        <v>8.5399999999999974</v>
      </c>
      <c r="BY53" s="13">
        <f>IF(A53&lt;'Données projet'!$A$114,$BV$205^A53,IF(A53='Données projet'!$A$114,'Données projet'!$B$114,BY52+BX53-CG52))</f>
        <v>284.89999999999992</v>
      </c>
      <c r="BZ53" s="14">
        <f>BY53*VLOOKUP('Données projet'!$B$12,Paramètres!$A$1:$I$88,3,0)*VLOOKUP('Données projet'!$B$12,Paramètres!$A$1:$I$88,5,0)</f>
        <v>208.88867999999994</v>
      </c>
      <c r="CA53" s="14">
        <f t="shared" si="46"/>
        <v>51.692659373318428</v>
      </c>
      <c r="CB53" s="22">
        <f t="shared" si="13"/>
        <v>453.84583274186275</v>
      </c>
      <c r="CC53" s="62">
        <f t="shared" si="14"/>
        <v>747.17916607519601</v>
      </c>
      <c r="CD53" s="62">
        <f ca="1">AVERAGE(OFFSET($CC$3,0,0,'Données projet'!$E$12+1,1))-AVERAGE(OFFSET($H$3,0,0,'Données projet'!$E$12+1,1))</f>
        <v>264.06656596707364</v>
      </c>
      <c r="CE53" s="62">
        <f t="shared" si="15"/>
        <v>315.34415130230195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43.099999999999994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5.6843418860808015E-14</v>
      </c>
      <c r="CU53" s="18">
        <f>CT53*VLOOKUP('Données projet'!$B$13,Paramètres!$A$1:$I$88,3,0)*VLOOKUP('Données projet'!$B$13,Paramètres!$A$1:$I$88,5,0)</f>
        <v>3.3992364478763198E-14</v>
      </c>
      <c r="CV53" s="14">
        <f t="shared" si="47"/>
        <v>5.790027782444094E-13</v>
      </c>
      <c r="CW53" s="22">
        <f t="shared" si="17"/>
        <v>1.0676332069095257E-12</v>
      </c>
      <c r="CX53" s="62">
        <f t="shared" si="18"/>
        <v>293.33333333333439</v>
      </c>
      <c r="CY53" s="62">
        <f ca="1">AVERAGE(OFFSET($CX$3,0,0,'Données projet'!$E$13+1,1))-AVERAGE(OFFSET($H$3,0,0,'Données projet'!$E$13+1,1))</f>
        <v>162.29089122912319</v>
      </c>
      <c r="CZ53" s="62">
        <f t="shared" si="19"/>
        <v>253.15422514195427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7.107936874840866</v>
      </c>
      <c r="DG53" s="23">
        <f>EXP(-LN(2)/25)*DG52+(1-EXP(-LN(2)/25))/(LN(2)/25)*Calculateur!DB53*Calculateur!DD53*VLOOKUP('Données projet'!$B$9,Paramètres!$A$1:$I$88,3,0)*0.475*44/12</f>
        <v>3.0487079817500549</v>
      </c>
      <c r="DH53" s="23">
        <f>EXP(-LN(2)/2)*DH52+(1-EXP(-LN(2)/2))/(LN(2)/2)*DB53*DE53*VLOOKUP('Données projet'!$B$9,Paramètres!$A$1:$I$88,3,0)*0.475*44/12</f>
        <v>2.2813490365285937E-3</v>
      </c>
      <c r="DI53" s="24">
        <f t="shared" si="20"/>
        <v>10.15892620562745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284.89999999999998</v>
      </c>
      <c r="DM53" s="13">
        <f>VLOOKUP(A53,'Données projet'!$A$165:$I$185,9,0)</f>
        <v>8.5399999999999974</v>
      </c>
      <c r="DN53" s="13">
        <f t="array" ref="DN53">INDEX(DM:DM,MIN(IF(ISNUMBER(DM53:DM249),ROW(DM53:DM249),"")))</f>
        <v>8.5399999999999974</v>
      </c>
      <c r="DO53" s="13">
        <f>IF(A53&lt;'Données projet'!$A$166,$DL$205^A53,IF(A53='Données projet'!$A$166,'Données projet'!$B$166,DO52+DN53-DW52))</f>
        <v>284.89999999999992</v>
      </c>
      <c r="DP53" s="18">
        <f>DO53*VLOOKUP('Données projet'!$B$14,Paramètres!$A$1:$I$88,3,0)*VLOOKUP('Données projet'!$B$14,Paramètres!$A$1:$I$88,5,0)</f>
        <v>226.66643999999994</v>
      </c>
      <c r="DQ53" s="14">
        <f t="shared" si="48"/>
        <v>55.561276600641385</v>
      </c>
      <c r="DR53" s="22">
        <f t="shared" si="21"/>
        <v>491.5466064127836</v>
      </c>
      <c r="DS53" s="62">
        <f t="shared" si="22"/>
        <v>784.87993974611686</v>
      </c>
      <c r="DT53" s="62">
        <f ca="1">AVERAGE(OFFSET($DS$3,0,0,'Données projet'!$E$14+1,1))-AVERAGE(OFFSET($H$3,0,0,'Données projet'!$E$14+1,1))</f>
        <v>290.20755061064017</v>
      </c>
      <c r="DU53" s="62">
        <f t="shared" si="23"/>
        <v>343.54750327717181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43.099999999999994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25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4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22.7</v>
      </c>
      <c r="N54" s="14">
        <f>IF(A54&lt;'Données projet'!$A$36,$K$205^A54,IF(A54='Données projet'!$A$36,'Données projet'!$B$36,N53+M54-V53))</f>
        <v>311.69999999999976</v>
      </c>
      <c r="O54" s="14">
        <f>N54*VLOOKUP('Données projet'!$B$9,Paramètres!$A$1:$I$88,3,0)*VLOOKUP('Données projet'!$B$9,Paramètres!$A$1:$I$88,5,0)</f>
        <v>145.87559999999988</v>
      </c>
      <c r="P54" s="14">
        <f t="shared" si="43"/>
        <v>37.639785440563593</v>
      </c>
      <c r="Q54" s="22">
        <f t="shared" si="53"/>
        <v>319.62262964231468</v>
      </c>
      <c r="R54" s="62">
        <f t="shared" si="0"/>
        <v>612.95596297564794</v>
      </c>
      <c r="S54" s="62">
        <f ca="1">AVERAGE(OFFSET($R$3,0,0,'Données projet'!$E$9+1,1))-AVERAGE(OFFSET($H$3,0,0,'Données projet'!$E$9+1,1))</f>
        <v>300.03481708703549</v>
      </c>
      <c r="T54" s="62">
        <f t="shared" si="3"/>
        <v>102.6350860969182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23.5</v>
      </c>
      <c r="AI54" s="14">
        <f>IF(A54&lt;'Données projet'!$A$62,$AF$205^A54,IF(A54='Données projet'!$A$62,'Données projet'!$B$62,AI53+AH54-AQ53))</f>
        <v>569.49999999999977</v>
      </c>
      <c r="AJ54" s="14">
        <f>AI54*VLOOKUP('Données projet'!$B$10,Paramètres!$A$1:$I$88,3,0)*VLOOKUP('Données projet'!$B$10,Paramètres!$A$1:$I$88,5,0)</f>
        <v>318.3504999999999</v>
      </c>
      <c r="AK54" s="14">
        <f t="shared" si="44"/>
        <v>75.01003994649966</v>
      </c>
      <c r="AL54" s="22">
        <f t="shared" si="5"/>
        <v>685.10294040682004</v>
      </c>
      <c r="AM54" s="62">
        <f t="shared" si="6"/>
        <v>978.43627374015341</v>
      </c>
      <c r="AN54" s="62">
        <f ca="1">AVERAGE(OFFSET($AM$3,0,0,'Données projet'!$E$10+1,1))-AVERAGE(OFFSET($H$3,0,0,'Données projet'!$E$10+1,1))</f>
        <v>328.27336939084597</v>
      </c>
      <c r="AO54" s="62">
        <f t="shared" si="7"/>
        <v>448.79354389108755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3.5593933815324297</v>
      </c>
      <c r="AV54" s="23">
        <f>EXP(-LN(2)/25)*AV53+(1-EXP(-LN(2)/25))/(LN(2)/25)*Calculateur!AQ54*Calculateur!AS54*VLOOKUP('Données projet'!$B$9,Paramètres!$A$1:$I$88,3,0)*0.475*44/12</f>
        <v>7.688539842195163</v>
      </c>
      <c r="AW54" s="23">
        <f>EXP(-LN(2)/2)*AW53+(1-EXP(-LN(2)/2))/(LN(2)/2)*AQ54*AT54*VLOOKUP('Données projet'!$B$9,Paramètres!$A$1:$I$88,3,0)*0.475*44/12</f>
        <v>1.0059484713096508E-2</v>
      </c>
      <c r="AX54" s="23">
        <f t="shared" si="8"/>
        <v>11.257992708440689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10.6</v>
      </c>
      <c r="BD54" s="13">
        <f>IF(A54&lt;'Données projet'!$A$88,$BA$205^A54,IF(A54='Données projet'!$A$88,'Données projet'!$B$88,BD53+BC54-BL53))</f>
        <v>206.59999999999997</v>
      </c>
      <c r="BE54" s="14">
        <f>BD54*VLOOKUP('Données projet'!$B$11,Paramètres!$A$1:$I$88,3,0)*VLOOKUP('Données projet'!$B$11,Paramètres!$A$1:$I$88,5,0)</f>
        <v>180.48576</v>
      </c>
      <c r="BF54" s="14">
        <f t="shared" si="45"/>
        <v>45.430241859839441</v>
      </c>
      <c r="BG54" s="22">
        <f t="shared" si="9"/>
        <v>393.47036990588703</v>
      </c>
      <c r="BH54" s="62">
        <f t="shared" si="10"/>
        <v>686.80370323922034</v>
      </c>
      <c r="BI54" s="62">
        <f ca="1">AVERAGE(OFFSET($BH$3,0,0,'Données projet'!$E$11+1,1))-AVERAGE(OFFSET($H$3,0,0,'Données projet'!$E$11+1,1))</f>
        <v>348.65374983303883</v>
      </c>
      <c r="BJ54" s="62">
        <f t="shared" si="11"/>
        <v>312.05848669315151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7.3600000000000083</v>
      </c>
      <c r="BY54" s="13">
        <f>IF(A54&lt;'Données projet'!$A$114,$BV$205^A54,IF(A54='Données projet'!$A$114,'Données projet'!$B$114,BY53+BX54-CG53))</f>
        <v>249.15999999999994</v>
      </c>
      <c r="BZ54" s="14">
        <f>BY54*VLOOKUP('Données projet'!$B$12,Paramètres!$A$1:$I$88,3,0)*VLOOKUP('Données projet'!$B$12,Paramètres!$A$1:$I$88,5,0)</f>
        <v>182.68411199999994</v>
      </c>
      <c r="CA54" s="14">
        <f t="shared" si="46"/>
        <v>45.91883623040173</v>
      </c>
      <c r="CB54" s="22">
        <f t="shared" si="13"/>
        <v>398.15013483461621</v>
      </c>
      <c r="CC54" s="62">
        <f t="shared" si="14"/>
        <v>691.48346816794947</v>
      </c>
      <c r="CD54" s="62">
        <f ca="1">AVERAGE(OFFSET($CC$3,0,0,'Données projet'!$E$12+1,1))-AVERAGE(OFFSET($H$3,0,0,'Données projet'!$E$12+1,1))</f>
        <v>264.06656596707364</v>
      </c>
      <c r="CE54" s="62">
        <f t="shared" si="15"/>
        <v>315.34415130230195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5.6843418860808015E-14</v>
      </c>
      <c r="CU54" s="18">
        <f>CT54*VLOOKUP('Données projet'!$B$13,Paramètres!$A$1:$I$88,3,0)*VLOOKUP('Données projet'!$B$13,Paramètres!$A$1:$I$88,5,0)</f>
        <v>3.3992364478763198E-14</v>
      </c>
      <c r="CV54" s="14">
        <f t="shared" si="47"/>
        <v>5.790027782444094E-13</v>
      </c>
      <c r="CW54" s="22">
        <f t="shared" si="17"/>
        <v>1.0676332069095257E-12</v>
      </c>
      <c r="CX54" s="62">
        <f t="shared" si="18"/>
        <v>293.33333333333439</v>
      </c>
      <c r="CY54" s="62">
        <f ca="1">AVERAGE(OFFSET($CX$3,0,0,'Données projet'!$E$13+1,1))-AVERAGE(OFFSET($H$3,0,0,'Données projet'!$E$13+1,1))</f>
        <v>162.29089122912319</v>
      </c>
      <c r="CZ54" s="62">
        <f t="shared" si="19"/>
        <v>253.15422514195427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6.9685545681386438</v>
      </c>
      <c r="DG54" s="23">
        <f>EXP(-LN(2)/25)*DG53+(1-EXP(-LN(2)/25))/(LN(2)/25)*Calculateur!DB54*Calculateur!DD54*VLOOKUP('Données projet'!$B$9,Paramètres!$A$1:$I$88,3,0)*0.475*44/12</f>
        <v>2.9653409016645149</v>
      </c>
      <c r="DH54" s="23">
        <f>EXP(-LN(2)/2)*DH53+(1-EXP(-LN(2)/2))/(LN(2)/2)*DB54*DE54*VLOOKUP('Données projet'!$B$9,Paramètres!$A$1:$I$88,3,0)*0.475*44/12</f>
        <v>1.6131573739827654E-3</v>
      </c>
      <c r="DI54" s="24">
        <f t="shared" si="20"/>
        <v>9.9355086271771409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7.3600000000000083</v>
      </c>
      <c r="DO54" s="13">
        <f>IF(A54&lt;'Données projet'!$A$166,$DL$205^A54,IF(A54='Données projet'!$A$166,'Données projet'!$B$166,DO53+DN54-DW53))</f>
        <v>249.15999999999994</v>
      </c>
      <c r="DP54" s="18">
        <f>DO54*VLOOKUP('Données projet'!$B$14,Paramètres!$A$1:$I$88,3,0)*VLOOKUP('Données projet'!$B$14,Paramètres!$A$1:$I$88,5,0)</f>
        <v>198.23169599999997</v>
      </c>
      <c r="DQ54" s="14">
        <f t="shared" si="48"/>
        <v>49.355347391815158</v>
      </c>
      <c r="DR54" s="22">
        <f t="shared" si="21"/>
        <v>431.21410057407803</v>
      </c>
      <c r="DS54" s="62">
        <f t="shared" si="22"/>
        <v>724.54743390741135</v>
      </c>
      <c r="DT54" s="62">
        <f ca="1">AVERAGE(OFFSET($DS$3,0,0,'Données projet'!$E$14+1,1))-AVERAGE(OFFSET($H$3,0,0,'Données projet'!$E$14+1,1))</f>
        <v>290.20755061064017</v>
      </c>
      <c r="DU54" s="62">
        <f t="shared" si="23"/>
        <v>343.54750327717181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25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4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22.7</v>
      </c>
      <c r="N55" s="14">
        <f>IF(A55&lt;'Données projet'!$A$36,$K$205^A55,IF(A55='Données projet'!$A$36,'Données projet'!$B$36,N54+M55-V54))</f>
        <v>334.39999999999975</v>
      </c>
      <c r="O55" s="14">
        <f>N55*VLOOKUP('Données projet'!$B$9,Paramètres!$A$1:$I$88,3,0)*VLOOKUP('Données projet'!$B$9,Paramètres!$A$1:$I$88,5,0)</f>
        <v>156.49919999999989</v>
      </c>
      <c r="P55" s="14">
        <f t="shared" si="43"/>
        <v>40.051886402928353</v>
      </c>
      <c r="Q55" s="22">
        <f t="shared" si="53"/>
        <v>342.32647548509999</v>
      </c>
      <c r="R55" s="62">
        <f t="shared" si="0"/>
        <v>635.65980881843325</v>
      </c>
      <c r="S55" s="62">
        <f ca="1">AVERAGE(OFFSET($R$3,0,0,'Données projet'!$E$9+1,1))-AVERAGE(OFFSET($H$3,0,0,'Données projet'!$E$9+1,1))</f>
        <v>300.03481708703549</v>
      </c>
      <c r="T55" s="62">
        <f t="shared" si="3"/>
        <v>102.6350860969182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23.5</v>
      </c>
      <c r="AI55" s="14">
        <f>IF(A55&lt;'Données projet'!$A$62,$AF$205^A55,IF(A55='Données projet'!$A$62,'Données projet'!$B$62,AI54+AH55-AQ54))</f>
        <v>592.99999999999977</v>
      </c>
      <c r="AJ55" s="14">
        <f>AI55*VLOOKUP('Données projet'!$B$10,Paramètres!$A$1:$I$88,3,0)*VLOOKUP('Données projet'!$B$10,Paramètres!$A$1:$I$88,5,0)</f>
        <v>331.48699999999985</v>
      </c>
      <c r="AK55" s="14">
        <f t="shared" si="44"/>
        <v>77.738519494787681</v>
      </c>
      <c r="AL55" s="22">
        <f t="shared" si="5"/>
        <v>712.73444645342158</v>
      </c>
      <c r="AM55" s="62">
        <f t="shared" si="6"/>
        <v>1006.067779786755</v>
      </c>
      <c r="AN55" s="62">
        <f ca="1">AVERAGE(OFFSET($AM$3,0,0,'Données projet'!$E$10+1,1))-AVERAGE(OFFSET($H$3,0,0,'Données projet'!$E$10+1,1))</f>
        <v>328.27336939084597</v>
      </c>
      <c r="AO55" s="62">
        <f t="shared" si="7"/>
        <v>448.79354389108755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3.4895958483361715</v>
      </c>
      <c r="AV55" s="23">
        <f>EXP(-LN(2)/25)*AV54+(1-EXP(-LN(2)/25))/(LN(2)/25)*Calculateur!AQ55*Calculateur!AS55*VLOOKUP('Données projet'!$B$9,Paramètres!$A$1:$I$88,3,0)*0.475*44/12</f>
        <v>7.4782963158875981</v>
      </c>
      <c r="AW55" s="23">
        <f>EXP(-LN(2)/2)*AW54+(1-EXP(-LN(2)/2))/(LN(2)/2)*AQ55*AT55*VLOOKUP('Données projet'!$B$9,Paramètres!$A$1:$I$88,3,0)*0.475*44/12</f>
        <v>7.1131298558729525E-3</v>
      </c>
      <c r="AX55" s="23">
        <f t="shared" si="8"/>
        <v>10.975005294079642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10.6</v>
      </c>
      <c r="BD55" s="13">
        <f>IF(A55&lt;'Données projet'!$A$88,$BA$205^A55,IF(A55='Données projet'!$A$88,'Données projet'!$B$88,BD54+BC55-BL54))</f>
        <v>217.19999999999996</v>
      </c>
      <c r="BE55" s="14">
        <f>BD55*VLOOKUP('Données projet'!$B$11,Paramètres!$A$1:$I$88,3,0)*VLOOKUP('Données projet'!$B$11,Paramètres!$A$1:$I$88,5,0)</f>
        <v>189.74591999999998</v>
      </c>
      <c r="BF55" s="14">
        <f t="shared" si="45"/>
        <v>47.483774996623204</v>
      </c>
      <c r="BG55" s="22">
        <f t="shared" si="9"/>
        <v>413.17505211911867</v>
      </c>
      <c r="BH55" s="62">
        <f t="shared" si="10"/>
        <v>706.50838545245199</v>
      </c>
      <c r="BI55" s="62">
        <f ca="1">AVERAGE(OFFSET($BH$3,0,0,'Données projet'!$E$11+1,1))-AVERAGE(OFFSET($H$3,0,0,'Données projet'!$E$11+1,1))</f>
        <v>348.65374983303883</v>
      </c>
      <c r="BJ55" s="62">
        <f t="shared" si="11"/>
        <v>312.05848669315151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7.3600000000000083</v>
      </c>
      <c r="BY55" s="13">
        <f>IF(A55&lt;'Données projet'!$A$114,$BV$205^A55,IF(A55='Données projet'!$A$114,'Données projet'!$B$114,BY54+BX55-CG54))</f>
        <v>256.51999999999992</v>
      </c>
      <c r="BZ55" s="14">
        <f>BY55*VLOOKUP('Données projet'!$B$12,Paramètres!$A$1:$I$88,3,0)*VLOOKUP('Données projet'!$B$12,Paramètres!$A$1:$I$88,5,0)</f>
        <v>188.08046399999995</v>
      </c>
      <c r="CA55" s="14">
        <f t="shared" si="46"/>
        <v>47.115320222436289</v>
      </c>
      <c r="CB55" s="22">
        <f t="shared" si="13"/>
        <v>409.63265752074312</v>
      </c>
      <c r="CC55" s="62">
        <f t="shared" si="14"/>
        <v>702.96599085407638</v>
      </c>
      <c r="CD55" s="62">
        <f ca="1">AVERAGE(OFFSET($CC$3,0,0,'Données projet'!$E$12+1,1))-AVERAGE(OFFSET($H$3,0,0,'Données projet'!$E$12+1,1))</f>
        <v>264.06656596707364</v>
      </c>
      <c r="CE55" s="62">
        <f t="shared" si="15"/>
        <v>315.34415130230195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5.6843418860808015E-14</v>
      </c>
      <c r="CU55" s="18">
        <f>CT55*VLOOKUP('Données projet'!$B$13,Paramètres!$A$1:$I$88,3,0)*VLOOKUP('Données projet'!$B$13,Paramètres!$A$1:$I$88,5,0)</f>
        <v>3.3992364478763198E-14</v>
      </c>
      <c r="CV55" s="14">
        <f t="shared" si="47"/>
        <v>5.790027782444094E-13</v>
      </c>
      <c r="CW55" s="22">
        <f t="shared" si="17"/>
        <v>1.0676332069095257E-12</v>
      </c>
      <c r="CX55" s="62">
        <f t="shared" si="18"/>
        <v>293.33333333333439</v>
      </c>
      <c r="CY55" s="62">
        <f ca="1">AVERAGE(OFFSET($CX$3,0,0,'Données projet'!$E$13+1,1))-AVERAGE(OFFSET($H$3,0,0,'Données projet'!$E$13+1,1))</f>
        <v>162.29089122912319</v>
      </c>
      <c r="CZ55" s="62">
        <f t="shared" si="19"/>
        <v>253.15422514195427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6.8319054634560397</v>
      </c>
      <c r="DG55" s="23">
        <f>EXP(-LN(2)/25)*DG54+(1-EXP(-LN(2)/25))/(LN(2)/25)*Calculateur!DB55*Calculateur!DD55*VLOOKUP('Données projet'!$B$9,Paramètres!$A$1:$I$88,3,0)*0.475*44/12</f>
        <v>2.8842534987679982</v>
      </c>
      <c r="DH55" s="23">
        <f>EXP(-LN(2)/2)*DH54+(1-EXP(-LN(2)/2))/(LN(2)/2)*DB55*DE55*VLOOKUP('Données projet'!$B$9,Paramètres!$A$1:$I$88,3,0)*0.475*44/12</f>
        <v>1.1406745182642969E-3</v>
      </c>
      <c r="DI55" s="24">
        <f t="shared" si="20"/>
        <v>9.7172996367423021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7.3600000000000083</v>
      </c>
      <c r="DO55" s="13">
        <f>IF(A55&lt;'Données projet'!$A$166,$DL$205^A55,IF(A55='Données projet'!$A$166,'Données projet'!$B$166,DO54+DN55-DW54))</f>
        <v>256.51999999999992</v>
      </c>
      <c r="DP55" s="18">
        <f>DO55*VLOOKUP('Données projet'!$B$14,Paramètres!$A$1:$I$88,3,0)*VLOOKUP('Données projet'!$B$14,Paramètres!$A$1:$I$88,5,0)</f>
        <v>204.08731199999997</v>
      </c>
      <c r="DQ55" s="14">
        <f t="shared" si="48"/>
        <v>50.641374824638383</v>
      </c>
      <c r="DR55" s="22">
        <f t="shared" si="21"/>
        <v>443.65246288624508</v>
      </c>
      <c r="DS55" s="62">
        <f t="shared" si="22"/>
        <v>736.98579621957833</v>
      </c>
      <c r="DT55" s="62">
        <f ca="1">AVERAGE(OFFSET($DS$3,0,0,'Données projet'!$E$14+1,1))-AVERAGE(OFFSET($H$3,0,0,'Données projet'!$E$14+1,1))</f>
        <v>290.20755061064017</v>
      </c>
      <c r="DU55" s="62">
        <f t="shared" si="23"/>
        <v>343.54750327717181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25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4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22.7</v>
      </c>
      <c r="N56" s="14">
        <f>IF(A56&lt;'Données projet'!$A$36,$K$205^A56,IF(A56='Données projet'!$A$36,'Données projet'!$B$36,N55+M56-V55))</f>
        <v>357.09999999999974</v>
      </c>
      <c r="O56" s="14">
        <f>N56*VLOOKUP('Données projet'!$B$9,Paramètres!$A$1:$I$88,3,0)*VLOOKUP('Données projet'!$B$9,Paramètres!$A$1:$I$88,5,0)</f>
        <v>167.12279999999987</v>
      </c>
      <c r="P56" s="14">
        <f t="shared" si="43"/>
        <v>42.444987720629342</v>
      </c>
      <c r="Q56" s="22">
        <f t="shared" si="53"/>
        <v>364.99723028009589</v>
      </c>
      <c r="R56" s="62">
        <f t="shared" si="0"/>
        <v>658.33056361342915</v>
      </c>
      <c r="S56" s="62">
        <f ca="1">AVERAGE(OFFSET($R$3,0,0,'Données projet'!$E$9+1,1))-AVERAGE(OFFSET($H$3,0,0,'Données projet'!$E$9+1,1))</f>
        <v>300.03481708703549</v>
      </c>
      <c r="T56" s="62">
        <f t="shared" si="3"/>
        <v>102.6350860969182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23.5</v>
      </c>
      <c r="AI56" s="14">
        <f>IF(A56&lt;'Données projet'!$A$62,$AF$205^A56,IF(A56='Données projet'!$A$62,'Données projet'!$B$62,AI55+AH56-AQ55))</f>
        <v>616.49999999999977</v>
      </c>
      <c r="AJ56" s="14">
        <f>AI56*VLOOKUP('Données projet'!$B$10,Paramètres!$A$1:$I$88,3,0)*VLOOKUP('Données projet'!$B$10,Paramètres!$A$1:$I$88,5,0)</f>
        <v>344.62349999999992</v>
      </c>
      <c r="AK56" s="14">
        <f t="shared" si="44"/>
        <v>80.454438579998452</v>
      </c>
      <c r="AL56" s="22">
        <f t="shared" si="5"/>
        <v>740.34407636016385</v>
      </c>
      <c r="AM56" s="62">
        <f t="shared" si="6"/>
        <v>1033.6774096934971</v>
      </c>
      <c r="AN56" s="62">
        <f ca="1">AVERAGE(OFFSET($AM$3,0,0,'Données projet'!$E$10+1,1))-AVERAGE(OFFSET($H$3,0,0,'Données projet'!$E$10+1,1))</f>
        <v>328.27336939084597</v>
      </c>
      <c r="AO56" s="62">
        <f t="shared" si="7"/>
        <v>448.79354389108755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3.4211670021936005</v>
      </c>
      <c r="AV56" s="23">
        <f>EXP(-LN(2)/25)*AV55+(1-EXP(-LN(2)/25))/(LN(2)/25)*Calculateur!AQ56*Calculateur!AS56*VLOOKUP('Données projet'!$B$9,Paramètres!$A$1:$I$88,3,0)*0.475*44/12</f>
        <v>7.2738019098631401</v>
      </c>
      <c r="AW56" s="23">
        <f>EXP(-LN(2)/2)*AW55+(1-EXP(-LN(2)/2))/(LN(2)/2)*AQ56*AT56*VLOOKUP('Données projet'!$B$9,Paramètres!$A$1:$I$88,3,0)*0.475*44/12</f>
        <v>5.0297423565482547E-3</v>
      </c>
      <c r="AX56" s="23">
        <f t="shared" si="8"/>
        <v>10.699998654413289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10.6</v>
      </c>
      <c r="BD56" s="13">
        <f>IF(A56&lt;'Données projet'!$A$88,$BA$205^A56,IF(A56='Données projet'!$A$88,'Données projet'!$B$88,BD55+BC56-BL55))</f>
        <v>227.79999999999995</v>
      </c>
      <c r="BE56" s="14">
        <f>BD56*VLOOKUP('Données projet'!$B$11,Paramètres!$A$1:$I$88,3,0)*VLOOKUP('Données projet'!$B$11,Paramètres!$A$1:$I$88,5,0)</f>
        <v>199.00607999999997</v>
      </c>
      <c r="BF56" s="14">
        <f t="shared" si="45"/>
        <v>49.525670897515027</v>
      </c>
      <c r="BG56" s="22">
        <f t="shared" si="9"/>
        <v>432.85946614650521</v>
      </c>
      <c r="BH56" s="62">
        <f t="shared" si="10"/>
        <v>726.19279947983853</v>
      </c>
      <c r="BI56" s="62">
        <f ca="1">AVERAGE(OFFSET($BH$3,0,0,'Données projet'!$E$11+1,1))-AVERAGE(OFFSET($H$3,0,0,'Données projet'!$E$11+1,1))</f>
        <v>348.65374983303883</v>
      </c>
      <c r="BJ56" s="62">
        <f t="shared" si="11"/>
        <v>312.05848669315151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7.3600000000000083</v>
      </c>
      <c r="BY56" s="13">
        <f>IF(A56&lt;'Données projet'!$A$114,$BV$205^A56,IF(A56='Données projet'!$A$114,'Données projet'!$B$114,BY55+BX56-CG55))</f>
        <v>263.87999999999994</v>
      </c>
      <c r="BZ56" s="14">
        <f>BY56*VLOOKUP('Données projet'!$B$12,Paramètres!$A$1:$I$88,3,0)*VLOOKUP('Données projet'!$B$12,Paramètres!$A$1:$I$88,5,0)</f>
        <v>193.47681599999996</v>
      </c>
      <c r="CA56" s="14">
        <f t="shared" si="46"/>
        <v>48.307814384267459</v>
      </c>
      <c r="CB56" s="22">
        <f t="shared" si="13"/>
        <v>421.10823125259907</v>
      </c>
      <c r="CC56" s="62">
        <f t="shared" si="14"/>
        <v>714.44156458593238</v>
      </c>
      <c r="CD56" s="62">
        <f ca="1">AVERAGE(OFFSET($CC$3,0,0,'Données projet'!$E$12+1,1))-AVERAGE(OFFSET($H$3,0,0,'Données projet'!$E$12+1,1))</f>
        <v>264.06656596707364</v>
      </c>
      <c r="CE56" s="62">
        <f t="shared" si="15"/>
        <v>315.34415130230195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5.6843418860808015E-14</v>
      </c>
      <c r="CU56" s="18">
        <f>CT56*VLOOKUP('Données projet'!$B$13,Paramètres!$A$1:$I$88,3,0)*VLOOKUP('Données projet'!$B$13,Paramètres!$A$1:$I$88,5,0)</f>
        <v>3.3992364478763198E-14</v>
      </c>
      <c r="CV56" s="14">
        <f t="shared" si="47"/>
        <v>5.790027782444094E-13</v>
      </c>
      <c r="CW56" s="22">
        <f t="shared" si="17"/>
        <v>1.0676332069095257E-12</v>
      </c>
      <c r="CX56" s="62">
        <f t="shared" si="18"/>
        <v>293.33333333333439</v>
      </c>
      <c r="CY56" s="62">
        <f ca="1">AVERAGE(OFFSET($CX$3,0,0,'Données projet'!$E$13+1,1))-AVERAGE(OFFSET($H$3,0,0,'Données projet'!$E$13+1,1))</f>
        <v>162.29089122912319</v>
      </c>
      <c r="CZ56" s="62">
        <f t="shared" si="19"/>
        <v>253.15422514195427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6.6979359643685372</v>
      </c>
      <c r="DG56" s="23">
        <f>EXP(-LN(2)/25)*DG55+(1-EXP(-LN(2)/25))/(LN(2)/25)*Calculateur!DB56*Calculateur!DD56*VLOOKUP('Données projet'!$B$9,Paramètres!$A$1:$I$88,3,0)*0.475*44/12</f>
        <v>2.8053834351678879</v>
      </c>
      <c r="DH56" s="23">
        <f>EXP(-LN(2)/2)*DH55+(1-EXP(-LN(2)/2))/(LN(2)/2)*DB56*DE56*VLOOKUP('Données projet'!$B$9,Paramètres!$A$1:$I$88,3,0)*0.475*44/12</f>
        <v>8.0657868699138269E-4</v>
      </c>
      <c r="DI56" s="24">
        <f t="shared" si="20"/>
        <v>9.5041259782234153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7.3600000000000083</v>
      </c>
      <c r="DO56" s="13">
        <f>IF(A56&lt;'Données projet'!$A$166,$DL$205^A56,IF(A56='Données projet'!$A$166,'Données projet'!$B$166,DO55+DN56-DW55))</f>
        <v>263.87999999999994</v>
      </c>
      <c r="DP56" s="18">
        <f>DO56*VLOOKUP('Données projet'!$B$14,Paramètres!$A$1:$I$88,3,0)*VLOOKUP('Données projet'!$B$14,Paramètres!$A$1:$I$88,5,0)</f>
        <v>209.94292799999997</v>
      </c>
      <c r="DQ56" s="14">
        <f t="shared" si="48"/>
        <v>51.9231138331048</v>
      </c>
      <c r="DR56" s="22">
        <f t="shared" si="21"/>
        <v>456.08335619265745</v>
      </c>
      <c r="DS56" s="62">
        <f t="shared" si="22"/>
        <v>749.41668952599071</v>
      </c>
      <c r="DT56" s="62">
        <f ca="1">AVERAGE(OFFSET($DS$3,0,0,'Données projet'!$E$14+1,1))-AVERAGE(OFFSET($H$3,0,0,'Données projet'!$E$14+1,1))</f>
        <v>290.20755061064017</v>
      </c>
      <c r="DU56" s="62">
        <f t="shared" si="23"/>
        <v>343.54750327717181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25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4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22.7</v>
      </c>
      <c r="N57" s="14">
        <f>IF(A57&lt;'Données projet'!$A$36,$K$205^A57,IF(A57='Données projet'!$A$36,'Données projet'!$B$36,N56+M57-V56))</f>
        <v>379.79999999999973</v>
      </c>
      <c r="O57" s="14">
        <f>N57*VLOOKUP('Données projet'!$B$9,Paramètres!$A$1:$I$88,3,0)*VLOOKUP('Données projet'!$B$9,Paramètres!$A$1:$I$88,5,0)</f>
        <v>177.74639999999988</v>
      </c>
      <c r="P57" s="14">
        <f t="shared" si="43"/>
        <v>44.820434632332443</v>
      </c>
      <c r="Q57" s="22">
        <f t="shared" si="53"/>
        <v>387.63723698464543</v>
      </c>
      <c r="R57" s="62">
        <f t="shared" si="0"/>
        <v>680.97057031797874</v>
      </c>
      <c r="S57" s="62">
        <f ca="1">AVERAGE(OFFSET($R$3,0,0,'Données projet'!$E$9+1,1))-AVERAGE(OFFSET($H$3,0,0,'Données projet'!$E$9+1,1))</f>
        <v>300.03481708703549</v>
      </c>
      <c r="T57" s="62">
        <f t="shared" si="3"/>
        <v>102.6350860969182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640</v>
      </c>
      <c r="AG57" s="13">
        <f>VLOOKUP(A57,'Données projet'!$A$61:$I$81,9,0)</f>
        <v>23.5</v>
      </c>
      <c r="AH57" s="13">
        <f t="array" ref="AH57">INDEX(AG:AG,MIN(IF(ISNUMBER(AG57:AG253),ROW(AG57:AG253),"")))</f>
        <v>23.5</v>
      </c>
      <c r="AI57" s="14">
        <f>IF(A57&lt;'Données projet'!$A$62,$AF$205^A57,IF(A57='Données projet'!$A$62,'Données projet'!$B$62,AI56+AH57-AQ56))</f>
        <v>639.99999999999977</v>
      </c>
      <c r="AJ57" s="14">
        <f>AI57*VLOOKUP('Données projet'!$B$10,Paramètres!$A$1:$I$88,3,0)*VLOOKUP('Données projet'!$B$10,Paramètres!$A$1:$I$88,5,0)</f>
        <v>357.75999999999988</v>
      </c>
      <c r="AK57" s="14">
        <f t="shared" si="44"/>
        <v>83.158330796597369</v>
      </c>
      <c r="AL57" s="22">
        <f t="shared" si="5"/>
        <v>767.93275947074017</v>
      </c>
      <c r="AM57" s="62">
        <f t="shared" si="6"/>
        <v>1061.2660928040734</v>
      </c>
      <c r="AN57" s="62">
        <f ca="1">AVERAGE(OFFSET($AM$3,0,0,'Données projet'!$E$10+1,1))-AVERAGE(OFFSET($H$3,0,0,'Données projet'!$E$10+1,1))</f>
        <v>328.27336939084597</v>
      </c>
      <c r="AO57" s="62">
        <f t="shared" si="7"/>
        <v>448.79354389108755</v>
      </c>
      <c r="AP57" s="16">
        <f>IF(ISNA(VLOOKUP(A57,'Données projet'!$A$61:$I$81,3,0)),0,VLOOKUP(A57,'Données projet'!$A$61:$I$81,3,0))</f>
        <v>7</v>
      </c>
      <c r="AQ57" s="16">
        <f>IF(ISNA(VLOOKUP(A57,'Données projet'!$A$61:$I$81,4,0)),0,VLOOKUP(A57,'Données projet'!$A$61:$I$81,4,0))</f>
        <v>640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3.35408000398641</v>
      </c>
      <c r="AV57" s="23">
        <f>EXP(-LN(2)/25)*AV56+(1-EXP(-LN(2)/25))/(LN(2)/25)*Calculateur!AQ57*Calculateur!AS57*VLOOKUP('Données projet'!$B$9,Paramètres!$A$1:$I$88,3,0)*0.475*44/12</f>
        <v>7.0748994141253148</v>
      </c>
      <c r="AW57" s="23">
        <f>EXP(-LN(2)/2)*AW56+(1-EXP(-LN(2)/2))/(LN(2)/2)*AQ57*AT57*VLOOKUP('Données projet'!$B$9,Paramètres!$A$1:$I$88,3,0)*0.475*44/12</f>
        <v>3.5565649279364767E-3</v>
      </c>
      <c r="AX57" s="23">
        <f t="shared" si="8"/>
        <v>10.432535983039662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10.6</v>
      </c>
      <c r="BD57" s="13">
        <f>IF(A57&lt;'Données projet'!$A$88,$BA$205^A57,IF(A57='Données projet'!$A$88,'Données projet'!$B$88,BD56+BC57-BL56))</f>
        <v>238.39999999999995</v>
      </c>
      <c r="BE57" s="14">
        <f>BD57*VLOOKUP('Données projet'!$B$11,Paramètres!$A$1:$I$88,3,0)*VLOOKUP('Données projet'!$B$11,Paramètres!$A$1:$I$88,5,0)</f>
        <v>208.26623999999998</v>
      </c>
      <c r="BF57" s="14">
        <f t="shared" si="45"/>
        <v>51.556532908951887</v>
      </c>
      <c r="BG57" s="22">
        <f t="shared" si="9"/>
        <v>452.5246628164245</v>
      </c>
      <c r="BH57" s="62">
        <f t="shared" si="10"/>
        <v>745.85799614975781</v>
      </c>
      <c r="BI57" s="62">
        <f ca="1">AVERAGE(OFFSET($BH$3,0,0,'Données projet'!$E$11+1,1))-AVERAGE(OFFSET($H$3,0,0,'Données projet'!$E$11+1,1))</f>
        <v>348.65374983303883</v>
      </c>
      <c r="BJ57" s="62">
        <f t="shared" si="11"/>
        <v>312.05848669315151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7.3600000000000083</v>
      </c>
      <c r="BY57" s="13">
        <f>IF(A57&lt;'Données projet'!$A$114,$BV$205^A57,IF(A57='Données projet'!$A$114,'Données projet'!$B$114,BY56+BX57-CG56))</f>
        <v>271.23999999999995</v>
      </c>
      <c r="BZ57" s="14">
        <f>BY57*VLOOKUP('Données projet'!$B$12,Paramètres!$A$1:$I$88,3,0)*VLOOKUP('Données projet'!$B$12,Paramètres!$A$1:$I$88,5,0)</f>
        <v>198.87316799999996</v>
      </c>
      <c r="CA57" s="14">
        <f t="shared" si="46"/>
        <v>49.496442782493347</v>
      </c>
      <c r="CB57" s="22">
        <f t="shared" si="13"/>
        <v>432.57707211284247</v>
      </c>
      <c r="CC57" s="62">
        <f t="shared" si="14"/>
        <v>725.91040544617579</v>
      </c>
      <c r="CD57" s="62">
        <f ca="1">AVERAGE(OFFSET($CC$3,0,0,'Données projet'!$E$12+1,1))-AVERAGE(OFFSET($H$3,0,0,'Données projet'!$E$12+1,1))</f>
        <v>264.06656596707364</v>
      </c>
      <c r="CE57" s="62">
        <f t="shared" si="15"/>
        <v>315.34415130230195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5.6843418860808015E-14</v>
      </c>
      <c r="CU57" s="18">
        <f>CT57*VLOOKUP('Données projet'!$B$13,Paramètres!$A$1:$I$88,3,0)*VLOOKUP('Données projet'!$B$13,Paramètres!$A$1:$I$88,5,0)</f>
        <v>3.3992364478763198E-14</v>
      </c>
      <c r="CV57" s="14">
        <f t="shared" si="47"/>
        <v>5.790027782444094E-13</v>
      </c>
      <c r="CW57" s="22">
        <f t="shared" si="17"/>
        <v>1.0676332069095257E-12</v>
      </c>
      <c r="CX57" s="62">
        <f t="shared" si="18"/>
        <v>293.33333333333439</v>
      </c>
      <c r="CY57" s="62">
        <f ca="1">AVERAGE(OFFSET($CX$3,0,0,'Données projet'!$E$13+1,1))-AVERAGE(OFFSET($H$3,0,0,'Données projet'!$E$13+1,1))</f>
        <v>162.29089122912319</v>
      </c>
      <c r="CZ57" s="62">
        <f t="shared" si="19"/>
        <v>253.15422514195427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6.5665935254448149</v>
      </c>
      <c r="DG57" s="23">
        <f>EXP(-LN(2)/25)*DG56+(1-EXP(-LN(2)/25))/(LN(2)/25)*Calculateur!DB57*Calculateur!DD57*VLOOKUP('Données projet'!$B$9,Paramètres!$A$1:$I$88,3,0)*0.475*44/12</f>
        <v>2.728670077604519</v>
      </c>
      <c r="DH57" s="23">
        <f>EXP(-LN(2)/2)*DH56+(1-EXP(-LN(2)/2))/(LN(2)/2)*DB57*DE57*VLOOKUP('Données projet'!$B$9,Paramètres!$A$1:$I$88,3,0)*0.475*44/12</f>
        <v>5.7033725913214844E-4</v>
      </c>
      <c r="DI57" s="24">
        <f t="shared" si="20"/>
        <v>9.2958339403084658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7.3600000000000083</v>
      </c>
      <c r="DO57" s="13">
        <f>IF(A57&lt;'Données projet'!$A$166,$DL$205^A57,IF(A57='Données projet'!$A$166,'Données projet'!$B$166,DO56+DN57-DW56))</f>
        <v>271.23999999999995</v>
      </c>
      <c r="DP57" s="18">
        <f>DO57*VLOOKUP('Données projet'!$B$14,Paramètres!$A$1:$I$88,3,0)*VLOOKUP('Données projet'!$B$14,Paramètres!$A$1:$I$88,5,0)</f>
        <v>215.79854399999996</v>
      </c>
      <c r="DQ57" s="14">
        <f t="shared" si="48"/>
        <v>53.200697768809484</v>
      </c>
      <c r="DR57" s="22">
        <f t="shared" si="21"/>
        <v>468.50701274734303</v>
      </c>
      <c r="DS57" s="62">
        <f t="shared" si="22"/>
        <v>761.84034608067634</v>
      </c>
      <c r="DT57" s="62">
        <f ca="1">AVERAGE(OFFSET($DS$3,0,0,'Données projet'!$E$14+1,1))-AVERAGE(OFFSET($H$3,0,0,'Données projet'!$E$14+1,1))</f>
        <v>290.20755061064017</v>
      </c>
      <c r="DU57" s="62">
        <f t="shared" si="23"/>
        <v>343.54750327717181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25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4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22.7</v>
      </c>
      <c r="N58" s="14">
        <f>IF(A58&lt;'Données projet'!$A$36,$K$205^A58,IF(A58='Données projet'!$A$36,'Données projet'!$B$36,N57+M58-V57))</f>
        <v>402.49999999999972</v>
      </c>
      <c r="O58" s="14">
        <f>N58*VLOOKUP('Données projet'!$B$9,Paramètres!$A$1:$I$88,3,0)*VLOOKUP('Données projet'!$B$9,Paramètres!$A$1:$I$88,5,0)</f>
        <v>188.36999999999986</v>
      </c>
      <c r="P58" s="14">
        <f t="shared" si="43"/>
        <v>47.179402486491256</v>
      </c>
      <c r="Q58" s="22">
        <f t="shared" si="53"/>
        <v>410.24854266397205</v>
      </c>
      <c r="R58" s="62">
        <f t="shared" si="0"/>
        <v>703.58187599730536</v>
      </c>
      <c r="S58" s="62">
        <f ca="1">AVERAGE(OFFSET($R$3,0,0,'Données projet'!$E$9+1,1))-AVERAGE(OFFSET($H$3,0,0,'Données projet'!$E$9+1,1))</f>
        <v>300.03481708703549</v>
      </c>
      <c r="T58" s="62">
        <f t="shared" si="3"/>
        <v>102.6350860969182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IF(A58&lt;'Données projet'!$A$62,$AF$205^A58,IF(A58='Données projet'!$A$62,'Données projet'!$B$62,AI57+AH58-AQ57))</f>
        <v>-2.2737367544323206E-13</v>
      </c>
      <c r="AJ58" s="14">
        <f>AI58*VLOOKUP('Données projet'!$B$10,Paramètres!$A$1:$I$88,3,0)*VLOOKUP('Données projet'!$B$10,Paramètres!$A$1:$I$88,5,0)</f>
        <v>-1.2710188457276673E-13</v>
      </c>
      <c r="AK58" s="14" t="e">
        <f t="shared" si="44"/>
        <v>#NUM!</v>
      </c>
      <c r="AL58" s="22" t="e">
        <f t="shared" si="5"/>
        <v>#NUM!</v>
      </c>
      <c r="AM58" s="62" t="e">
        <f t="shared" si="6"/>
        <v>#NUM!</v>
      </c>
      <c r="AN58" s="62">
        <f ca="1">AVERAGE(OFFSET($AM$3,0,0,'Données projet'!$E$10+1,1))-AVERAGE(OFFSET($H$3,0,0,'Données projet'!$E$10+1,1))</f>
        <v>328.27336939084597</v>
      </c>
      <c r="AO58" s="62">
        <f t="shared" si="7"/>
        <v>448.79354389108755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3.2883085408950343</v>
      </c>
      <c r="AV58" s="23">
        <f>EXP(-LN(2)/25)*AV57+(1-EXP(-LN(2)/25))/(LN(2)/25)*Calculateur!AQ58*Calculateur!AS58*VLOOKUP('Données projet'!$B$9,Paramètres!$A$1:$I$88,3,0)*0.475*44/12</f>
        <v>6.8814359175932678</v>
      </c>
      <c r="AW58" s="23">
        <f>EXP(-LN(2)/2)*AW57+(1-EXP(-LN(2)/2))/(LN(2)/2)*AQ58*AT58*VLOOKUP('Données projet'!$B$9,Paramètres!$A$1:$I$88,3,0)*0.475*44/12</f>
        <v>2.5148711782741274E-3</v>
      </c>
      <c r="AX58" s="23">
        <f t="shared" si="8"/>
        <v>10.172259329666577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249</v>
      </c>
      <c r="BB58" s="13">
        <f>VLOOKUP(A58,'Données projet'!$A$87:$I$107,9,0)</f>
        <v>10.6</v>
      </c>
      <c r="BC58" s="13">
        <f t="array" ref="BC58">INDEX(BB:BB,MIN(IF(ISNUMBER(BB58:BB254),ROW(BB58:BB254),"")))</f>
        <v>10.6</v>
      </c>
      <c r="BD58" s="13">
        <f>IF(A58&lt;'Données projet'!$A$88,$BA$205^A58,IF(A58='Données projet'!$A$88,'Données projet'!$B$88,BD57+BC58-BL57))</f>
        <v>248.99999999999994</v>
      </c>
      <c r="BE58" s="14">
        <f>BD58*VLOOKUP('Données projet'!$B$11,Paramètres!$A$1:$I$88,3,0)*VLOOKUP('Données projet'!$B$11,Paramètres!$A$1:$I$88,5,0)</f>
        <v>217.52639999999997</v>
      </c>
      <c r="BF58" s="14">
        <f t="shared" si="45"/>
        <v>53.576907690651254</v>
      </c>
      <c r="BG58" s="22">
        <f t="shared" si="9"/>
        <v>472.1715942278841</v>
      </c>
      <c r="BH58" s="62">
        <f t="shared" si="10"/>
        <v>765.50492756121741</v>
      </c>
      <c r="BI58" s="62">
        <f ca="1">AVERAGE(OFFSET($BH$3,0,0,'Données projet'!$E$11+1,1))-AVERAGE(OFFSET($H$3,0,0,'Données projet'!$E$11+1,1))</f>
        <v>348.65374983303883</v>
      </c>
      <c r="BJ58" s="62">
        <f t="shared" si="11"/>
        <v>312.05848669315151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278.60000000000002</v>
      </c>
      <c r="BW58" s="13">
        <f>VLOOKUP(A58,'Données projet'!$A$113:$I$133,9,0)</f>
        <v>7.3600000000000083</v>
      </c>
      <c r="BX58" s="13">
        <f t="array" ref="BX58">INDEX(BW:BW,MIN(IF(ISNUMBER(BW58:BW254),ROW(BW58:BW254),"")))</f>
        <v>7.3600000000000083</v>
      </c>
      <c r="BY58" s="13">
        <f>IF(A58&lt;'Données projet'!$A$114,$BV$205^A58,IF(A58='Données projet'!$A$114,'Données projet'!$B$114,BY57+BX58-CG57))</f>
        <v>278.59999999999997</v>
      </c>
      <c r="BZ58" s="14">
        <f>BY58*VLOOKUP('Données projet'!$B$12,Paramètres!$A$1:$I$88,3,0)*VLOOKUP('Données projet'!$B$12,Paramètres!$A$1:$I$88,5,0)</f>
        <v>204.26951999999997</v>
      </c>
      <c r="CA58" s="14">
        <f t="shared" si="46"/>
        <v>50.681322367447613</v>
      </c>
      <c r="CB58" s="22">
        <f t="shared" si="13"/>
        <v>444.03938378997123</v>
      </c>
      <c r="CC58" s="62">
        <f t="shared" si="14"/>
        <v>737.37271712330448</v>
      </c>
      <c r="CD58" s="62">
        <f ca="1">AVERAGE(OFFSET($CC$3,0,0,'Données projet'!$E$12+1,1))-AVERAGE(OFFSET($H$3,0,0,'Données projet'!$E$12+1,1))</f>
        <v>264.06656596707364</v>
      </c>
      <c r="CE58" s="62">
        <f t="shared" si="15"/>
        <v>315.34415130230195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5.6843418860808015E-14</v>
      </c>
      <c r="CU58" s="18">
        <f>CT58*VLOOKUP('Données projet'!$B$13,Paramètres!$A$1:$I$88,3,0)*VLOOKUP('Données projet'!$B$13,Paramètres!$A$1:$I$88,5,0)</f>
        <v>3.3992364478763198E-14</v>
      </c>
      <c r="CV58" s="14">
        <f t="shared" si="47"/>
        <v>5.790027782444094E-13</v>
      </c>
      <c r="CW58" s="22">
        <f t="shared" si="17"/>
        <v>1.0676332069095257E-12</v>
      </c>
      <c r="CX58" s="62">
        <f t="shared" si="18"/>
        <v>293.33333333333439</v>
      </c>
      <c r="CY58" s="62">
        <f ca="1">AVERAGE(OFFSET($CX$3,0,0,'Données projet'!$E$13+1,1))-AVERAGE(OFFSET($H$3,0,0,'Données projet'!$E$13+1,1))</f>
        <v>162.29089122912319</v>
      </c>
      <c r="CZ58" s="62">
        <f t="shared" si="19"/>
        <v>253.15422514195427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6.4378266316374093</v>
      </c>
      <c r="DG58" s="23">
        <f>EXP(-LN(2)/25)*DG57+(1-EXP(-LN(2)/25))/(LN(2)/25)*Calculateur!DB58*Calculateur!DD58*VLOOKUP('Données projet'!$B$9,Paramètres!$A$1:$I$88,3,0)*0.475*44/12</f>
        <v>2.6540544508379003</v>
      </c>
      <c r="DH58" s="23">
        <f>EXP(-LN(2)/2)*DH57+(1-EXP(-LN(2)/2))/(LN(2)/2)*DB58*DE58*VLOOKUP('Données projet'!$B$9,Paramètres!$A$1:$I$88,3,0)*0.475*44/12</f>
        <v>4.0328934349569134E-4</v>
      </c>
      <c r="DI58" s="24">
        <f t="shared" si="20"/>
        <v>9.0922843718188044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278.60000000000002</v>
      </c>
      <c r="DM58" s="13">
        <f>VLOOKUP(A58,'Données projet'!$A$165:$I$185,9,0)</f>
        <v>7.3600000000000083</v>
      </c>
      <c r="DN58" s="13">
        <f t="array" ref="DN58">INDEX(DM:DM,MIN(IF(ISNUMBER(DM58:DM254),ROW(DM58:DM254),"")))</f>
        <v>7.3600000000000083</v>
      </c>
      <c r="DO58" s="13">
        <f>IF(A58&lt;'Données projet'!$A$166,$DL$205^A58,IF(A58='Données projet'!$A$166,'Données projet'!$B$166,DO57+DN58-DW57))</f>
        <v>278.59999999999997</v>
      </c>
      <c r="DP58" s="18">
        <f>DO58*VLOOKUP('Données projet'!$B$14,Paramètres!$A$1:$I$88,3,0)*VLOOKUP('Données projet'!$B$14,Paramètres!$A$1:$I$88,5,0)</f>
        <v>221.65415999999999</v>
      </c>
      <c r="DQ58" s="14">
        <f t="shared" si="48"/>
        <v>54.474252334510162</v>
      </c>
      <c r="DR58" s="22">
        <f t="shared" si="21"/>
        <v>480.92365148260507</v>
      </c>
      <c r="DS58" s="62">
        <f t="shared" si="22"/>
        <v>774.25698481593838</v>
      </c>
      <c r="DT58" s="62">
        <f ca="1">AVERAGE(OFFSET($DS$3,0,0,'Données projet'!$E$14+1,1))-AVERAGE(OFFSET($H$3,0,0,'Données projet'!$E$14+1,1))</f>
        <v>290.20755061064017</v>
      </c>
      <c r="DU58" s="62">
        <f t="shared" si="23"/>
        <v>343.54750327717181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25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4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22.7</v>
      </c>
      <c r="N59" s="14">
        <f>IF(A59&lt;'Données projet'!$A$36,$K$205^A59,IF(A59='Données projet'!$A$36,'Données projet'!$B$36,N58+M59-V58))</f>
        <v>425.1999999999997</v>
      </c>
      <c r="O59" s="14">
        <f>N59*VLOOKUP('Données projet'!$B$9,Paramètres!$A$1:$I$88,3,0)*VLOOKUP('Données projet'!$B$9,Paramètres!$A$1:$I$88,5,0)</f>
        <v>198.99359999999987</v>
      </c>
      <c r="P59" s="14">
        <f t="shared" si="43"/>
        <v>49.522926570252494</v>
      </c>
      <c r="Q59" s="22">
        <f t="shared" si="53"/>
        <v>432.83295044318953</v>
      </c>
      <c r="R59" s="62">
        <f t="shared" si="0"/>
        <v>726.16628377652285</v>
      </c>
      <c r="S59" s="62">
        <f ca="1">AVERAGE(OFFSET($R$3,0,0,'Données projet'!$E$9+1,1))-AVERAGE(OFFSET($H$3,0,0,'Données projet'!$E$9+1,1))</f>
        <v>300.03481708703549</v>
      </c>
      <c r="T59" s="62">
        <f t="shared" si="3"/>
        <v>102.6350860969182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IF(A59&lt;'Données projet'!$A$62,$AF$205^A59,IF(A59='Données projet'!$A$62,'Données projet'!$B$62,AI58+AH59-AQ58))</f>
        <v>-2.2737367544323206E-13</v>
      </c>
      <c r="AJ59" s="14">
        <f>AI59*VLOOKUP('Données projet'!$B$10,Paramètres!$A$1:$I$88,3,0)*VLOOKUP('Données projet'!$B$10,Paramètres!$A$1:$I$88,5,0)</f>
        <v>-1.2710188457276673E-13</v>
      </c>
      <c r="AK59" s="14" t="e">
        <f t="shared" si="44"/>
        <v>#NUM!</v>
      </c>
      <c r="AL59" s="22" t="e">
        <f t="shared" si="5"/>
        <v>#NUM!</v>
      </c>
      <c r="AM59" s="62" t="e">
        <f t="shared" si="6"/>
        <v>#NUM!</v>
      </c>
      <c r="AN59" s="62">
        <f ca="1">AVERAGE(OFFSET($AM$3,0,0,'Données projet'!$E$10+1,1))-AVERAGE(OFFSET($H$3,0,0,'Données projet'!$E$10+1,1))</f>
        <v>328.27336939084597</v>
      </c>
      <c r="AO59" s="62">
        <f t="shared" si="7"/>
        <v>448.79354389108755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3.2238268160782493</v>
      </c>
      <c r="AV59" s="23">
        <f>EXP(-LN(2)/25)*AV58+(1-EXP(-LN(2)/25))/(LN(2)/25)*Calculateur!AQ59*Calculateur!AS59*VLOOKUP('Données projet'!$B$9,Paramètres!$A$1:$I$88,3,0)*0.475*44/12</f>
        <v>6.6932626905476926</v>
      </c>
      <c r="AW59" s="23">
        <f>EXP(-LN(2)/2)*AW58+(1-EXP(-LN(2)/2))/(LN(2)/2)*AQ59*AT59*VLOOKUP('Données projet'!$B$9,Paramètres!$A$1:$I$88,3,0)*0.475*44/12</f>
        <v>1.7782824639682383E-3</v>
      </c>
      <c r="AX59" s="23">
        <f t="shared" si="8"/>
        <v>9.9188677890899104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10.6</v>
      </c>
      <c r="BD59" s="13">
        <f>IF(A59&lt;'Données projet'!$A$88,$BA$205^A59,IF(A59='Données projet'!$A$88,'Données projet'!$B$88,BD58+BC59-BL58))</f>
        <v>259.59999999999997</v>
      </c>
      <c r="BE59" s="14">
        <f>BD59*VLOOKUP('Données projet'!$B$11,Paramètres!$A$1:$I$88,3,0)*VLOOKUP('Données projet'!$B$11,Paramètres!$A$1:$I$88,5,0)</f>
        <v>226.78656000000001</v>
      </c>
      <c r="BF59" s="14">
        <f t="shared" si="45"/>
        <v>55.587292726829823</v>
      </c>
      <c r="BG59" s="22">
        <f t="shared" si="9"/>
        <v>491.80112683256198</v>
      </c>
      <c r="BH59" s="62">
        <f t="shared" si="10"/>
        <v>785.13446016589523</v>
      </c>
      <c r="BI59" s="62">
        <f ca="1">AVERAGE(OFFSET($BH$3,0,0,'Données projet'!$E$11+1,1))-AVERAGE(OFFSET($H$3,0,0,'Données projet'!$E$11+1,1))</f>
        <v>348.65374983303883</v>
      </c>
      <c r="BJ59" s="62">
        <f t="shared" si="11"/>
        <v>312.05848669315151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6.2799999999999958</v>
      </c>
      <c r="BY59" s="13">
        <f>IF(A59&lt;'Données projet'!$A$114,$BV$205^A59,IF(A59='Données projet'!$A$114,'Données projet'!$B$114,BY58+BX59-CG58))</f>
        <v>284.87999999999994</v>
      </c>
      <c r="BZ59" s="14">
        <f>BY59*VLOOKUP('Données projet'!$B$12,Paramètres!$A$1:$I$88,3,0)*VLOOKUP('Données projet'!$B$12,Paramètres!$A$1:$I$88,5,0)</f>
        <v>208.87401599999995</v>
      </c>
      <c r="CA59" s="14">
        <f t="shared" si="46"/>
        <v>51.689452927517024</v>
      </c>
      <c r="CB59" s="22">
        <f t="shared" si="13"/>
        <v>453.81470838209202</v>
      </c>
      <c r="CC59" s="62">
        <f t="shared" si="14"/>
        <v>747.14804171542528</v>
      </c>
      <c r="CD59" s="62">
        <f ca="1">AVERAGE(OFFSET($CC$3,0,0,'Données projet'!$E$12+1,1))-AVERAGE(OFFSET($H$3,0,0,'Données projet'!$E$12+1,1))</f>
        <v>264.06656596707364</v>
      </c>
      <c r="CE59" s="62">
        <f t="shared" si="15"/>
        <v>315.34415130230195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5.6843418860808015E-14</v>
      </c>
      <c r="CU59" s="18">
        <f>CT59*VLOOKUP('Données projet'!$B$13,Paramètres!$A$1:$I$88,3,0)*VLOOKUP('Données projet'!$B$13,Paramètres!$A$1:$I$88,5,0)</f>
        <v>3.3992364478763198E-14</v>
      </c>
      <c r="CV59" s="14">
        <f t="shared" si="47"/>
        <v>5.790027782444094E-13</v>
      </c>
      <c r="CW59" s="22">
        <f t="shared" si="17"/>
        <v>1.0676332069095257E-12</v>
      </c>
      <c r="CX59" s="62">
        <f t="shared" si="18"/>
        <v>293.33333333333439</v>
      </c>
      <c r="CY59" s="62">
        <f ca="1">AVERAGE(OFFSET($CX$3,0,0,'Données projet'!$E$13+1,1))-AVERAGE(OFFSET($H$3,0,0,'Données projet'!$E$13+1,1))</f>
        <v>162.29089122912319</v>
      </c>
      <c r="CZ59" s="62">
        <f t="shared" si="19"/>
        <v>253.15422514195427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6.3115847780775169</v>
      </c>
      <c r="DG59" s="23">
        <f>EXP(-LN(2)/25)*DG58+(1-EXP(-LN(2)/25))/(LN(2)/25)*Calculateur!DB59*Calculateur!DD59*VLOOKUP('Données projet'!$B$9,Paramètres!$A$1:$I$88,3,0)*0.475*44/12</f>
        <v>2.5814791923090801</v>
      </c>
      <c r="DH59" s="23">
        <f>EXP(-LN(2)/2)*DH58+(1-EXP(-LN(2)/2))/(LN(2)/2)*DB59*DE59*VLOOKUP('Données projet'!$B$9,Paramètres!$A$1:$I$88,3,0)*0.475*44/12</f>
        <v>2.8516862956607422E-4</v>
      </c>
      <c r="DI59" s="24">
        <f t="shared" si="20"/>
        <v>8.8933491390161628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6.2799999999999958</v>
      </c>
      <c r="DO59" s="13">
        <f>IF(A59&lt;'Données projet'!$A$166,$DL$205^A59,IF(A59='Données projet'!$A$166,'Données projet'!$B$166,DO58+DN59-DW58))</f>
        <v>284.87999999999994</v>
      </c>
      <c r="DP59" s="18">
        <f>DO59*VLOOKUP('Données projet'!$B$14,Paramètres!$A$1:$I$88,3,0)*VLOOKUP('Données projet'!$B$14,Paramètres!$A$1:$I$88,5,0)</f>
        <v>226.65052799999998</v>
      </c>
      <c r="DQ59" s="14">
        <f t="shared" si="48"/>
        <v>55.557830188244751</v>
      </c>
      <c r="DR59" s="22">
        <f t="shared" si="21"/>
        <v>491.51289051119289</v>
      </c>
      <c r="DS59" s="62">
        <f t="shared" si="22"/>
        <v>784.84622384452621</v>
      </c>
      <c r="DT59" s="62">
        <f ca="1">AVERAGE(OFFSET($DS$3,0,0,'Données projet'!$E$14+1,1))-AVERAGE(OFFSET($H$3,0,0,'Données projet'!$E$14+1,1))</f>
        <v>290.20755061064017</v>
      </c>
      <c r="DU59" s="62">
        <f t="shared" si="23"/>
        <v>343.54750327717181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25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4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22.7</v>
      </c>
      <c r="N60" s="14">
        <f>IF(A60&lt;'Données projet'!$A$36,$K$205^A60,IF(A60='Données projet'!$A$36,'Données projet'!$B$36,N59+M60-V59))</f>
        <v>447.89999999999969</v>
      </c>
      <c r="O60" s="14">
        <f>N60*VLOOKUP('Données projet'!$B$9,Paramètres!$A$1:$I$88,3,0)*VLOOKUP('Données projet'!$B$9,Paramètres!$A$1:$I$88,5,0)</f>
        <v>209.61719999999985</v>
      </c>
      <c r="P60" s="14">
        <f t="shared" si="43"/>
        <v>51.851925386563117</v>
      </c>
      <c r="Q60" s="22">
        <f t="shared" si="53"/>
        <v>455.39206004826383</v>
      </c>
      <c r="R60" s="62">
        <f t="shared" si="0"/>
        <v>748.72539338159709</v>
      </c>
      <c r="S60" s="62">
        <f ca="1">AVERAGE(OFFSET($R$3,0,0,'Données projet'!$E$9+1,1))-AVERAGE(OFFSET($H$3,0,0,'Données projet'!$E$9+1,1))</f>
        <v>300.03481708703549</v>
      </c>
      <c r="T60" s="62">
        <f t="shared" si="3"/>
        <v>102.6350860969182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IF(A60&lt;'Données projet'!$A$62,$AF$205^A60,IF(A60='Données projet'!$A$62,'Données projet'!$B$62,AI59+AH60-AQ59))</f>
        <v>-2.2737367544323206E-13</v>
      </c>
      <c r="AJ60" s="14">
        <f>AI60*VLOOKUP('Données projet'!$B$10,Paramètres!$A$1:$I$88,3,0)*VLOOKUP('Données projet'!$B$10,Paramètres!$A$1:$I$88,5,0)</f>
        <v>-1.2710188457276673E-13</v>
      </c>
      <c r="AK60" s="14" t="e">
        <f t="shared" si="44"/>
        <v>#NUM!</v>
      </c>
      <c r="AL60" s="22" t="e">
        <f t="shared" si="5"/>
        <v>#NUM!</v>
      </c>
      <c r="AM60" s="62" t="e">
        <f t="shared" si="6"/>
        <v>#NUM!</v>
      </c>
      <c r="AN60" s="62">
        <f ca="1">AVERAGE(OFFSET($AM$3,0,0,'Données projet'!$E$10+1,1))-AVERAGE(OFFSET($H$3,0,0,'Données projet'!$E$10+1,1))</f>
        <v>328.27336939084597</v>
      </c>
      <c r="AO60" s="62">
        <f t="shared" si="7"/>
        <v>448.79354389108755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3.1606095385551525</v>
      </c>
      <c r="AV60" s="23">
        <f>EXP(-LN(2)/25)*AV59+(1-EXP(-LN(2)/25))/(LN(2)/25)*Calculateur!AQ60*Calculateur!AS60*VLOOKUP('Données projet'!$B$9,Paramètres!$A$1:$I$88,3,0)*0.475*44/12</f>
        <v>6.5102350702912783</v>
      </c>
      <c r="AW60" s="23">
        <f>EXP(-LN(2)/2)*AW59+(1-EXP(-LN(2)/2))/(LN(2)/2)*AQ60*AT60*VLOOKUP('Données projet'!$B$9,Paramètres!$A$1:$I$88,3,0)*0.475*44/12</f>
        <v>1.2574355891370637E-3</v>
      </c>
      <c r="AX60" s="23">
        <f t="shared" si="8"/>
        <v>9.672102044435567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10.6</v>
      </c>
      <c r="BD60" s="13">
        <f>IF(A60&lt;'Données projet'!$A$88,$BA$205^A60,IF(A60='Données projet'!$A$88,'Données projet'!$B$88,BD59+BC60-BL59))</f>
        <v>270.2</v>
      </c>
      <c r="BE60" s="14">
        <f>BD60*VLOOKUP('Données projet'!$B$11,Paramètres!$A$1:$I$88,3,0)*VLOOKUP('Données projet'!$B$11,Paramètres!$A$1:$I$88,5,0)</f>
        <v>236.04672000000002</v>
      </c>
      <c r="BF60" s="14">
        <f t="shared" si="45"/>
        <v>57.588142576078461</v>
      </c>
      <c r="BG60" s="22">
        <f t="shared" si="9"/>
        <v>511.41405232000335</v>
      </c>
      <c r="BH60" s="62">
        <f t="shared" si="10"/>
        <v>804.74738565333666</v>
      </c>
      <c r="BI60" s="62">
        <f ca="1">AVERAGE(OFFSET($BH$3,0,0,'Données projet'!$E$11+1,1))-AVERAGE(OFFSET($H$3,0,0,'Données projet'!$E$11+1,1))</f>
        <v>348.65374983303883</v>
      </c>
      <c r="BJ60" s="62">
        <f t="shared" si="11"/>
        <v>312.05848669315151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6.2799999999999958</v>
      </c>
      <c r="BY60" s="13">
        <f>IF(A60&lt;'Données projet'!$A$114,$BV$205^A60,IF(A60='Données projet'!$A$114,'Données projet'!$B$114,BY59+BX60-CG59))</f>
        <v>291.15999999999991</v>
      </c>
      <c r="BZ60" s="14">
        <f>BY60*VLOOKUP('Données projet'!$B$12,Paramètres!$A$1:$I$88,3,0)*VLOOKUP('Données projet'!$B$12,Paramètres!$A$1:$I$88,5,0)</f>
        <v>213.47851199999994</v>
      </c>
      <c r="CA60" s="14">
        <f t="shared" si="46"/>
        <v>52.694999755073347</v>
      </c>
      <c r="CB60" s="22">
        <f t="shared" si="13"/>
        <v>463.58553297341928</v>
      </c>
      <c r="CC60" s="62">
        <f t="shared" si="14"/>
        <v>756.91886630675253</v>
      </c>
      <c r="CD60" s="62">
        <f ca="1">AVERAGE(OFFSET($CC$3,0,0,'Données projet'!$E$12+1,1))-AVERAGE(OFFSET($H$3,0,0,'Données projet'!$E$12+1,1))</f>
        <v>264.06656596707364</v>
      </c>
      <c r="CE60" s="62">
        <f t="shared" si="15"/>
        <v>315.34415130230195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5.6843418860808015E-14</v>
      </c>
      <c r="CU60" s="18">
        <f>CT60*VLOOKUP('Données projet'!$B$13,Paramètres!$A$1:$I$88,3,0)*VLOOKUP('Données projet'!$B$13,Paramètres!$A$1:$I$88,5,0)</f>
        <v>3.3992364478763198E-14</v>
      </c>
      <c r="CV60" s="14">
        <f t="shared" si="47"/>
        <v>5.790027782444094E-13</v>
      </c>
      <c r="CW60" s="22">
        <f t="shared" si="17"/>
        <v>1.0676332069095257E-12</v>
      </c>
      <c r="CX60" s="62">
        <f t="shared" si="18"/>
        <v>293.33333333333439</v>
      </c>
      <c r="CY60" s="62">
        <f ca="1">AVERAGE(OFFSET($CX$3,0,0,'Données projet'!$E$13+1,1))-AVERAGE(OFFSET($H$3,0,0,'Données projet'!$E$13+1,1))</f>
        <v>162.29089122912319</v>
      </c>
      <c r="CZ60" s="62">
        <f t="shared" si="19"/>
        <v>253.15422514195427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6.1878184502660067</v>
      </c>
      <c r="DG60" s="23">
        <f>EXP(-LN(2)/25)*DG59+(1-EXP(-LN(2)/25))/(LN(2)/25)*Calculateur!DB60*Calculateur!DD60*VLOOKUP('Données projet'!$B$9,Paramètres!$A$1:$I$88,3,0)*0.475*44/12</f>
        <v>2.5108885080412975</v>
      </c>
      <c r="DH60" s="23">
        <f>EXP(-LN(2)/2)*DH59+(1-EXP(-LN(2)/2))/(LN(2)/2)*DB60*DE60*VLOOKUP('Données projet'!$B$9,Paramètres!$A$1:$I$88,3,0)*0.475*44/12</f>
        <v>2.0164467174784567E-4</v>
      </c>
      <c r="DI60" s="24">
        <f t="shared" si="20"/>
        <v>8.6989086029790528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6.2799999999999958</v>
      </c>
      <c r="DO60" s="13">
        <f>IF(A60&lt;'Données projet'!$A$166,$DL$205^A60,IF(A60='Données projet'!$A$166,'Données projet'!$B$166,DO59+DN60-DW59))</f>
        <v>291.15999999999991</v>
      </c>
      <c r="DP60" s="18">
        <f>DO60*VLOOKUP('Données projet'!$B$14,Paramètres!$A$1:$I$88,3,0)*VLOOKUP('Données projet'!$B$14,Paramètres!$A$1:$I$88,5,0)</f>
        <v>231.64689599999994</v>
      </c>
      <c r="DQ60" s="14">
        <f t="shared" si="48"/>
        <v>56.63863094599396</v>
      </c>
      <c r="DR60" s="22">
        <f t="shared" si="21"/>
        <v>502.09729276427265</v>
      </c>
      <c r="DS60" s="62">
        <f t="shared" si="22"/>
        <v>795.43062609760591</v>
      </c>
      <c r="DT60" s="62">
        <f ca="1">AVERAGE(OFFSET($DS$3,0,0,'Données projet'!$E$14+1,1))-AVERAGE(OFFSET($H$3,0,0,'Données projet'!$E$14+1,1))</f>
        <v>290.20755061064017</v>
      </c>
      <c r="DU60" s="62">
        <f t="shared" si="23"/>
        <v>343.54750327717181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25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4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22.7</v>
      </c>
      <c r="N61" s="14">
        <f>IF(A61&lt;'Données projet'!$A$36,$K$205^A61,IF(A61='Données projet'!$A$36,'Données projet'!$B$36,N60+M61-V60))</f>
        <v>470.59999999999968</v>
      </c>
      <c r="O61" s="14">
        <f>N61*VLOOKUP('Données projet'!$B$9,Paramètres!$A$1:$I$88,3,0)*VLOOKUP('Données projet'!$B$9,Paramètres!$A$1:$I$88,5,0)</f>
        <v>220.24079999999987</v>
      </c>
      <c r="P61" s="14">
        <f t="shared" si="43"/>
        <v>54.167219078226751</v>
      </c>
      <c r="Q61" s="22">
        <f t="shared" si="53"/>
        <v>477.92729989457803</v>
      </c>
      <c r="R61" s="62">
        <f t="shared" si="0"/>
        <v>771.26063322791128</v>
      </c>
      <c r="S61" s="62">
        <f ca="1">AVERAGE(OFFSET($R$3,0,0,'Données projet'!$E$9+1,1))-AVERAGE(OFFSET($H$3,0,0,'Données projet'!$E$9+1,1))</f>
        <v>300.03481708703549</v>
      </c>
      <c r="T61" s="62">
        <f t="shared" si="3"/>
        <v>102.6350860969182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IF(A61&lt;'Données projet'!$A$62,$AF$205^A61,IF(A61='Données projet'!$A$62,'Données projet'!$B$62,AI60+AH61-AQ60))</f>
        <v>-2.2737367544323206E-13</v>
      </c>
      <c r="AJ61" s="14">
        <f>AI61*VLOOKUP('Données projet'!$B$10,Paramètres!$A$1:$I$88,3,0)*VLOOKUP('Données projet'!$B$10,Paramètres!$A$1:$I$88,5,0)</f>
        <v>-1.2710188457276673E-13</v>
      </c>
      <c r="AK61" s="14" t="e">
        <f t="shared" si="44"/>
        <v>#NUM!</v>
      </c>
      <c r="AL61" s="22" t="e">
        <f t="shared" si="5"/>
        <v>#NUM!</v>
      </c>
      <c r="AM61" s="62" t="e">
        <f t="shared" si="6"/>
        <v>#NUM!</v>
      </c>
      <c r="AN61" s="62">
        <f ca="1">AVERAGE(OFFSET($AM$3,0,0,'Données projet'!$E$10+1,1))-AVERAGE(OFFSET($H$3,0,0,'Données projet'!$E$10+1,1))</f>
        <v>328.27336939084597</v>
      </c>
      <c r="AO61" s="62">
        <f t="shared" si="7"/>
        <v>448.79354389108755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3.0986319132855518</v>
      </c>
      <c r="AV61" s="23">
        <f>EXP(-LN(2)/25)*AV60+(1-EXP(-LN(2)/25))/(LN(2)/25)*Calculateur!AQ61*Calculateur!AS61*VLOOKUP('Données projet'!$B$9,Paramètres!$A$1:$I$88,3,0)*0.475*44/12</f>
        <v>6.3322123499357801</v>
      </c>
      <c r="AW61" s="23">
        <f>EXP(-LN(2)/2)*AW60+(1-EXP(-LN(2)/2))/(LN(2)/2)*AQ61*AT61*VLOOKUP('Données projet'!$B$9,Paramètres!$A$1:$I$88,3,0)*0.475*44/12</f>
        <v>8.8914123198411917E-4</v>
      </c>
      <c r="AX61" s="23">
        <f t="shared" si="8"/>
        <v>9.4317334044533148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10.6</v>
      </c>
      <c r="BD61" s="13">
        <f>IF(A61&lt;'Données projet'!$A$88,$BA$205^A61,IF(A61='Données projet'!$A$88,'Données projet'!$B$88,BD60+BC61-BL60))</f>
        <v>280.8</v>
      </c>
      <c r="BE61" s="14">
        <f>BD61*VLOOKUP('Données projet'!$B$11,Paramètres!$A$1:$I$88,3,0)*VLOOKUP('Données projet'!$B$11,Paramètres!$A$1:$I$88,5,0)</f>
        <v>245.30688000000004</v>
      </c>
      <c r="BF61" s="14">
        <f t="shared" si="45"/>
        <v>59.579874112906374</v>
      </c>
      <c r="BG61" s="22">
        <f t="shared" si="9"/>
        <v>531.01109674664542</v>
      </c>
      <c r="BH61" s="62">
        <f t="shared" si="10"/>
        <v>824.34443007997879</v>
      </c>
      <c r="BI61" s="62">
        <f ca="1">AVERAGE(OFFSET($BH$3,0,0,'Données projet'!$E$11+1,1))-AVERAGE(OFFSET($H$3,0,0,'Données projet'!$E$11+1,1))</f>
        <v>348.65374983303883</v>
      </c>
      <c r="BJ61" s="62">
        <f t="shared" si="11"/>
        <v>312.05848669315151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6.2799999999999958</v>
      </c>
      <c r="BY61" s="13">
        <f>IF(A61&lt;'Données projet'!$A$114,$BV$205^A61,IF(A61='Données projet'!$A$114,'Données projet'!$B$114,BY60+BX61-CG60))</f>
        <v>297.43999999999988</v>
      </c>
      <c r="BZ61" s="14">
        <f>BY61*VLOOKUP('Données projet'!$B$12,Paramètres!$A$1:$I$88,3,0)*VLOOKUP('Données projet'!$B$12,Paramètres!$A$1:$I$88,5,0)</f>
        <v>218.08300799999989</v>
      </c>
      <c r="CA61" s="14">
        <f t="shared" si="46"/>
        <v>53.698024996844545</v>
      </c>
      <c r="CB61" s="22">
        <f t="shared" si="13"/>
        <v>473.35196580283736</v>
      </c>
      <c r="CC61" s="62">
        <f t="shared" si="14"/>
        <v>766.68529913617067</v>
      </c>
      <c r="CD61" s="62">
        <f ca="1">AVERAGE(OFFSET($CC$3,0,0,'Données projet'!$E$12+1,1))-AVERAGE(OFFSET($H$3,0,0,'Données projet'!$E$12+1,1))</f>
        <v>264.06656596707364</v>
      </c>
      <c r="CE61" s="62">
        <f t="shared" si="15"/>
        <v>315.34415130230195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5.6843418860808015E-14</v>
      </c>
      <c r="CU61" s="18">
        <f>CT61*VLOOKUP('Données projet'!$B$13,Paramètres!$A$1:$I$88,3,0)*VLOOKUP('Données projet'!$B$13,Paramètres!$A$1:$I$88,5,0)</f>
        <v>3.3992364478763198E-14</v>
      </c>
      <c r="CV61" s="14">
        <f t="shared" si="47"/>
        <v>5.790027782444094E-13</v>
      </c>
      <c r="CW61" s="22">
        <f t="shared" si="17"/>
        <v>1.0676332069095257E-12</v>
      </c>
      <c r="CX61" s="62">
        <f t="shared" si="18"/>
        <v>293.33333333333439</v>
      </c>
      <c r="CY61" s="62">
        <f ca="1">AVERAGE(OFFSET($CX$3,0,0,'Données projet'!$E$13+1,1))-AVERAGE(OFFSET($H$3,0,0,'Données projet'!$E$13+1,1))</f>
        <v>162.29089122912319</v>
      </c>
      <c r="CZ61" s="62">
        <f t="shared" si="19"/>
        <v>253.15422514195427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6.0664791046528741</v>
      </c>
      <c r="DG61" s="23">
        <f>EXP(-LN(2)/25)*DG60+(1-EXP(-LN(2)/25))/(LN(2)/25)*Calculateur!DB61*Calculateur!DD61*VLOOKUP('Données projet'!$B$9,Paramètres!$A$1:$I$88,3,0)*0.475*44/12</f>
        <v>2.4422281297470203</v>
      </c>
      <c r="DH61" s="23">
        <f>EXP(-LN(2)/2)*DH60+(1-EXP(-LN(2)/2))/(LN(2)/2)*DB61*DE61*VLOOKUP('Données projet'!$B$9,Paramètres!$A$1:$I$88,3,0)*0.475*44/12</f>
        <v>1.4258431478303711E-4</v>
      </c>
      <c r="DI61" s="24">
        <f t="shared" si="20"/>
        <v>8.5088498187146779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6.2799999999999958</v>
      </c>
      <c r="DO61" s="13">
        <f>IF(A61&lt;'Données projet'!$A$166,$DL$205^A61,IF(A61='Données projet'!$A$166,'Données projet'!$B$166,DO60+DN61-DW60))</f>
        <v>297.43999999999988</v>
      </c>
      <c r="DP61" s="18">
        <f>DO61*VLOOKUP('Données projet'!$B$14,Paramètres!$A$1:$I$88,3,0)*VLOOKUP('Données projet'!$B$14,Paramètres!$A$1:$I$88,5,0)</f>
        <v>236.64326399999993</v>
      </c>
      <c r="DQ61" s="14">
        <f t="shared" si="48"/>
        <v>57.716721405473052</v>
      </c>
      <c r="DR61" s="22">
        <f t="shared" si="21"/>
        <v>512.67697458119881</v>
      </c>
      <c r="DS61" s="62">
        <f t="shared" si="22"/>
        <v>806.01030791453218</v>
      </c>
      <c r="DT61" s="62">
        <f ca="1">AVERAGE(OFFSET($DS$3,0,0,'Données projet'!$E$14+1,1))-AVERAGE(OFFSET($H$3,0,0,'Données projet'!$E$14+1,1))</f>
        <v>290.20755061064017</v>
      </c>
      <c r="DU61" s="62">
        <f t="shared" si="23"/>
        <v>343.54750327717181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25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4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22.7</v>
      </c>
      <c r="N62" s="14">
        <f>IF(A62&lt;'Données projet'!$A$36,$K$205^A62,IF(A62='Données projet'!$A$36,'Données projet'!$B$36,N61+M62-V61))</f>
        <v>493.29999999999967</v>
      </c>
      <c r="O62" s="14">
        <f>N62*VLOOKUP('Données projet'!$B$9,Paramètres!$A$1:$I$88,3,0)*VLOOKUP('Données projet'!$B$9,Paramètres!$A$1:$I$88,5,0)</f>
        <v>230.86439999999985</v>
      </c>
      <c r="P62" s="14">
        <f t="shared" si="43"/>
        <v>56.469544196332308</v>
      </c>
      <c r="Q62" s="22">
        <f t="shared" si="53"/>
        <v>500.43995280861185</v>
      </c>
      <c r="R62" s="62">
        <f t="shared" si="0"/>
        <v>793.77328614194516</v>
      </c>
      <c r="S62" s="62">
        <f ca="1">AVERAGE(OFFSET($R$3,0,0,'Données projet'!$E$9+1,1))-AVERAGE(OFFSET($H$3,0,0,'Données projet'!$E$9+1,1))</f>
        <v>300.03481708703549</v>
      </c>
      <c r="T62" s="62">
        <f t="shared" si="3"/>
        <v>102.6350860969182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IF(A62&lt;'Données projet'!$A$62,$AF$205^A62,IF(A62='Données projet'!$A$62,'Données projet'!$B$62,AI61+AH62-AQ61))</f>
        <v>-2.2737367544323206E-13</v>
      </c>
      <c r="AJ62" s="14">
        <f>AI62*VLOOKUP('Données projet'!$B$10,Paramètres!$A$1:$I$88,3,0)*VLOOKUP('Données projet'!$B$10,Paramètres!$A$1:$I$88,5,0)</f>
        <v>-1.2710188457276673E-13</v>
      </c>
      <c r="AK62" s="14" t="e">
        <f t="shared" si="44"/>
        <v>#NUM!</v>
      </c>
      <c r="AL62" s="22" t="e">
        <f t="shared" si="5"/>
        <v>#NUM!</v>
      </c>
      <c r="AM62" s="62" t="e">
        <f t="shared" si="6"/>
        <v>#NUM!</v>
      </c>
      <c r="AN62" s="62">
        <f ca="1">AVERAGE(OFFSET($AM$3,0,0,'Données projet'!$E$10+1,1))-AVERAGE(OFFSET($H$3,0,0,'Données projet'!$E$10+1,1))</f>
        <v>328.27336939084597</v>
      </c>
      <c r="AO62" s="62">
        <f t="shared" si="7"/>
        <v>448.79354389108755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3.0378696314448694</v>
      </c>
      <c r="AV62" s="23">
        <f>EXP(-LN(2)/25)*AV61+(1-EXP(-LN(2)/25))/(LN(2)/25)*Calculateur!AQ62*Calculateur!AS62*VLOOKUP('Données projet'!$B$9,Paramètres!$A$1:$I$88,3,0)*0.475*44/12</f>
        <v>6.1590576702302116</v>
      </c>
      <c r="AW62" s="23">
        <f>EXP(-LN(2)/2)*AW61+(1-EXP(-LN(2)/2))/(LN(2)/2)*AQ62*AT62*VLOOKUP('Données projet'!$B$9,Paramètres!$A$1:$I$88,3,0)*0.475*44/12</f>
        <v>6.2871779456853184E-4</v>
      </c>
      <c r="AX62" s="23">
        <f t="shared" si="8"/>
        <v>9.1975560194696513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10.6</v>
      </c>
      <c r="BD62" s="13">
        <f>IF(A62&lt;'Données projet'!$A$88,$BA$205^A62,IF(A62='Données projet'!$A$88,'Données projet'!$B$88,BD61+BC62-BL61))</f>
        <v>291.40000000000003</v>
      </c>
      <c r="BE62" s="14">
        <f>BD62*VLOOKUP('Données projet'!$B$11,Paramètres!$A$1:$I$88,3,0)*VLOOKUP('Données projet'!$B$11,Paramètres!$A$1:$I$88,5,0)</f>
        <v>254.56704000000005</v>
      </c>
      <c r="BF62" s="14">
        <f t="shared" si="45"/>
        <v>61.562870955572436</v>
      </c>
      <c r="BG62" s="22">
        <f t="shared" si="9"/>
        <v>550.59292824762213</v>
      </c>
      <c r="BH62" s="62">
        <f t="shared" si="10"/>
        <v>843.9262615809555</v>
      </c>
      <c r="BI62" s="62">
        <f ca="1">AVERAGE(OFFSET($BH$3,0,0,'Données projet'!$E$11+1,1))-AVERAGE(OFFSET($H$3,0,0,'Données projet'!$E$11+1,1))</f>
        <v>348.65374983303883</v>
      </c>
      <c r="BJ62" s="62">
        <f t="shared" si="11"/>
        <v>312.05848669315151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6.2799999999999958</v>
      </c>
      <c r="BY62" s="13">
        <f>IF(A62&lt;'Données projet'!$A$114,$BV$205^A62,IF(A62='Données projet'!$A$114,'Données projet'!$B$114,BY61+BX62-CG61))</f>
        <v>303.71999999999986</v>
      </c>
      <c r="BZ62" s="14">
        <f>BY62*VLOOKUP('Données projet'!$B$12,Paramètres!$A$1:$I$88,3,0)*VLOOKUP('Données projet'!$B$12,Paramètres!$A$1:$I$88,5,0)</f>
        <v>222.68750399999988</v>
      </c>
      <c r="CA62" s="14">
        <f t="shared" si="46"/>
        <v>54.698588025346766</v>
      </c>
      <c r="CB62" s="22">
        <f t="shared" si="13"/>
        <v>483.1141102774788</v>
      </c>
      <c r="CC62" s="62">
        <f t="shared" si="14"/>
        <v>776.44744361081212</v>
      </c>
      <c r="CD62" s="62">
        <f ca="1">AVERAGE(OFFSET($CC$3,0,0,'Données projet'!$E$12+1,1))-AVERAGE(OFFSET($H$3,0,0,'Données projet'!$E$12+1,1))</f>
        <v>264.06656596707364</v>
      </c>
      <c r="CE62" s="62">
        <f t="shared" si="15"/>
        <v>315.34415130230195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5.6843418860808015E-14</v>
      </c>
      <c r="CU62" s="18">
        <f>CT62*VLOOKUP('Données projet'!$B$13,Paramètres!$A$1:$I$88,3,0)*VLOOKUP('Données projet'!$B$13,Paramètres!$A$1:$I$88,5,0)</f>
        <v>3.3992364478763198E-14</v>
      </c>
      <c r="CV62" s="14">
        <f t="shared" si="47"/>
        <v>5.790027782444094E-13</v>
      </c>
      <c r="CW62" s="22">
        <f t="shared" si="17"/>
        <v>1.0676332069095257E-12</v>
      </c>
      <c r="CX62" s="62">
        <f t="shared" si="18"/>
        <v>293.33333333333439</v>
      </c>
      <c r="CY62" s="62">
        <f ca="1">AVERAGE(OFFSET($CX$3,0,0,'Données projet'!$E$13+1,1))-AVERAGE(OFFSET($H$3,0,0,'Données projet'!$E$13+1,1))</f>
        <v>162.29089122912319</v>
      </c>
      <c r="CZ62" s="62">
        <f t="shared" si="19"/>
        <v>253.15422514195427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5.9475191495975217</v>
      </c>
      <c r="DG62" s="23">
        <f>EXP(-LN(2)/25)*DG61+(1-EXP(-LN(2)/25))/(LN(2)/25)*Calculateur!DB62*Calculateur!DD62*VLOOKUP('Données projet'!$B$9,Paramètres!$A$1:$I$88,3,0)*0.475*44/12</f>
        <v>2.3754452731078923</v>
      </c>
      <c r="DH62" s="23">
        <f>EXP(-LN(2)/2)*DH61+(1-EXP(-LN(2)/2))/(LN(2)/2)*DB62*DE62*VLOOKUP('Données projet'!$B$9,Paramètres!$A$1:$I$88,3,0)*0.475*44/12</f>
        <v>1.0082233587392284E-4</v>
      </c>
      <c r="DI62" s="24">
        <f t="shared" si="20"/>
        <v>8.3230652450412883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6.2799999999999958</v>
      </c>
      <c r="DO62" s="13">
        <f>IF(A62&lt;'Données projet'!$A$166,$DL$205^A62,IF(A62='Données projet'!$A$166,'Données projet'!$B$166,DO61+DN62-DW61))</f>
        <v>303.71999999999986</v>
      </c>
      <c r="DP62" s="18">
        <f>DO62*VLOOKUP('Données projet'!$B$14,Paramètres!$A$1:$I$88,3,0)*VLOOKUP('Données projet'!$B$14,Paramètres!$A$1:$I$88,5,0)</f>
        <v>241.63963199999992</v>
      </c>
      <c r="DQ62" s="14">
        <f t="shared" si="48"/>
        <v>58.792165382566672</v>
      </c>
      <c r="DR62" s="22">
        <f t="shared" si="21"/>
        <v>523.25204710797016</v>
      </c>
      <c r="DS62" s="62">
        <f t="shared" si="22"/>
        <v>816.58538044130341</v>
      </c>
      <c r="DT62" s="62">
        <f ca="1">AVERAGE(OFFSET($DS$3,0,0,'Données projet'!$E$14+1,1))-AVERAGE(OFFSET($H$3,0,0,'Données projet'!$E$14+1,1))</f>
        <v>290.20755061064017</v>
      </c>
      <c r="DU62" s="62">
        <f t="shared" si="23"/>
        <v>343.54750327717181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25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4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516</v>
      </c>
      <c r="L63" s="13">
        <f>VLOOKUP(A63,'Données projet'!$A$35:$I$55,9,0)</f>
        <v>22.7</v>
      </c>
      <c r="M63" s="13">
        <f t="array" ref="M63">INDEX(L:L,MIN(IF(ISNUMBER(L63:L259),ROW(L63:L259),"")))</f>
        <v>22.7</v>
      </c>
      <c r="N63" s="14">
        <f>IF(A63&lt;'Données projet'!$A$36,$K$205^A63,IF(A63='Données projet'!$A$36,'Données projet'!$B$36,N62+M63-V62))</f>
        <v>515.99999999999966</v>
      </c>
      <c r="O63" s="14">
        <f>N63*VLOOKUP('Données projet'!$B$9,Paramètres!$A$1:$I$88,3,0)*VLOOKUP('Données projet'!$B$9,Paramètres!$A$1:$I$88,5,0)</f>
        <v>241.48799999999986</v>
      </c>
      <c r="P63" s="14">
        <f t="shared" si="43"/>
        <v>58.759565673424916</v>
      </c>
      <c r="Q63" s="22">
        <f t="shared" si="53"/>
        <v>522.93117688121481</v>
      </c>
      <c r="R63" s="62">
        <f t="shared" si="0"/>
        <v>816.26451021454818</v>
      </c>
      <c r="S63" s="62">
        <f ca="1">AVERAGE(OFFSET($R$3,0,0,'Données projet'!$E$9+1,1))-AVERAGE(OFFSET($H$3,0,0,'Données projet'!$E$9+1,1))</f>
        <v>300.03481708703549</v>
      </c>
      <c r="T63" s="62">
        <f t="shared" si="3"/>
        <v>102.6350860969182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112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IF(A63&lt;'Données projet'!$A$62,$AF$205^A63,IF(A63='Données projet'!$A$62,'Données projet'!$B$62,AI62+AH63-AQ62))</f>
        <v>-2.2737367544323206E-13</v>
      </c>
      <c r="AJ63" s="14">
        <f>AI63*VLOOKUP('Données projet'!$B$10,Paramètres!$A$1:$I$88,3,0)*VLOOKUP('Données projet'!$B$10,Paramètres!$A$1:$I$88,5,0)</f>
        <v>-1.2710188457276673E-13</v>
      </c>
      <c r="AK63" s="14" t="e">
        <f t="shared" si="44"/>
        <v>#NUM!</v>
      </c>
      <c r="AL63" s="22" t="e">
        <f t="shared" si="5"/>
        <v>#NUM!</v>
      </c>
      <c r="AM63" s="62" t="e">
        <f t="shared" si="6"/>
        <v>#NUM!</v>
      </c>
      <c r="AN63" s="62">
        <f ca="1">AVERAGE(OFFSET($AM$3,0,0,'Données projet'!$E$10+1,1))-AVERAGE(OFFSET($H$3,0,0,'Données projet'!$E$10+1,1))</f>
        <v>328.27336939084597</v>
      </c>
      <c r="AO63" s="62">
        <f t="shared" si="7"/>
        <v>448.79354389108755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2.9782988608897503</v>
      </c>
      <c r="AV63" s="23">
        <f>EXP(-LN(2)/25)*AV62+(1-EXP(-LN(2)/25))/(LN(2)/25)*Calculateur!AQ63*Calculateur!AS63*VLOOKUP('Données projet'!$B$9,Paramètres!$A$1:$I$88,3,0)*0.475*44/12</f>
        <v>5.9906379143470003</v>
      </c>
      <c r="AW63" s="23">
        <f>EXP(-LN(2)/2)*AW62+(1-EXP(-LN(2)/2))/(LN(2)/2)*AQ63*AT63*VLOOKUP('Données projet'!$B$9,Paramètres!$A$1:$I$88,3,0)*0.475*44/12</f>
        <v>4.4457061599205959E-4</v>
      </c>
      <c r="AX63" s="23">
        <f t="shared" si="8"/>
        <v>8.9693813458527423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302</v>
      </c>
      <c r="BB63" s="13">
        <f>VLOOKUP(A63,'Données projet'!$A$87:$I$107,9,0)</f>
        <v>10.6</v>
      </c>
      <c r="BC63" s="13">
        <f t="array" ref="BC63">INDEX(BB:BB,MIN(IF(ISNUMBER(BB63:BB259),ROW(BB63:BB259),"")))</f>
        <v>10.6</v>
      </c>
      <c r="BD63" s="13">
        <f>IF(A63&lt;'Données projet'!$A$88,$BA$205^A63,IF(A63='Données projet'!$A$88,'Données projet'!$B$88,BD62+BC63-BL62))</f>
        <v>302.00000000000006</v>
      </c>
      <c r="BE63" s="14">
        <f>BD63*VLOOKUP('Données projet'!$B$11,Paramètres!$A$1:$I$88,3,0)*VLOOKUP('Données projet'!$B$11,Paramètres!$A$1:$I$88,5,0)</f>
        <v>263.82720000000012</v>
      </c>
      <c r="BF63" s="14">
        <f t="shared" si="45"/>
        <v>63.537487231538819</v>
      </c>
      <c r="BG63" s="22">
        <f t="shared" si="9"/>
        <v>570.16016359493028</v>
      </c>
      <c r="BH63" s="62">
        <f t="shared" si="10"/>
        <v>863.49349692826354</v>
      </c>
      <c r="BI63" s="62">
        <f ca="1">AVERAGE(OFFSET($BH$3,0,0,'Données projet'!$E$11+1,1))-AVERAGE(OFFSET($H$3,0,0,'Données projet'!$E$11+1,1))</f>
        <v>348.65374983303883</v>
      </c>
      <c r="BJ63" s="62">
        <f t="shared" si="11"/>
        <v>312.05848669315151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63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310</v>
      </c>
      <c r="BW63" s="13">
        <f>VLOOKUP(A63,'Données projet'!$A$113:$I$133,9,0)</f>
        <v>6.2799999999999958</v>
      </c>
      <c r="BX63" s="13">
        <f t="array" ref="BX63">INDEX(BW:BW,MIN(IF(ISNUMBER(BW63:BW259),ROW(BW63:BW259),"")))</f>
        <v>6.2799999999999958</v>
      </c>
      <c r="BY63" s="13">
        <f>IF(A63&lt;'Données projet'!$A$114,$BV$205^A63,IF(A63='Données projet'!$A$114,'Données projet'!$B$114,BY62+BX63-CG62))</f>
        <v>309.99999999999983</v>
      </c>
      <c r="BZ63" s="14">
        <f>BY63*VLOOKUP('Données projet'!$B$12,Paramètres!$A$1:$I$88,3,0)*VLOOKUP('Données projet'!$B$12,Paramètres!$A$1:$I$88,5,0)</f>
        <v>227.29199999999986</v>
      </c>
      <c r="CA63" s="14">
        <f t="shared" si="46"/>
        <v>55.69674561748365</v>
      </c>
      <c r="CB63" s="22">
        <f t="shared" si="13"/>
        <v>492.8720652837838</v>
      </c>
      <c r="CC63" s="62">
        <f t="shared" si="14"/>
        <v>786.20539861711711</v>
      </c>
      <c r="CD63" s="62">
        <f ca="1">AVERAGE(OFFSET($CC$3,0,0,'Données projet'!$E$12+1,1))-AVERAGE(OFFSET($H$3,0,0,'Données projet'!$E$12+1,1))</f>
        <v>264.06656596707364</v>
      </c>
      <c r="CE63" s="62">
        <f t="shared" si="15"/>
        <v>315.34415130230195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30.2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5.6843418860808015E-14</v>
      </c>
      <c r="CU63" s="18">
        <f>CT63*VLOOKUP('Données projet'!$B$13,Paramètres!$A$1:$I$88,3,0)*VLOOKUP('Données projet'!$B$13,Paramètres!$A$1:$I$88,5,0)</f>
        <v>3.3992364478763198E-14</v>
      </c>
      <c r="CV63" s="14">
        <f t="shared" si="47"/>
        <v>5.790027782444094E-13</v>
      </c>
      <c r="CW63" s="22">
        <f t="shared" si="17"/>
        <v>1.0676332069095257E-12</v>
      </c>
      <c r="CX63" s="62">
        <f t="shared" si="18"/>
        <v>293.33333333333439</v>
      </c>
      <c r="CY63" s="62">
        <f ca="1">AVERAGE(OFFSET($CX$3,0,0,'Données projet'!$E$13+1,1))-AVERAGE(OFFSET($H$3,0,0,'Données projet'!$E$13+1,1))</f>
        <v>162.29089122912319</v>
      </c>
      <c r="CZ63" s="62">
        <f t="shared" si="19"/>
        <v>253.15422514195427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5.8308919267023969</v>
      </c>
      <c r="DG63" s="23">
        <f>EXP(-LN(2)/25)*DG62+(1-EXP(-LN(2)/25))/(LN(2)/25)*Calculateur!DB63*Calculateur!DD63*VLOOKUP('Données projet'!$B$9,Paramètres!$A$1:$I$88,3,0)*0.475*44/12</f>
        <v>2.3104885971955191</v>
      </c>
      <c r="DH63" s="23">
        <f>EXP(-LN(2)/2)*DH62+(1-EXP(-LN(2)/2))/(LN(2)/2)*DB63*DE63*VLOOKUP('Données projet'!$B$9,Paramètres!$A$1:$I$88,3,0)*0.475*44/12</f>
        <v>7.1292157391518554E-5</v>
      </c>
      <c r="DI63" s="24">
        <f t="shared" si="20"/>
        <v>8.1414518160553069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310</v>
      </c>
      <c r="DM63" s="13">
        <f>VLOOKUP(A63,'Données projet'!$A$165:$I$185,9,0)</f>
        <v>6.2799999999999958</v>
      </c>
      <c r="DN63" s="13">
        <f t="array" ref="DN63">INDEX(DM:DM,MIN(IF(ISNUMBER(DM63:DM259),ROW(DM63:DM259),"")))</f>
        <v>6.2799999999999958</v>
      </c>
      <c r="DO63" s="13">
        <f>IF(A63&lt;'Données projet'!$A$166,$DL$205^A63,IF(A63='Données projet'!$A$166,'Données projet'!$B$166,DO62+DN63-DW62))</f>
        <v>309.99999999999983</v>
      </c>
      <c r="DP63" s="18">
        <f>DO63*VLOOKUP('Données projet'!$B$14,Paramètres!$A$1:$I$88,3,0)*VLOOKUP('Données projet'!$B$14,Paramètres!$A$1:$I$88,5,0)</f>
        <v>246.63599999999985</v>
      </c>
      <c r="DQ63" s="14">
        <f t="shared" si="48"/>
        <v>59.865023903294535</v>
      </c>
      <c r="DR63" s="22">
        <f t="shared" si="21"/>
        <v>533.8226166315709</v>
      </c>
      <c r="DS63" s="62">
        <f t="shared" si="22"/>
        <v>827.15594996490427</v>
      </c>
      <c r="DT63" s="62">
        <f ca="1">AVERAGE(OFFSET($DS$3,0,0,'Données projet'!$E$14+1,1))-AVERAGE(OFFSET($H$3,0,0,'Données projet'!$E$14+1,1))</f>
        <v>290.20755061064017</v>
      </c>
      <c r="DU63" s="62">
        <f t="shared" si="23"/>
        <v>343.54750327717181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30.2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25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4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22.7</v>
      </c>
      <c r="N64" s="14">
        <f>IF(A64&lt;'Données projet'!$A$36,$K$205^A64,IF(A64='Données projet'!$A$36,'Données projet'!$B$36,N63+M64-V63))</f>
        <v>426.6999999999997</v>
      </c>
      <c r="O64" s="14">
        <f>N64*VLOOKUP('Données projet'!$B$9,Paramètres!$A$1:$I$88,3,0)*VLOOKUP('Données projet'!$B$9,Paramètres!$A$1:$I$88,5,0)</f>
        <v>199.69559999999984</v>
      </c>
      <c r="P64" s="14">
        <f t="shared" si="43"/>
        <v>49.677263889452327</v>
      </c>
      <c r="Q64" s="22">
        <f t="shared" si="53"/>
        <v>434.32440460746255</v>
      </c>
      <c r="R64" s="62">
        <f t="shared" si="0"/>
        <v>727.65773794079587</v>
      </c>
      <c r="S64" s="62">
        <f ca="1">AVERAGE(OFFSET($R$3,0,0,'Données projet'!$E$9+1,1))-AVERAGE(OFFSET($H$3,0,0,'Données projet'!$E$9+1,1))</f>
        <v>300.03481708703549</v>
      </c>
      <c r="T64" s="62">
        <f t="shared" si="3"/>
        <v>102.6350860969182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IF(A64&lt;'Données projet'!$A$62,$AF$205^A64,IF(A64='Données projet'!$A$62,'Données projet'!$B$62,AI63+AH64-AQ63))</f>
        <v>-2.2737367544323206E-13</v>
      </c>
      <c r="AJ64" s="14">
        <f>AI64*VLOOKUP('Données projet'!$B$10,Paramètres!$A$1:$I$88,3,0)*VLOOKUP('Données projet'!$B$10,Paramètres!$A$1:$I$88,5,0)</f>
        <v>-1.2710188457276673E-13</v>
      </c>
      <c r="AK64" s="14" t="e">
        <f t="shared" si="44"/>
        <v>#NUM!</v>
      </c>
      <c r="AL64" s="22" t="e">
        <f t="shared" si="5"/>
        <v>#NUM!</v>
      </c>
      <c r="AM64" s="62" t="e">
        <f t="shared" si="6"/>
        <v>#NUM!</v>
      </c>
      <c r="AN64" s="62">
        <f ca="1">AVERAGE(OFFSET($AM$3,0,0,'Données projet'!$E$10+1,1))-AVERAGE(OFFSET($H$3,0,0,'Données projet'!$E$10+1,1))</f>
        <v>328.27336939084597</v>
      </c>
      <c r="AO64" s="62">
        <f t="shared" si="7"/>
        <v>448.79354389108755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2.9198962368106347</v>
      </c>
      <c r="AV64" s="23">
        <f>EXP(-LN(2)/25)*AV63+(1-EXP(-LN(2)/25))/(LN(2)/25)*Calculateur!AQ64*Calculateur!AS64*VLOOKUP('Données projet'!$B$9,Paramètres!$A$1:$I$88,3,0)*0.475*44/12</f>
        <v>5.8268236055452256</v>
      </c>
      <c r="AW64" s="23">
        <f>EXP(-LN(2)/2)*AW63+(1-EXP(-LN(2)/2))/(LN(2)/2)*AQ64*AT64*VLOOKUP('Données projet'!$B$9,Paramètres!$A$1:$I$88,3,0)*0.475*44/12</f>
        <v>3.1435889728426592E-4</v>
      </c>
      <c r="AX64" s="23">
        <f t="shared" si="8"/>
        <v>8.747034201253145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10.199999999999999</v>
      </c>
      <c r="BD64" s="13">
        <f>IF(A64&lt;'Données projet'!$A$88,$BA$205^A64,IF(A64='Données projet'!$A$88,'Données projet'!$B$88,BD63+BC64-BL63))</f>
        <v>249.20000000000005</v>
      </c>
      <c r="BE64" s="14">
        <f>BD64*VLOOKUP('Données projet'!$B$11,Paramètres!$A$1:$I$88,3,0)*VLOOKUP('Données projet'!$B$11,Paramètres!$A$1:$I$88,5,0)</f>
        <v>217.70112000000009</v>
      </c>
      <c r="BF64" s="14">
        <f t="shared" si="45"/>
        <v>53.614930456328594</v>
      </c>
      <c r="BG64" s="22">
        <f t="shared" si="9"/>
        <v>472.54212121143911</v>
      </c>
      <c r="BH64" s="62">
        <f t="shared" si="10"/>
        <v>765.87545454477242</v>
      </c>
      <c r="BI64" s="62">
        <f ca="1">AVERAGE(OFFSET($BH$3,0,0,'Données projet'!$E$11+1,1))-AVERAGE(OFFSET($H$3,0,0,'Données projet'!$E$11+1,1))</f>
        <v>348.65374983303883</v>
      </c>
      <c r="BJ64" s="62">
        <f t="shared" si="11"/>
        <v>312.05848669315151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5.2399999999999975</v>
      </c>
      <c r="BY64" s="13">
        <f>IF(A64&lt;'Données projet'!$A$114,$BV$205^A64,IF(A64='Données projet'!$A$114,'Données projet'!$B$114,BY63+BX64-CG63))</f>
        <v>285.03999999999985</v>
      </c>
      <c r="BZ64" s="14">
        <f>BY64*VLOOKUP('Données projet'!$B$12,Paramètres!$A$1:$I$88,3,0)*VLOOKUP('Données projet'!$B$12,Paramètres!$A$1:$I$88,5,0)</f>
        <v>208.9913279999999</v>
      </c>
      <c r="CA64" s="14">
        <f t="shared" si="46"/>
        <v>51.715103760424256</v>
      </c>
      <c r="CB64" s="22">
        <f t="shared" si="13"/>
        <v>454.06370198273868</v>
      </c>
      <c r="CC64" s="62">
        <f t="shared" si="14"/>
        <v>747.39703531607199</v>
      </c>
      <c r="CD64" s="62">
        <f ca="1">AVERAGE(OFFSET($CC$3,0,0,'Données projet'!$E$12+1,1))-AVERAGE(OFFSET($H$3,0,0,'Données projet'!$E$12+1,1))</f>
        <v>264.06656596707364</v>
      </c>
      <c r="CE64" s="62">
        <f t="shared" si="15"/>
        <v>315.34415130230195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5.6843418860808015E-14</v>
      </c>
      <c r="CU64" s="18">
        <f>CT64*VLOOKUP('Données projet'!$B$13,Paramètres!$A$1:$I$88,3,0)*VLOOKUP('Données projet'!$B$13,Paramètres!$A$1:$I$88,5,0)</f>
        <v>3.3992364478763198E-14</v>
      </c>
      <c r="CV64" s="14">
        <f t="shared" si="47"/>
        <v>5.790027782444094E-13</v>
      </c>
      <c r="CW64" s="22">
        <f t="shared" si="17"/>
        <v>1.0676332069095257E-12</v>
      </c>
      <c r="CX64" s="62">
        <f t="shared" si="18"/>
        <v>293.33333333333439</v>
      </c>
      <c r="CY64" s="62">
        <f ca="1">AVERAGE(OFFSET($CX$3,0,0,'Données projet'!$E$13+1,1))-AVERAGE(OFFSET($H$3,0,0,'Données projet'!$E$13+1,1))</f>
        <v>162.29089122912319</v>
      </c>
      <c r="CZ64" s="62">
        <f t="shared" si="19"/>
        <v>253.15422514195427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5.716551692512664</v>
      </c>
      <c r="DG64" s="23">
        <f>EXP(-LN(2)/25)*DG63+(1-EXP(-LN(2)/25))/(LN(2)/25)*Calculateur!DB64*Calculateur!DD64*VLOOKUP('Données projet'!$B$9,Paramètres!$A$1:$I$88,3,0)*0.475*44/12</f>
        <v>2.2473081650018929</v>
      </c>
      <c r="DH64" s="23">
        <f>EXP(-LN(2)/2)*DH63+(1-EXP(-LN(2)/2))/(LN(2)/2)*DB64*DE64*VLOOKUP('Données projet'!$B$9,Paramètres!$A$1:$I$88,3,0)*0.475*44/12</f>
        <v>5.0411167936961418E-5</v>
      </c>
      <c r="DI64" s="24">
        <f t="shared" si="20"/>
        <v>7.9639102686824934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5.2399999999999975</v>
      </c>
      <c r="DO64" s="13">
        <f>IF(A64&lt;'Données projet'!$A$166,$DL$205^A64,IF(A64='Données projet'!$A$166,'Données projet'!$B$166,DO63+DN64-DW63))</f>
        <v>285.03999999999985</v>
      </c>
      <c r="DP64" s="18">
        <f>DO64*VLOOKUP('Données projet'!$B$14,Paramètres!$A$1:$I$88,3,0)*VLOOKUP('Données projet'!$B$14,Paramètres!$A$1:$I$88,5,0)</f>
        <v>226.7778239999999</v>
      </c>
      <c r="DQ64" s="14">
        <f t="shared" si="48"/>
        <v>55.585400699018884</v>
      </c>
      <c r="DR64" s="22">
        <f t="shared" si="21"/>
        <v>491.78261635079099</v>
      </c>
      <c r="DS64" s="62">
        <f t="shared" si="22"/>
        <v>785.1159496841243</v>
      </c>
      <c r="DT64" s="62">
        <f ca="1">AVERAGE(OFFSET($DS$3,0,0,'Données projet'!$E$14+1,1))-AVERAGE(OFFSET($H$3,0,0,'Données projet'!$E$14+1,1))</f>
        <v>290.20755061064017</v>
      </c>
      <c r="DU64" s="62">
        <f t="shared" si="23"/>
        <v>343.54750327717181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25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4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22.7</v>
      </c>
      <c r="N65" s="14">
        <f>IF(A65&lt;'Données projet'!$A$36,$K$205^A65,IF(A65='Données projet'!$A$36,'Données projet'!$B$36,N64+M65-V64))</f>
        <v>449.39999999999969</v>
      </c>
      <c r="O65" s="14">
        <f>N65*VLOOKUP('Données projet'!$B$9,Paramètres!$A$1:$I$88,3,0)*VLOOKUP('Données projet'!$B$9,Paramètres!$A$1:$I$88,5,0)</f>
        <v>210.31919999999985</v>
      </c>
      <c r="P65" s="14">
        <f t="shared" si="43"/>
        <v>52.005332762093687</v>
      </c>
      <c r="Q65" s="22">
        <f t="shared" si="53"/>
        <v>456.88189456064629</v>
      </c>
      <c r="R65" s="62">
        <f t="shared" si="0"/>
        <v>750.21522789397955</v>
      </c>
      <c r="S65" s="62">
        <f ca="1">AVERAGE(OFFSET($R$3,0,0,'Données projet'!$E$9+1,1))-AVERAGE(OFFSET($H$3,0,0,'Données projet'!$E$9+1,1))</f>
        <v>300.03481708703549</v>
      </c>
      <c r="T65" s="62">
        <f t="shared" si="3"/>
        <v>102.6350860969182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IF(A65&lt;'Données projet'!$A$62,$AF$205^A65,IF(A65='Données projet'!$A$62,'Données projet'!$B$62,AI64+AH65-AQ64))</f>
        <v>-2.2737367544323206E-13</v>
      </c>
      <c r="AJ65" s="14">
        <f>AI65*VLOOKUP('Données projet'!$B$10,Paramètres!$A$1:$I$88,3,0)*VLOOKUP('Données projet'!$B$10,Paramètres!$A$1:$I$88,5,0)</f>
        <v>-1.2710188457276673E-13</v>
      </c>
      <c r="AK65" s="14" t="e">
        <f t="shared" si="44"/>
        <v>#NUM!</v>
      </c>
      <c r="AL65" s="22" t="e">
        <f t="shared" si="5"/>
        <v>#NUM!</v>
      </c>
      <c r="AM65" s="62" t="e">
        <f t="shared" si="6"/>
        <v>#NUM!</v>
      </c>
      <c r="AN65" s="62">
        <f ca="1">AVERAGE(OFFSET($AM$3,0,0,'Données projet'!$E$10+1,1))-AVERAGE(OFFSET($H$3,0,0,'Données projet'!$E$10+1,1))</f>
        <v>328.27336939084597</v>
      </c>
      <c r="AO65" s="62">
        <f t="shared" si="7"/>
        <v>448.79354389108755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2.8626388525676272</v>
      </c>
      <c r="AV65" s="23">
        <f>EXP(-LN(2)/25)*AV64+(1-EXP(-LN(2)/25))/(LN(2)/25)*Calculateur!AQ65*Calculateur!AS65*VLOOKUP('Données projet'!$B$9,Paramètres!$A$1:$I$88,3,0)*0.475*44/12</f>
        <v>5.6674888076322558</v>
      </c>
      <c r="AW65" s="23">
        <f>EXP(-LN(2)/2)*AW64+(1-EXP(-LN(2)/2))/(LN(2)/2)*AQ65*AT65*VLOOKUP('Données projet'!$B$9,Paramètres!$A$1:$I$88,3,0)*0.475*44/12</f>
        <v>2.2228530799602979E-4</v>
      </c>
      <c r="AX65" s="23">
        <f t="shared" si="8"/>
        <v>8.5303499455078793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10.199999999999999</v>
      </c>
      <c r="BD65" s="13">
        <f>IF(A65&lt;'Données projet'!$A$88,$BA$205^A65,IF(A65='Données projet'!$A$88,'Données projet'!$B$88,BD64+BC65-BL64))</f>
        <v>259.40000000000003</v>
      </c>
      <c r="BE65" s="14">
        <f>BD65*VLOOKUP('Données projet'!$B$11,Paramètres!$A$1:$I$88,3,0)*VLOOKUP('Données projet'!$B$11,Paramètres!$A$1:$I$88,5,0)</f>
        <v>226.61184000000006</v>
      </c>
      <c r="BF65" s="14">
        <f t="shared" si="45"/>
        <v>55.549450558262414</v>
      </c>
      <c r="BG65" s="22">
        <f t="shared" si="9"/>
        <v>491.4309143889738</v>
      </c>
      <c r="BH65" s="62">
        <f t="shared" si="10"/>
        <v>784.76424772230712</v>
      </c>
      <c r="BI65" s="62">
        <f ca="1">AVERAGE(OFFSET($BH$3,0,0,'Données projet'!$E$11+1,1))-AVERAGE(OFFSET($H$3,0,0,'Données projet'!$E$11+1,1))</f>
        <v>348.65374983303883</v>
      </c>
      <c r="BJ65" s="62">
        <f t="shared" si="11"/>
        <v>312.05848669315151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5.2399999999999975</v>
      </c>
      <c r="BY65" s="13">
        <f>IF(A65&lt;'Données projet'!$A$114,$BV$205^A65,IF(A65='Données projet'!$A$114,'Données projet'!$B$114,BY64+BX65-CG64))</f>
        <v>290.27999999999986</v>
      </c>
      <c r="BZ65" s="14">
        <f>BY65*VLOOKUP('Données projet'!$B$12,Paramètres!$A$1:$I$88,3,0)*VLOOKUP('Données projet'!$B$12,Paramètres!$A$1:$I$88,5,0)</f>
        <v>212.83329599999988</v>
      </c>
      <c r="CA65" s="14">
        <f t="shared" si="46"/>
        <v>52.554248411686309</v>
      </c>
      <c r="CB65" s="22">
        <f t="shared" si="13"/>
        <v>462.21663985035343</v>
      </c>
      <c r="CC65" s="62">
        <f t="shared" si="14"/>
        <v>755.54997318368669</v>
      </c>
      <c r="CD65" s="62">
        <f ca="1">AVERAGE(OFFSET($CC$3,0,0,'Données projet'!$E$12+1,1))-AVERAGE(OFFSET($H$3,0,0,'Données projet'!$E$12+1,1))</f>
        <v>264.06656596707364</v>
      </c>
      <c r="CE65" s="62">
        <f t="shared" si="15"/>
        <v>315.34415130230195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5.6843418860808015E-14</v>
      </c>
      <c r="CU65" s="18">
        <f>CT65*VLOOKUP('Données projet'!$B$13,Paramètres!$A$1:$I$88,3,0)*VLOOKUP('Données projet'!$B$13,Paramètres!$A$1:$I$88,5,0)</f>
        <v>3.3992364478763198E-14</v>
      </c>
      <c r="CV65" s="14">
        <f t="shared" si="47"/>
        <v>5.790027782444094E-13</v>
      </c>
      <c r="CW65" s="22">
        <f t="shared" si="17"/>
        <v>1.0676332069095257E-12</v>
      </c>
      <c r="CX65" s="62">
        <f t="shared" si="18"/>
        <v>293.33333333333439</v>
      </c>
      <c r="CY65" s="62">
        <f ca="1">AVERAGE(OFFSET($CX$3,0,0,'Données projet'!$E$13+1,1))-AVERAGE(OFFSET($H$3,0,0,'Données projet'!$E$13+1,1))</f>
        <v>162.29089122912319</v>
      </c>
      <c r="CZ65" s="62">
        <f t="shared" si="19"/>
        <v>253.15422514195427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5.6044536005747352</v>
      </c>
      <c r="DG65" s="23">
        <f>EXP(-LN(2)/25)*DG64+(1-EXP(-LN(2)/25))/(LN(2)/25)*Calculateur!DB65*Calculateur!DD65*VLOOKUP('Données projet'!$B$9,Paramètres!$A$1:$I$88,3,0)*0.475*44/12</f>
        <v>2.1858554050491161</v>
      </c>
      <c r="DH65" s="23">
        <f>EXP(-LN(2)/2)*DH64+(1-EXP(-LN(2)/2))/(LN(2)/2)*DB65*DE65*VLOOKUP('Données projet'!$B$9,Paramètres!$A$1:$I$88,3,0)*0.475*44/12</f>
        <v>3.5646078695759277E-5</v>
      </c>
      <c r="DI65" s="24">
        <f t="shared" si="20"/>
        <v>7.7903446517025472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5.2399999999999975</v>
      </c>
      <c r="DO65" s="13">
        <f>IF(A65&lt;'Données projet'!$A$166,$DL$205^A65,IF(A65='Données projet'!$A$166,'Données projet'!$B$166,DO64+DN65-DW64))</f>
        <v>290.27999999999986</v>
      </c>
      <c r="DP65" s="18">
        <f>DO65*VLOOKUP('Données projet'!$B$14,Paramètres!$A$1:$I$88,3,0)*VLOOKUP('Données projet'!$B$14,Paramètres!$A$1:$I$88,5,0)</f>
        <v>230.94676799999991</v>
      </c>
      <c r="DQ65" s="14">
        <f t="shared" si="48"/>
        <v>56.487345939251334</v>
      </c>
      <c r="DR65" s="22">
        <f t="shared" si="21"/>
        <v>500.61441511086258</v>
      </c>
      <c r="DS65" s="62">
        <f t="shared" si="22"/>
        <v>793.94774844419589</v>
      </c>
      <c r="DT65" s="62">
        <f ca="1">AVERAGE(OFFSET($DS$3,0,0,'Données projet'!$E$14+1,1))-AVERAGE(OFFSET($H$3,0,0,'Données projet'!$E$14+1,1))</f>
        <v>290.20755061064017</v>
      </c>
      <c r="DU65" s="62">
        <f t="shared" si="23"/>
        <v>343.54750327717181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25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4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22.7</v>
      </c>
      <c r="N66" s="14">
        <f>IF(A66&lt;'Données projet'!$A$36,$K$205^A66,IF(A66='Données projet'!$A$36,'Données projet'!$B$36,N65+M66-V65))</f>
        <v>472.09999999999968</v>
      </c>
      <c r="O66" s="14">
        <f>N66*VLOOKUP('Données projet'!$B$9,Paramètres!$A$1:$I$88,3,0)*VLOOKUP('Données projet'!$B$9,Paramètres!$A$1:$I$88,5,0)</f>
        <v>220.94279999999983</v>
      </c>
      <c r="P66" s="14">
        <f t="shared" si="43"/>
        <v>54.31974761568528</v>
      </c>
      <c r="Q66" s="22">
        <f t="shared" si="53"/>
        <v>479.41560376398479</v>
      </c>
      <c r="R66" s="62">
        <f t="shared" si="0"/>
        <v>772.74893709731805</v>
      </c>
      <c r="S66" s="62">
        <f ca="1">AVERAGE(OFFSET($R$3,0,0,'Données projet'!$E$9+1,1))-AVERAGE(OFFSET($H$3,0,0,'Données projet'!$E$9+1,1))</f>
        <v>300.03481708703549</v>
      </c>
      <c r="T66" s="62">
        <f t="shared" si="3"/>
        <v>102.6350860969182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IF(A66&lt;'Données projet'!$A$62,$AF$205^A66,IF(A66='Données projet'!$A$62,'Données projet'!$B$62,AI65+AH66-AQ65))</f>
        <v>-2.2737367544323206E-13</v>
      </c>
      <c r="AJ66" s="14">
        <f>AI66*VLOOKUP('Données projet'!$B$10,Paramètres!$A$1:$I$88,3,0)*VLOOKUP('Données projet'!$B$10,Paramètres!$A$1:$I$88,5,0)</f>
        <v>-1.2710188457276673E-13</v>
      </c>
      <c r="AK66" s="14" t="e">
        <f t="shared" si="44"/>
        <v>#NUM!</v>
      </c>
      <c r="AL66" s="22" t="e">
        <f t="shared" si="5"/>
        <v>#NUM!</v>
      </c>
      <c r="AM66" s="62" t="e">
        <f t="shared" si="6"/>
        <v>#NUM!</v>
      </c>
      <c r="AN66" s="62">
        <f ca="1">AVERAGE(OFFSET($AM$3,0,0,'Données projet'!$E$10+1,1))-AVERAGE(OFFSET($H$3,0,0,'Données projet'!$E$10+1,1))</f>
        <v>328.27336939084597</v>
      </c>
      <c r="AO66" s="62">
        <f t="shared" si="7"/>
        <v>448.79354389108755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2.8065042507060691</v>
      </c>
      <c r="AV66" s="23">
        <f>EXP(-LN(2)/25)*AV65+(1-EXP(-LN(2)/25))/(LN(2)/25)*Calculateur!AQ66*Calculateur!AS66*VLOOKUP('Données projet'!$B$9,Paramètres!$A$1:$I$88,3,0)*0.475*44/12</f>
        <v>5.5125110281472685</v>
      </c>
      <c r="AW66" s="23">
        <f>EXP(-LN(2)/2)*AW65+(1-EXP(-LN(2)/2))/(LN(2)/2)*AQ66*AT66*VLOOKUP('Données projet'!$B$9,Paramètres!$A$1:$I$88,3,0)*0.475*44/12</f>
        <v>1.5717944864213296E-4</v>
      </c>
      <c r="AX66" s="23">
        <f t="shared" si="8"/>
        <v>8.3191724583019795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10.199999999999999</v>
      </c>
      <c r="BD66" s="13">
        <f>IF(A66&lt;'Données projet'!$A$88,$BA$205^A66,IF(A66='Données projet'!$A$88,'Données projet'!$B$88,BD65+BC66-BL65))</f>
        <v>269.60000000000002</v>
      </c>
      <c r="BE66" s="14">
        <f>BD66*VLOOKUP('Données projet'!$B$11,Paramètres!$A$1:$I$88,3,0)*VLOOKUP('Données projet'!$B$11,Paramètres!$A$1:$I$88,5,0)</f>
        <v>235.52256000000006</v>
      </c>
      <c r="BF66" s="14">
        <f t="shared" si="45"/>
        <v>57.475134142782117</v>
      </c>
      <c r="BG66" s="22">
        <f t="shared" si="9"/>
        <v>510.30431729867888</v>
      </c>
      <c r="BH66" s="62">
        <f t="shared" si="10"/>
        <v>803.6376506320122</v>
      </c>
      <c r="BI66" s="62">
        <f ca="1">AVERAGE(OFFSET($BH$3,0,0,'Données projet'!$E$11+1,1))-AVERAGE(OFFSET($H$3,0,0,'Données projet'!$E$11+1,1))</f>
        <v>348.65374983303883</v>
      </c>
      <c r="BJ66" s="62">
        <f t="shared" si="11"/>
        <v>312.05848669315151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5.2399999999999975</v>
      </c>
      <c r="BY66" s="13">
        <f>IF(A66&lt;'Données projet'!$A$114,$BV$205^A66,IF(A66='Données projet'!$A$114,'Données projet'!$B$114,BY65+BX66-CG65))</f>
        <v>295.51999999999987</v>
      </c>
      <c r="BZ66" s="14">
        <f>BY66*VLOOKUP('Données projet'!$B$12,Paramètres!$A$1:$I$88,3,0)*VLOOKUP('Données projet'!$B$12,Paramètres!$A$1:$I$88,5,0)</f>
        <v>216.67526399999991</v>
      </c>
      <c r="CA66" s="14">
        <f t="shared" si="46"/>
        <v>53.391631603175213</v>
      </c>
      <c r="CB66" s="22">
        <f t="shared" si="13"/>
        <v>470.36650984219659</v>
      </c>
      <c r="CC66" s="62">
        <f t="shared" si="14"/>
        <v>763.69984317552985</v>
      </c>
      <c r="CD66" s="62">
        <f ca="1">AVERAGE(OFFSET($CC$3,0,0,'Données projet'!$E$12+1,1))-AVERAGE(OFFSET($H$3,0,0,'Données projet'!$E$12+1,1))</f>
        <v>264.06656596707364</v>
      </c>
      <c r="CE66" s="62">
        <f t="shared" si="15"/>
        <v>315.34415130230195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5.6843418860808015E-14</v>
      </c>
      <c r="CU66" s="18">
        <f>CT66*VLOOKUP('Données projet'!$B$13,Paramètres!$A$1:$I$88,3,0)*VLOOKUP('Données projet'!$B$13,Paramètres!$A$1:$I$88,5,0)</f>
        <v>3.3992364478763198E-14</v>
      </c>
      <c r="CV66" s="14">
        <f t="shared" si="47"/>
        <v>5.790027782444094E-13</v>
      </c>
      <c r="CW66" s="22">
        <f t="shared" si="17"/>
        <v>1.0676332069095257E-12</v>
      </c>
      <c r="CX66" s="62">
        <f t="shared" si="18"/>
        <v>293.33333333333439</v>
      </c>
      <c r="CY66" s="62">
        <f ca="1">AVERAGE(OFFSET($CX$3,0,0,'Données projet'!$E$13+1,1))-AVERAGE(OFFSET($H$3,0,0,'Données projet'!$E$13+1,1))</f>
        <v>162.29089122912319</v>
      </c>
      <c r="CZ66" s="62">
        <f t="shared" si="19"/>
        <v>253.15422514195427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5.4945536838466245</v>
      </c>
      <c r="DG66" s="23">
        <f>EXP(-LN(2)/25)*DG65+(1-EXP(-LN(2)/25))/(LN(2)/25)*Calculateur!DB66*Calculateur!DD66*VLOOKUP('Données projet'!$B$9,Paramètres!$A$1:$I$88,3,0)*0.475*44/12</f>
        <v>2.1260830740489083</v>
      </c>
      <c r="DH66" s="23">
        <f>EXP(-LN(2)/2)*DH65+(1-EXP(-LN(2)/2))/(LN(2)/2)*DB66*DE66*VLOOKUP('Données projet'!$B$9,Paramètres!$A$1:$I$88,3,0)*0.475*44/12</f>
        <v>2.5205583968480709E-5</v>
      </c>
      <c r="DI66" s="24">
        <f t="shared" si="20"/>
        <v>7.6206619634795008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5.2399999999999975</v>
      </c>
      <c r="DO66" s="13">
        <f>IF(A66&lt;'Données projet'!$A$166,$DL$205^A66,IF(A66='Données projet'!$A$166,'Données projet'!$B$166,DO65+DN66-DW65))</f>
        <v>295.51999999999987</v>
      </c>
      <c r="DP66" s="18">
        <f>DO66*VLOOKUP('Données projet'!$B$14,Paramètres!$A$1:$I$88,3,0)*VLOOKUP('Données projet'!$B$14,Paramètres!$A$1:$I$88,5,0)</f>
        <v>235.11571199999989</v>
      </c>
      <c r="DQ66" s="14">
        <f t="shared" si="48"/>
        <v>57.387397894153374</v>
      </c>
      <c r="DR66" s="22">
        <f t="shared" si="21"/>
        <v>509.44291639898364</v>
      </c>
      <c r="DS66" s="62">
        <f t="shared" si="22"/>
        <v>802.77624973231696</v>
      </c>
      <c r="DT66" s="62">
        <f ca="1">AVERAGE(OFFSET($DS$3,0,0,'Données projet'!$E$14+1,1))-AVERAGE(OFFSET($H$3,0,0,'Données projet'!$E$14+1,1))</f>
        <v>290.20755061064017</v>
      </c>
      <c r="DU66" s="62">
        <f t="shared" si="23"/>
        <v>343.54750327717181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25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4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22.7</v>
      </c>
      <c r="N67" s="14">
        <f>IF(A67&lt;'Données projet'!$A$36,$K$205^A67,IF(A67='Données projet'!$A$36,'Données projet'!$B$36,N66+M67-V66))</f>
        <v>494.79999999999967</v>
      </c>
      <c r="O67" s="14">
        <f>N67*VLOOKUP('Données projet'!$B$9,Paramètres!$A$1:$I$88,3,0)*VLOOKUP('Données projet'!$B$9,Paramètres!$A$1:$I$88,5,0)</f>
        <v>231.56639999999985</v>
      </c>
      <c r="P67" s="14">
        <f t="shared" si="43"/>
        <v>56.621239926036594</v>
      </c>
      <c r="Q67" s="22">
        <f t="shared" ref="Q67:Q98" si="54">(O67+P67)*0.475*44/12</f>
        <v>501.92680620451353</v>
      </c>
      <c r="R67" s="62">
        <f t="shared" ref="R67:R130" si="55">Q67+(I67+J67)*44/12</f>
        <v>795.26013953784684</v>
      </c>
      <c r="S67" s="62">
        <f ca="1">AVERAGE(OFFSET($R$3,0,0,'Données projet'!$E$9+1,1))-AVERAGE(OFFSET($H$3,0,0,'Données projet'!$E$9+1,1))</f>
        <v>300.03481708703549</v>
      </c>
      <c r="T67" s="62">
        <f t="shared" ref="T67:T130" si="56">$R$33-$H$33</f>
        <v>102.6350860969182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IF(A67&lt;'Données projet'!$A$62,$AF$205^A67,IF(A67='Données projet'!$A$62,'Données projet'!$B$62,AI66+AH67-AQ66))</f>
        <v>-2.2737367544323206E-13</v>
      </c>
      <c r="AJ67" s="14">
        <f>AI67*VLOOKUP('Données projet'!$B$10,Paramètres!$A$1:$I$88,3,0)*VLOOKUP('Données projet'!$B$10,Paramètres!$A$1:$I$88,5,0)</f>
        <v>-1.2710188457276673E-13</v>
      </c>
      <c r="AK67" s="14" t="e">
        <f t="shared" si="44"/>
        <v>#NUM!</v>
      </c>
      <c r="AL67" s="22" t="e">
        <f t="shared" si="5"/>
        <v>#NUM!</v>
      </c>
      <c r="AM67" s="62" t="e">
        <f t="shared" si="6"/>
        <v>#NUM!</v>
      </c>
      <c r="AN67" s="62">
        <f ca="1">AVERAGE(OFFSET($AM$3,0,0,'Données projet'!$E$10+1,1))-AVERAGE(OFFSET($H$3,0,0,'Données projet'!$E$10+1,1))</f>
        <v>328.27336939084597</v>
      </c>
      <c r="AO67" s="62">
        <f t="shared" si="7"/>
        <v>448.79354389108755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2.7514704141482902</v>
      </c>
      <c r="AV67" s="23">
        <f>EXP(-LN(2)/25)*AV66+(1-EXP(-LN(2)/25))/(LN(2)/25)*Calculateur!AQ67*Calculateur!AS67*VLOOKUP('Données projet'!$B$9,Paramètres!$A$1:$I$88,3,0)*0.475*44/12</f>
        <v>5.3617711241922255</v>
      </c>
      <c r="AW67" s="23">
        <f>EXP(-LN(2)/2)*AW66+(1-EXP(-LN(2)/2))/(LN(2)/2)*AQ67*AT67*VLOOKUP('Données projet'!$B$9,Paramètres!$A$1:$I$88,3,0)*0.475*44/12</f>
        <v>1.111426539980149E-4</v>
      </c>
      <c r="AX67" s="23">
        <f t="shared" si="8"/>
        <v>8.1133526809945131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10.199999999999999</v>
      </c>
      <c r="BD67" s="13">
        <f>IF(A67&lt;'Données projet'!$A$88,$BA$205^A67,IF(A67='Données projet'!$A$88,'Données projet'!$B$88,BD66+BC67-BL66))</f>
        <v>279.8</v>
      </c>
      <c r="BE67" s="14">
        <f>BD67*VLOOKUP('Données projet'!$B$11,Paramètres!$A$1:$I$88,3,0)*VLOOKUP('Données projet'!$B$11,Paramètres!$A$1:$I$88,5,0)</f>
        <v>244.43328000000002</v>
      </c>
      <c r="BF67" s="14">
        <f t="shared" si="45"/>
        <v>59.392353804247691</v>
      </c>
      <c r="BG67" s="22">
        <f t="shared" si="9"/>
        <v>529.16297887573148</v>
      </c>
      <c r="BH67" s="62">
        <f t="shared" si="10"/>
        <v>822.49631220906485</v>
      </c>
      <c r="BI67" s="62">
        <f ca="1">AVERAGE(OFFSET($BH$3,0,0,'Données projet'!$E$11+1,1))-AVERAGE(OFFSET($H$3,0,0,'Données projet'!$E$11+1,1))</f>
        <v>348.65374983303883</v>
      </c>
      <c r="BJ67" s="62">
        <f t="shared" si="11"/>
        <v>312.05848669315151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5.2399999999999975</v>
      </c>
      <c r="BY67" s="13">
        <f>IF(A67&lt;'Données projet'!$A$114,$BV$205^A67,IF(A67='Données projet'!$A$114,'Données projet'!$B$114,BY66+BX67-CG66))</f>
        <v>300.75999999999988</v>
      </c>
      <c r="BZ67" s="14">
        <f>BY67*VLOOKUP('Données projet'!$B$12,Paramètres!$A$1:$I$88,3,0)*VLOOKUP('Données projet'!$B$12,Paramètres!$A$1:$I$88,5,0)</f>
        <v>220.51723199999989</v>
      </c>
      <c r="CA67" s="14">
        <f t="shared" si="46"/>
        <v>54.22728817140964</v>
      </c>
      <c r="CB67" s="22">
        <f t="shared" si="13"/>
        <v>478.51337263187162</v>
      </c>
      <c r="CC67" s="62">
        <f t="shared" si="14"/>
        <v>771.84670596520493</v>
      </c>
      <c r="CD67" s="62">
        <f ca="1">AVERAGE(OFFSET($CC$3,0,0,'Données projet'!$E$12+1,1))-AVERAGE(OFFSET($H$3,0,0,'Données projet'!$E$12+1,1))</f>
        <v>264.06656596707364</v>
      </c>
      <c r="CE67" s="62">
        <f t="shared" si="15"/>
        <v>315.34415130230195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5.6843418860808015E-14</v>
      </c>
      <c r="CU67" s="18">
        <f>CT67*VLOOKUP('Données projet'!$B$13,Paramètres!$A$1:$I$88,3,0)*VLOOKUP('Données projet'!$B$13,Paramètres!$A$1:$I$88,5,0)</f>
        <v>3.3992364478763198E-14</v>
      </c>
      <c r="CV67" s="14">
        <f t="shared" si="47"/>
        <v>5.790027782444094E-13</v>
      </c>
      <c r="CW67" s="22">
        <f t="shared" si="17"/>
        <v>1.0676332069095257E-12</v>
      </c>
      <c r="CX67" s="62">
        <f t="shared" si="18"/>
        <v>293.33333333333439</v>
      </c>
      <c r="CY67" s="62">
        <f ca="1">AVERAGE(OFFSET($CX$3,0,0,'Données projet'!$E$13+1,1))-AVERAGE(OFFSET($H$3,0,0,'Données projet'!$E$13+1,1))</f>
        <v>162.29089122912319</v>
      </c>
      <c r="CZ67" s="62">
        <f t="shared" si="19"/>
        <v>253.15422514195427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5.3868088374532217</v>
      </c>
      <c r="DG67" s="23">
        <f>EXP(-LN(2)/25)*DG66+(1-EXP(-LN(2)/25))/(LN(2)/25)*Calculateur!DB67*Calculateur!DD67*VLOOKUP('Données projet'!$B$9,Paramètres!$A$1:$I$88,3,0)*0.475*44/12</f>
        <v>2.0679452205831912</v>
      </c>
      <c r="DH67" s="23">
        <f>EXP(-LN(2)/2)*DH66+(1-EXP(-LN(2)/2))/(LN(2)/2)*DB67*DE67*VLOOKUP('Données projet'!$B$9,Paramètres!$A$1:$I$88,3,0)*0.475*44/12</f>
        <v>1.7823039347879639E-5</v>
      </c>
      <c r="DI67" s="24">
        <f t="shared" si="20"/>
        <v>7.4547718810757599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5.2399999999999975</v>
      </c>
      <c r="DO67" s="13">
        <f>IF(A67&lt;'Données projet'!$A$166,$DL$205^A67,IF(A67='Données projet'!$A$166,'Données projet'!$B$166,DO66+DN67-DW66))</f>
        <v>300.75999999999988</v>
      </c>
      <c r="DP67" s="18">
        <f>DO67*VLOOKUP('Données projet'!$B$14,Paramètres!$A$1:$I$88,3,0)*VLOOKUP('Données projet'!$B$14,Paramètres!$A$1:$I$88,5,0)</f>
        <v>239.2846559999999</v>
      </c>
      <c r="DQ67" s="14">
        <f t="shared" si="48"/>
        <v>58.285594007367486</v>
      </c>
      <c r="DR67" s="22">
        <f t="shared" si="21"/>
        <v>518.2681854294982</v>
      </c>
      <c r="DS67" s="62">
        <f t="shared" si="22"/>
        <v>811.60151876283157</v>
      </c>
      <c r="DT67" s="62">
        <f ca="1">AVERAGE(OFFSET($DS$3,0,0,'Données projet'!$E$14+1,1))-AVERAGE(OFFSET($H$3,0,0,'Données projet'!$E$14+1,1))</f>
        <v>290.20755061064017</v>
      </c>
      <c r="DU67" s="62">
        <f t="shared" si="23"/>
        <v>343.54750327717181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25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4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7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22.7</v>
      </c>
      <c r="N68" s="14">
        <f>IF(A68&lt;'Données projet'!$A$36,$K$205^A68,IF(A68='Données projet'!$A$36,'Données projet'!$B$36,N67+M68-V67))</f>
        <v>517.49999999999966</v>
      </c>
      <c r="O68" s="14">
        <f>N68*VLOOKUP('Données projet'!$B$9,Paramètres!$A$1:$I$88,3,0)*VLOOKUP('Données projet'!$B$9,Paramètres!$A$1:$I$88,5,0)</f>
        <v>242.18999999999983</v>
      </c>
      <c r="P68" s="14">
        <f t="shared" si="43"/>
        <v>58.910470259429303</v>
      </c>
      <c r="Q68" s="22">
        <f t="shared" si="54"/>
        <v>524.41665236850577</v>
      </c>
      <c r="R68" s="62">
        <f t="shared" si="55"/>
        <v>817.74998570183902</v>
      </c>
      <c r="S68" s="62">
        <f ca="1">AVERAGE(OFFSET($R$3,0,0,'Données projet'!$E$9+1,1))-AVERAGE(OFFSET($H$3,0,0,'Données projet'!$E$9+1,1))</f>
        <v>300.03481708703549</v>
      </c>
      <c r="T68" s="62">
        <f t="shared" si="56"/>
        <v>102.6350860969182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IF(A68&lt;'Données projet'!$A$62,$AF$205^A68,IF(A68='Données projet'!$A$62,'Données projet'!$B$62,AI67+AH68-AQ67))</f>
        <v>-2.2737367544323206E-13</v>
      </c>
      <c r="AJ68" s="14">
        <f>AI68*VLOOKUP('Données projet'!$B$10,Paramètres!$A$1:$I$88,3,0)*VLOOKUP('Données projet'!$B$10,Paramètres!$A$1:$I$88,5,0)</f>
        <v>-1.2710188457276673E-13</v>
      </c>
      <c r="AK68" s="14" t="e">
        <f t="shared" si="44"/>
        <v>#NUM!</v>
      </c>
      <c r="AL68" s="22" t="e">
        <f t="shared" ref="AL68:AL131" si="59">(AJ68+AK68)*0.475*44/12</f>
        <v>#NUM!</v>
      </c>
      <c r="AM68" s="62" t="e">
        <f t="shared" ref="AM68:AM131" si="60">AL68+(AD68+AE68)*44/12</f>
        <v>#NUM!</v>
      </c>
      <c r="AN68" s="62">
        <f ca="1">AVERAGE(OFFSET($AM$3,0,0,'Données projet'!$E$10+1,1))-AVERAGE(OFFSET($H$3,0,0,'Données projet'!$E$10+1,1))</f>
        <v>328.27336939084597</v>
      </c>
      <c r="AO68" s="62">
        <f t="shared" ref="AO68:AO131" si="61">$AM$33-$H$33</f>
        <v>448.79354389108755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2.6975157575580835</v>
      </c>
      <c r="AV68" s="23">
        <f>EXP(-LN(2)/25)*AV67+(1-EXP(-LN(2)/25))/(LN(2)/25)*Calculateur!AQ68*Calculateur!AS68*VLOOKUP('Données projet'!$B$9,Paramètres!$A$1:$I$88,3,0)*0.475*44/12</f>
        <v>5.2151532108379</v>
      </c>
      <c r="AW68" s="23">
        <f>EXP(-LN(2)/2)*AW67+(1-EXP(-LN(2)/2))/(LN(2)/2)*AQ68*AT68*VLOOKUP('Données projet'!$B$9,Paramètres!$A$1:$I$88,3,0)*0.475*44/12</f>
        <v>7.858972432106648E-5</v>
      </c>
      <c r="AX68" s="23">
        <f t="shared" ref="AX68:AX131" si="62">SUM(AU68:AW68)</f>
        <v>7.9127475581203051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290</v>
      </c>
      <c r="BB68" s="13">
        <f>VLOOKUP(A68,'Données projet'!$A$87:$I$107,9,0)</f>
        <v>10.199999999999999</v>
      </c>
      <c r="BC68" s="13">
        <f t="array" ref="BC68">INDEX(BB:BB,MIN(IF(ISNUMBER(BB68:BB264),ROW(BB68:BB264),"")))</f>
        <v>10.199999999999999</v>
      </c>
      <c r="BD68" s="13">
        <f>IF(A68&lt;'Données projet'!$A$88,$BA$205^A68,IF(A68='Données projet'!$A$88,'Données projet'!$B$88,BD67+BC68-BL67))</f>
        <v>290</v>
      </c>
      <c r="BE68" s="14">
        <f>BD68*VLOOKUP('Données projet'!$B$11,Paramètres!$A$1:$I$88,3,0)*VLOOKUP('Données projet'!$B$11,Paramètres!$A$1:$I$88,5,0)</f>
        <v>253.34400000000002</v>
      </c>
      <c r="BF68" s="14">
        <f t="shared" si="45"/>
        <v>61.301453431926305</v>
      </c>
      <c r="BG68" s="22">
        <f t="shared" ref="BG68:BG131" si="63">(BE68+BF68)*0.475*44/12</f>
        <v>548.00749806060503</v>
      </c>
      <c r="BH68" s="62">
        <f t="shared" ref="BH68:BH131" si="64">BG68+(AY68+AZ68)*44/12</f>
        <v>841.34083139393829</v>
      </c>
      <c r="BI68" s="62">
        <f ca="1">AVERAGE(OFFSET($BH$3,0,0,'Données projet'!$E$11+1,1))-AVERAGE(OFFSET($H$3,0,0,'Données projet'!$E$11+1,1))</f>
        <v>348.65374983303883</v>
      </c>
      <c r="BJ68" s="62">
        <f t="shared" ref="BJ68:BJ131" si="65">$BH$33-$H$33</f>
        <v>312.05848669315151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5.2399999999999975</v>
      </c>
      <c r="BX68" s="13">
        <f t="array" ref="BX68">INDEX(BW:BW,MIN(IF(ISNUMBER(BW68:BW264),ROW(BW68:BW264),"")))</f>
        <v>5.2399999999999975</v>
      </c>
      <c r="BY68" s="13">
        <f>IF(A68&lt;'Données projet'!$A$114,$BV$205^A68,IF(A68='Données projet'!$A$114,'Données projet'!$B$114,BY67+BX68-CG67))</f>
        <v>305.99999999999989</v>
      </c>
      <c r="BZ68" s="14">
        <f>BY68*VLOOKUP('Données projet'!$B$12,Paramètres!$A$1:$I$88,3,0)*VLOOKUP('Données projet'!$B$12,Paramètres!$A$1:$I$88,5,0)</f>
        <v>224.3591999999999</v>
      </c>
      <c r="CA68" s="14">
        <f t="shared" si="46"/>
        <v>55.061251669487255</v>
      </c>
      <c r="CB68" s="22">
        <f t="shared" ref="CB68:CB131" si="67">(BZ68+CA68)*0.475*44/12</f>
        <v>486.65728665769001</v>
      </c>
      <c r="CC68" s="62">
        <f t="shared" ref="CC68:CC131" si="68">CB68+(BT68+BU68)*44/12</f>
        <v>779.99061999102332</v>
      </c>
      <c r="CD68" s="62">
        <f ca="1">AVERAGE(OFFSET($CC$3,0,0,'Données projet'!$E$12+1,1))-AVERAGE(OFFSET($H$3,0,0,'Données projet'!$E$12+1,1))</f>
        <v>264.06656596707364</v>
      </c>
      <c r="CE68" s="62">
        <f t="shared" ref="CE68:CE131" si="69">$CC$33-$H$33</f>
        <v>315.34415130230195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5.6843418860808015E-14</v>
      </c>
      <c r="CU68" s="18">
        <f>CT68*VLOOKUP('Données projet'!$B$13,Paramètres!$A$1:$I$88,3,0)*VLOOKUP('Données projet'!$B$13,Paramètres!$A$1:$I$88,5,0)</f>
        <v>3.3992364478763198E-14</v>
      </c>
      <c r="CV68" s="14">
        <f t="shared" si="47"/>
        <v>5.790027782444094E-13</v>
      </c>
      <c r="CW68" s="22">
        <f t="shared" ref="CW68:CW131" si="71">(CU68+CV68)*0.475*44/12</f>
        <v>1.0676332069095257E-12</v>
      </c>
      <c r="CX68" s="62">
        <f t="shared" ref="CX68:CX131" si="72">CW68+(CO68+CP68)*44/12</f>
        <v>293.33333333333439</v>
      </c>
      <c r="CY68" s="62">
        <f ca="1">AVERAGE(OFFSET($CX$3,0,0,'Données projet'!$E$13+1,1))-AVERAGE(OFFSET($H$3,0,0,'Données projet'!$E$13+1,1))</f>
        <v>162.29089122912319</v>
      </c>
      <c r="CZ68" s="62">
        <f t="shared" ref="CZ68:CZ131" si="73">$CX$33-$H$33</f>
        <v>253.15422514195427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5.2811768017797256</v>
      </c>
      <c r="DG68" s="23">
        <f>EXP(-LN(2)/25)*DG67+(1-EXP(-LN(2)/25))/(LN(2)/25)*Calculateur!DB68*Calculateur!DD68*VLOOKUP('Données projet'!$B$9,Paramètres!$A$1:$I$88,3,0)*0.475*44/12</f>
        <v>2.0113971497778311</v>
      </c>
      <c r="DH68" s="23">
        <f>EXP(-LN(2)/2)*DH67+(1-EXP(-LN(2)/2))/(LN(2)/2)*DB68*DE68*VLOOKUP('Données projet'!$B$9,Paramètres!$A$1:$I$88,3,0)*0.475*44/12</f>
        <v>1.2602791984240354E-5</v>
      </c>
      <c r="DI68" s="24">
        <f t="shared" ref="DI68:DI131" si="74">SUM(DF68:DH68)</f>
        <v>7.2925865543495414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5.2399999999999975</v>
      </c>
      <c r="DN68" s="13">
        <f t="array" ref="DN68">INDEX(DM:DM,MIN(IF(ISNUMBER(DM68:DM264),ROW(DM68:DM264),"")))</f>
        <v>5.2399999999999975</v>
      </c>
      <c r="DO68" s="13">
        <f>IF(A68&lt;'Données projet'!$A$166,$DL$205^A68,IF(A68='Données projet'!$A$166,'Données projet'!$B$166,DO67+DN68-DW67))</f>
        <v>305.99999999999989</v>
      </c>
      <c r="DP68" s="18">
        <f>DO68*VLOOKUP('Données projet'!$B$14,Paramètres!$A$1:$I$88,3,0)*VLOOKUP('Données projet'!$B$14,Paramètres!$A$1:$I$88,5,0)</f>
        <v>243.45359999999991</v>
      </c>
      <c r="DQ68" s="14">
        <f t="shared" si="48"/>
        <v>59.181970343065267</v>
      </c>
      <c r="DR68" s="22">
        <f t="shared" ref="DR68:DR131" si="75">(DP68+DQ68)*0.475*44/12</f>
        <v>527.09028501417185</v>
      </c>
      <c r="DS68" s="62">
        <f t="shared" ref="DS68:DS131" si="76">DR68+(DJ68+DK68)*44/12</f>
        <v>820.42361834750523</v>
      </c>
      <c r="DT68" s="62">
        <f ca="1">AVERAGE(OFFSET($DS$3,0,0,'Données projet'!$E$14+1,1))-AVERAGE(OFFSET($H$3,0,0,'Données projet'!$E$14+1,1))</f>
        <v>290.20755061064017</v>
      </c>
      <c r="DU68" s="62">
        <f t="shared" ref="DU68:DU131" si="77">$DS$33-$H$33</f>
        <v>343.54750327717181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25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9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7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22.7</v>
      </c>
      <c r="N69" s="14">
        <f>IF(A69&lt;'Données projet'!$A$36,$K$205^A69,IF(A69='Données projet'!$A$36,'Données projet'!$B$36,N68+M69-V68))</f>
        <v>540.1999999999997</v>
      </c>
      <c r="O69" s="14">
        <f>N69*VLOOKUP('Données projet'!$B$9,Paramètres!$A$1:$I$88,3,0)*VLOOKUP('Données projet'!$B$9,Paramètres!$A$1:$I$88,5,0)</f>
        <v>252.81359999999987</v>
      </c>
      <c r="P69" s="14">
        <f t="shared" ref="P69:P132" si="97">EXP(-1.0587+0.8836*LN(O69)+0.284)</f>
        <v>61.188037954168315</v>
      </c>
      <c r="Q69" s="22">
        <f t="shared" si="54"/>
        <v>546.88618610350966</v>
      </c>
      <c r="R69" s="62">
        <f t="shared" si="55"/>
        <v>840.21951943684303</v>
      </c>
      <c r="S69" s="62">
        <f ca="1">AVERAGE(OFFSET($R$3,0,0,'Données projet'!$E$9+1,1))-AVERAGE(OFFSET($H$3,0,0,'Données projet'!$E$9+1,1))</f>
        <v>300.03481708703549</v>
      </c>
      <c r="T69" s="62">
        <f t="shared" si="56"/>
        <v>102.6350860969182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IF(A69&lt;'Données projet'!$A$62,$AF$205^A69,IF(A69='Données projet'!$A$62,'Données projet'!$B$62,AI68+AH69-AQ68))</f>
        <v>-2.2737367544323206E-13</v>
      </c>
      <c r="AJ69" s="14">
        <f>AI69*VLOOKUP('Données projet'!$B$10,Paramètres!$A$1:$I$88,3,0)*VLOOKUP('Données projet'!$B$10,Paramètres!$A$1:$I$88,5,0)</f>
        <v>-1.2710188457276673E-13</v>
      </c>
      <c r="AK69" s="14" t="e">
        <f t="shared" ref="AK69:AK132" si="98">EXP(-1.0587+0.8836*LN(AJ69)+0.284)</f>
        <v>#NUM!</v>
      </c>
      <c r="AL69" s="22" t="e">
        <f t="shared" si="59"/>
        <v>#NUM!</v>
      </c>
      <c r="AM69" s="62" t="e">
        <f t="shared" si="60"/>
        <v>#NUM!</v>
      </c>
      <c r="AN69" s="62">
        <f ca="1">AVERAGE(OFFSET($AM$3,0,0,'Données projet'!$E$10+1,1))-AVERAGE(OFFSET($H$3,0,0,'Données projet'!$E$10+1,1))</f>
        <v>328.27336939084597</v>
      </c>
      <c r="AO69" s="62">
        <f t="shared" si="61"/>
        <v>448.79354389108755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2.6446191188745196</v>
      </c>
      <c r="AV69" s="23">
        <f>EXP(-LN(2)/25)*AV68+(1-EXP(-LN(2)/25))/(LN(2)/25)*Calculateur!AQ69*Calculateur!AS69*VLOOKUP('Données projet'!$B$9,Paramètres!$A$1:$I$88,3,0)*0.475*44/12</f>
        <v>5.0725445720345492</v>
      </c>
      <c r="AW69" s="23">
        <f>EXP(-LN(2)/2)*AW68+(1-EXP(-LN(2)/2))/(LN(2)/2)*AQ69*AT69*VLOOKUP('Données projet'!$B$9,Paramètres!$A$1:$I$88,3,0)*0.475*44/12</f>
        <v>5.5571326999007448E-5</v>
      </c>
      <c r="AX69" s="23">
        <f t="shared" si="62"/>
        <v>7.7172192622360676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10.199999999999999</v>
      </c>
      <c r="BD69" s="13">
        <f>IF(A69&lt;'Données projet'!$A$88,$BA$205^A69,IF(A69='Données projet'!$A$88,'Données projet'!$B$88,BD68+BC69-BL68))</f>
        <v>300.2</v>
      </c>
      <c r="BE69" s="14">
        <f>BD69*VLOOKUP('Données projet'!$B$11,Paramètres!$A$1:$I$88,3,0)*VLOOKUP('Données projet'!$B$11,Paramètres!$A$1:$I$88,5,0)</f>
        <v>262.25472000000002</v>
      </c>
      <c r="BF69" s="14">
        <f t="shared" ref="BF69:BF132" si="99">EXP(-1.0587+0.8836*LN(BE69)+0.284)</f>
        <v>63.202751352619643</v>
      </c>
      <c r="BG69" s="22">
        <f t="shared" si="63"/>
        <v>566.83842927247917</v>
      </c>
      <c r="BH69" s="62">
        <f t="shared" si="64"/>
        <v>860.17176260581255</v>
      </c>
      <c r="BI69" s="62">
        <f ca="1">AVERAGE(OFFSET($BH$3,0,0,'Données projet'!$E$11+1,1))-AVERAGE(OFFSET($H$3,0,0,'Données projet'!$E$11+1,1))</f>
        <v>348.65374983303883</v>
      </c>
      <c r="BJ69" s="62">
        <f t="shared" si="65"/>
        <v>312.05848669315151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</v>
      </c>
      <c r="BY69" s="13">
        <f>IF(A69&lt;'Données projet'!$A$114,$BV$205^A69,IF(A69='Données projet'!$A$114,'Données projet'!$B$114,BY68+BX69-CG68))</f>
        <v>310.49999999999989</v>
      </c>
      <c r="BZ69" s="14">
        <f>BY69*VLOOKUP('Données projet'!$B$12,Paramètres!$A$1:$I$88,3,0)*VLOOKUP('Données projet'!$B$12,Paramètres!$A$1:$I$88,5,0)</f>
        <v>227.65859999999992</v>
      </c>
      <c r="CA69" s="14">
        <f t="shared" ref="CA69:CA132" si="100">EXP(-1.0587+0.8836*LN(BZ69)+0.284)</f>
        <v>55.776115016621809</v>
      </c>
      <c r="CB69" s="22">
        <f t="shared" si="67"/>
        <v>493.64879532061622</v>
      </c>
      <c r="CC69" s="62">
        <f t="shared" si="68"/>
        <v>786.98212865394953</v>
      </c>
      <c r="CD69" s="62">
        <f ca="1">AVERAGE(OFFSET($CC$3,0,0,'Données projet'!$E$12+1,1))-AVERAGE(OFFSET($H$3,0,0,'Données projet'!$E$12+1,1))</f>
        <v>264.06656596707364</v>
      </c>
      <c r="CE69" s="62">
        <f t="shared" si="69"/>
        <v>315.34415130230195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5.6843418860808015E-14</v>
      </c>
      <c r="CU69" s="18">
        <f>CT69*VLOOKUP('Données projet'!$B$13,Paramètres!$A$1:$I$88,3,0)*VLOOKUP('Données projet'!$B$13,Paramètres!$A$1:$I$88,5,0)</f>
        <v>3.3992364478763198E-14</v>
      </c>
      <c r="CV69" s="14">
        <f t="shared" ref="CV69:CV132" si="101">EXP(-1.0587+0.8836*LN(CU69)+0.284)</f>
        <v>5.790027782444094E-13</v>
      </c>
      <c r="CW69" s="22">
        <f t="shared" si="71"/>
        <v>1.0676332069095257E-12</v>
      </c>
      <c r="CX69" s="62">
        <f t="shared" si="72"/>
        <v>293.33333333333439</v>
      </c>
      <c r="CY69" s="62">
        <f ca="1">AVERAGE(OFFSET($CX$3,0,0,'Données projet'!$E$13+1,1))-AVERAGE(OFFSET($H$3,0,0,'Données projet'!$E$13+1,1))</f>
        <v>162.29089122912319</v>
      </c>
      <c r="CZ69" s="62">
        <f t="shared" si="73"/>
        <v>253.15422514195427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5.1776161458966072</v>
      </c>
      <c r="DG69" s="23">
        <f>EXP(-LN(2)/25)*DG68+(1-EXP(-LN(2)/25))/(LN(2)/25)*Calculateur!DB69*Calculateur!DD69*VLOOKUP('Données projet'!$B$9,Paramètres!$A$1:$I$88,3,0)*0.475*44/12</f>
        <v>1.9563953889423773</v>
      </c>
      <c r="DH69" s="23">
        <f>EXP(-LN(2)/2)*DH68+(1-EXP(-LN(2)/2))/(LN(2)/2)*DB69*DE69*VLOOKUP('Données projet'!$B$9,Paramètres!$A$1:$I$88,3,0)*0.475*44/12</f>
        <v>8.9115196739398193E-6</v>
      </c>
      <c r="DI69" s="24">
        <f t="shared" si="74"/>
        <v>7.134020446358659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4.5</v>
      </c>
      <c r="DO69" s="13">
        <f>IF(A69&lt;'Données projet'!$A$166,$DL$205^A69,IF(A69='Données projet'!$A$166,'Données projet'!$B$166,DO68+DN69-DW68))</f>
        <v>310.49999999999989</v>
      </c>
      <c r="DP69" s="18">
        <f>DO69*VLOOKUP('Données projet'!$B$14,Paramètres!$A$1:$I$88,3,0)*VLOOKUP('Données projet'!$B$14,Paramètres!$A$1:$I$88,5,0)</f>
        <v>247.0337999999999</v>
      </c>
      <c r="DQ69" s="14">
        <f t="shared" ref="DQ69:DQ132" si="102">EXP(-1.0587+0.8836*LN(DP69)+0.284)</f>
        <v>59.950333213989722</v>
      </c>
      <c r="DR69" s="22">
        <f t="shared" si="75"/>
        <v>534.66403201436515</v>
      </c>
      <c r="DS69" s="62">
        <f t="shared" si="76"/>
        <v>827.99736534769841</v>
      </c>
      <c r="DT69" s="62">
        <f ca="1">AVERAGE(OFFSET($DS$3,0,0,'Données projet'!$E$14+1,1))-AVERAGE(OFFSET($H$3,0,0,'Données projet'!$E$14+1,1))</f>
        <v>290.20755061064017</v>
      </c>
      <c r="DU69" s="62">
        <f t="shared" si="77"/>
        <v>343.54750327717181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25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9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7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22.7</v>
      </c>
      <c r="N70" s="14">
        <f>IF(A70&lt;'Données projet'!$A$36,$K$205^A70,IF(A70='Données projet'!$A$36,'Données projet'!$B$36,N69+M70-V69))</f>
        <v>562.89999999999975</v>
      </c>
      <c r="O70" s="14">
        <f>N70*VLOOKUP('Données projet'!$B$9,Paramètres!$A$1:$I$88,3,0)*VLOOKUP('Données projet'!$B$9,Paramètres!$A$1:$I$88,5,0)</f>
        <v>263.43719999999985</v>
      </c>
      <c r="P70" s="14">
        <f t="shared" si="97"/>
        <v>63.454489128933133</v>
      </c>
      <c r="Q70" s="22">
        <f t="shared" si="54"/>
        <v>569.33635856622493</v>
      </c>
      <c r="R70" s="62">
        <f t="shared" si="55"/>
        <v>862.6696918995583</v>
      </c>
      <c r="S70" s="62">
        <f ca="1">AVERAGE(OFFSET($R$3,0,0,'Données projet'!$E$9+1,1))-AVERAGE(OFFSET($H$3,0,0,'Données projet'!$E$9+1,1))</f>
        <v>300.03481708703549</v>
      </c>
      <c r="T70" s="62">
        <f t="shared" si="56"/>
        <v>102.6350860969182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IF(A70&lt;'Données projet'!$A$62,$AF$205^A70,IF(A70='Données projet'!$A$62,'Données projet'!$B$62,AI69+AH70-AQ69))</f>
        <v>-2.2737367544323206E-13</v>
      </c>
      <c r="AJ70" s="14">
        <f>AI70*VLOOKUP('Données projet'!$B$10,Paramètres!$A$1:$I$88,3,0)*VLOOKUP('Données projet'!$B$10,Paramètres!$A$1:$I$88,5,0)</f>
        <v>-1.2710188457276673E-13</v>
      </c>
      <c r="AK70" s="14" t="e">
        <f t="shared" si="98"/>
        <v>#NUM!</v>
      </c>
      <c r="AL70" s="22" t="e">
        <f t="shared" si="59"/>
        <v>#NUM!</v>
      </c>
      <c r="AM70" s="62" t="e">
        <f t="shared" si="60"/>
        <v>#NUM!</v>
      </c>
      <c r="AN70" s="62">
        <f ca="1">AVERAGE(OFFSET($AM$3,0,0,'Données projet'!$E$10+1,1))-AVERAGE(OFFSET($H$3,0,0,'Données projet'!$E$10+1,1))</f>
        <v>328.27336939084597</v>
      </c>
      <c r="AO70" s="62">
        <f t="shared" si="61"/>
        <v>448.79354389108755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2.5927597510117764</v>
      </c>
      <c r="AV70" s="23">
        <f>EXP(-LN(2)/25)*AV69+(1-EXP(-LN(2)/25))/(LN(2)/25)*Calculateur!AQ70*Calculateur!AS70*VLOOKUP('Données projet'!$B$9,Paramètres!$A$1:$I$88,3,0)*0.475*44/12</f>
        <v>4.9338355739587385</v>
      </c>
      <c r="AW70" s="23">
        <f>EXP(-LN(2)/2)*AW69+(1-EXP(-LN(2)/2))/(LN(2)/2)*AQ70*AT70*VLOOKUP('Données projet'!$B$9,Paramètres!$A$1:$I$88,3,0)*0.475*44/12</f>
        <v>3.929486216053324E-5</v>
      </c>
      <c r="AX70" s="23">
        <f t="shared" si="62"/>
        <v>7.5266346198326755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10.199999999999999</v>
      </c>
      <c r="BD70" s="13">
        <f>IF(A70&lt;'Données projet'!$A$88,$BA$205^A70,IF(A70='Données projet'!$A$88,'Données projet'!$B$88,BD69+BC70-BL69))</f>
        <v>310.39999999999998</v>
      </c>
      <c r="BE70" s="14">
        <f>BD70*VLOOKUP('Données projet'!$B$11,Paramètres!$A$1:$I$88,3,0)*VLOOKUP('Données projet'!$B$11,Paramètres!$A$1:$I$88,5,0)</f>
        <v>271.16544000000005</v>
      </c>
      <c r="BF70" s="14">
        <f t="shared" si="99"/>
        <v>65.096543034180584</v>
      </c>
      <c r="BG70" s="22">
        <f t="shared" si="63"/>
        <v>585.65628711786451</v>
      </c>
      <c r="BH70" s="62">
        <f t="shared" si="64"/>
        <v>878.98962045119788</v>
      </c>
      <c r="BI70" s="62">
        <f ca="1">AVERAGE(OFFSET($BH$3,0,0,'Données projet'!$E$11+1,1))-AVERAGE(OFFSET($H$3,0,0,'Données projet'!$E$11+1,1))</f>
        <v>348.65374983303883</v>
      </c>
      <c r="BJ70" s="62">
        <f t="shared" si="65"/>
        <v>312.05848669315151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</v>
      </c>
      <c r="BY70" s="13">
        <f>IF(A70&lt;'Données projet'!$A$114,$BV$205^A70,IF(A70='Données projet'!$A$114,'Données projet'!$B$114,BY69+BX70-CG69))</f>
        <v>314.99999999999989</v>
      </c>
      <c r="BZ70" s="14">
        <f>BY70*VLOOKUP('Données projet'!$B$12,Paramètres!$A$1:$I$88,3,0)*VLOOKUP('Données projet'!$B$12,Paramètres!$A$1:$I$88,5,0)</f>
        <v>230.95799999999988</v>
      </c>
      <c r="CA70" s="14">
        <f t="shared" si="100"/>
        <v>56.489773392384429</v>
      </c>
      <c r="CB70" s="22">
        <f t="shared" si="67"/>
        <v>500.63820532506929</v>
      </c>
      <c r="CC70" s="62">
        <f t="shared" si="68"/>
        <v>793.97153865840255</v>
      </c>
      <c r="CD70" s="62">
        <f ca="1">AVERAGE(OFFSET($CC$3,0,0,'Données projet'!$E$12+1,1))-AVERAGE(OFFSET($H$3,0,0,'Données projet'!$E$12+1,1))</f>
        <v>264.06656596707364</v>
      </c>
      <c r="CE70" s="62">
        <f t="shared" si="69"/>
        <v>315.34415130230195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5.6843418860808015E-14</v>
      </c>
      <c r="CU70" s="18">
        <f>CT70*VLOOKUP('Données projet'!$B$13,Paramètres!$A$1:$I$88,3,0)*VLOOKUP('Données projet'!$B$13,Paramètres!$A$1:$I$88,5,0)</f>
        <v>3.3992364478763198E-14</v>
      </c>
      <c r="CV70" s="14">
        <f t="shared" si="101"/>
        <v>5.790027782444094E-13</v>
      </c>
      <c r="CW70" s="22">
        <f t="shared" si="71"/>
        <v>1.0676332069095257E-12</v>
      </c>
      <c r="CX70" s="62">
        <f t="shared" si="72"/>
        <v>293.33333333333439</v>
      </c>
      <c r="CY70" s="62">
        <f ca="1">AVERAGE(OFFSET($CX$3,0,0,'Données projet'!$E$13+1,1))-AVERAGE(OFFSET($H$3,0,0,'Données projet'!$E$13+1,1))</f>
        <v>162.29089122912319</v>
      </c>
      <c r="CZ70" s="62">
        <f t="shared" si="73"/>
        <v>253.15422514195427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5.0760862513095937</v>
      </c>
      <c r="DG70" s="23">
        <f>EXP(-LN(2)/25)*DG69+(1-EXP(-LN(2)/25))/(LN(2)/25)*Calculateur!DB70*Calculateur!DD70*VLOOKUP('Données projet'!$B$9,Paramètres!$A$1:$I$88,3,0)*0.475*44/12</f>
        <v>1.9028976541493858</v>
      </c>
      <c r="DH70" s="23">
        <f>EXP(-LN(2)/2)*DH69+(1-EXP(-LN(2)/2))/(LN(2)/2)*DB70*DE70*VLOOKUP('Données projet'!$B$9,Paramètres!$A$1:$I$88,3,0)*0.475*44/12</f>
        <v>6.3013959921201772E-6</v>
      </c>
      <c r="DI70" s="24">
        <f t="shared" si="74"/>
        <v>6.9789902068549718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4.5</v>
      </c>
      <c r="DO70" s="13">
        <f>IF(A70&lt;'Données projet'!$A$166,$DL$205^A70,IF(A70='Données projet'!$A$166,'Données projet'!$B$166,DO69+DN70-DW69))</f>
        <v>314.99999999999989</v>
      </c>
      <c r="DP70" s="18">
        <f>DO70*VLOOKUP('Données projet'!$B$14,Paramètres!$A$1:$I$88,3,0)*VLOOKUP('Données projet'!$B$14,Paramètres!$A$1:$I$88,5,0)</f>
        <v>250.61399999999992</v>
      </c>
      <c r="DQ70" s="14">
        <f t="shared" si="102"/>
        <v>60.717400934916043</v>
      </c>
      <c r="DR70" s="22">
        <f t="shared" si="75"/>
        <v>542.23552329497863</v>
      </c>
      <c r="DS70" s="62">
        <f t="shared" si="76"/>
        <v>835.56885662831201</v>
      </c>
      <c r="DT70" s="62">
        <f ca="1">AVERAGE(OFFSET($DS$3,0,0,'Données projet'!$E$14+1,1))-AVERAGE(OFFSET($H$3,0,0,'Données projet'!$E$14+1,1))</f>
        <v>290.20755061064017</v>
      </c>
      <c r="DU70" s="62">
        <f t="shared" si="77"/>
        <v>343.54750327717181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25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9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7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22.7</v>
      </c>
      <c r="N71" s="14">
        <f>IF(A71&lt;'Données projet'!$A$36,$K$205^A71,IF(A71='Données projet'!$A$36,'Données projet'!$B$36,N70+M71-V70))</f>
        <v>585.5999999999998</v>
      </c>
      <c r="O71" s="14">
        <f>N71*VLOOKUP('Données projet'!$B$9,Paramètres!$A$1:$I$88,3,0)*VLOOKUP('Données projet'!$B$9,Paramètres!$A$1:$I$88,5,0)</f>
        <v>274.06079999999992</v>
      </c>
      <c r="P71" s="14">
        <f t="shared" si="97"/>
        <v>65.710323362952934</v>
      </c>
      <c r="Q71" s="22">
        <f t="shared" si="54"/>
        <v>591.76803985714275</v>
      </c>
      <c r="R71" s="62">
        <f t="shared" si="55"/>
        <v>885.10137319047612</v>
      </c>
      <c r="S71" s="62">
        <f ca="1">AVERAGE(OFFSET($R$3,0,0,'Données projet'!$E$9+1,1))-AVERAGE(OFFSET($H$3,0,0,'Données projet'!$E$9+1,1))</f>
        <v>300.03481708703549</v>
      </c>
      <c r="T71" s="62">
        <f t="shared" si="56"/>
        <v>102.6350860969182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IF(A71&lt;'Données projet'!$A$62,$AF$205^A71,IF(A71='Données projet'!$A$62,'Données projet'!$B$62,AI70+AH71-AQ70))</f>
        <v>-2.2737367544323206E-13</v>
      </c>
      <c r="AJ71" s="14">
        <f>AI71*VLOOKUP('Données projet'!$B$10,Paramètres!$A$1:$I$88,3,0)*VLOOKUP('Données projet'!$B$10,Paramètres!$A$1:$I$88,5,0)</f>
        <v>-1.2710188457276673E-13</v>
      </c>
      <c r="AK71" s="14" t="e">
        <f t="shared" si="98"/>
        <v>#NUM!</v>
      </c>
      <c r="AL71" s="22" t="e">
        <f t="shared" si="59"/>
        <v>#NUM!</v>
      </c>
      <c r="AM71" s="62" t="e">
        <f t="shared" si="60"/>
        <v>#NUM!</v>
      </c>
      <c r="AN71" s="62">
        <f ca="1">AVERAGE(OFFSET($AM$3,0,0,'Données projet'!$E$10+1,1))-AVERAGE(OFFSET($H$3,0,0,'Données projet'!$E$10+1,1))</f>
        <v>328.27336939084597</v>
      </c>
      <c r="AO71" s="62">
        <f t="shared" si="61"/>
        <v>448.79354389108755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2.5419173137217306</v>
      </c>
      <c r="AV71" s="23">
        <f>EXP(-LN(2)/25)*AV70+(1-EXP(-LN(2)/25))/(LN(2)/25)*Calculateur!AQ71*Calculateur!AS71*VLOOKUP('Données projet'!$B$9,Paramètres!$A$1:$I$88,3,0)*0.475*44/12</f>
        <v>4.7989195807297005</v>
      </c>
      <c r="AW71" s="23">
        <f>EXP(-LN(2)/2)*AW70+(1-EXP(-LN(2)/2))/(LN(2)/2)*AQ71*AT71*VLOOKUP('Données projet'!$B$9,Paramètres!$A$1:$I$88,3,0)*0.475*44/12</f>
        <v>2.7785663499503724E-5</v>
      </c>
      <c r="AX71" s="23">
        <f t="shared" si="62"/>
        <v>7.3408646801149313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10.199999999999999</v>
      </c>
      <c r="BD71" s="13">
        <f>IF(A71&lt;'Données projet'!$A$88,$BA$205^A71,IF(A71='Données projet'!$A$88,'Données projet'!$B$88,BD70+BC71-BL70))</f>
        <v>320.59999999999997</v>
      </c>
      <c r="BE71" s="14">
        <f>BD71*VLOOKUP('Données projet'!$B$11,Paramètres!$A$1:$I$88,3,0)*VLOOKUP('Données projet'!$B$11,Paramètres!$A$1:$I$88,5,0)</f>
        <v>280.07616000000002</v>
      </c>
      <c r="BF71" s="14">
        <f t="shared" si="99"/>
        <v>66.983103423687609</v>
      </c>
      <c r="BG71" s="22">
        <f t="shared" si="63"/>
        <v>604.46155046292267</v>
      </c>
      <c r="BH71" s="62">
        <f t="shared" si="64"/>
        <v>897.79488379625604</v>
      </c>
      <c r="BI71" s="62">
        <f ca="1">AVERAGE(OFFSET($BH$3,0,0,'Données projet'!$E$11+1,1))-AVERAGE(OFFSET($H$3,0,0,'Données projet'!$E$11+1,1))</f>
        <v>348.65374983303883</v>
      </c>
      <c r="BJ71" s="62">
        <f t="shared" si="65"/>
        <v>312.05848669315151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</v>
      </c>
      <c r="BY71" s="13">
        <f>IF(A71&lt;'Données projet'!$A$114,$BV$205^A71,IF(A71='Données projet'!$A$114,'Données projet'!$B$114,BY70+BX71-CG70))</f>
        <v>319.49999999999989</v>
      </c>
      <c r="BZ71" s="14">
        <f>BY71*VLOOKUP('Données projet'!$B$12,Paramètres!$A$1:$I$88,3,0)*VLOOKUP('Données projet'!$B$12,Paramètres!$A$1:$I$88,5,0)</f>
        <v>234.2573999999999</v>
      </c>
      <c r="CA71" s="14">
        <f t="shared" si="100"/>
        <v>57.202245999692629</v>
      </c>
      <c r="CB71" s="22">
        <f t="shared" si="67"/>
        <v>507.62555011613114</v>
      </c>
      <c r="CC71" s="62">
        <f t="shared" si="68"/>
        <v>800.95888344946445</v>
      </c>
      <c r="CD71" s="62">
        <f ca="1">AVERAGE(OFFSET($CC$3,0,0,'Données projet'!$E$12+1,1))-AVERAGE(OFFSET($H$3,0,0,'Données projet'!$E$12+1,1))</f>
        <v>264.06656596707364</v>
      </c>
      <c r="CE71" s="62">
        <f t="shared" si="69"/>
        <v>315.34415130230195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5.6843418860808015E-14</v>
      </c>
      <c r="CU71" s="18">
        <f>CT71*VLOOKUP('Données projet'!$B$13,Paramètres!$A$1:$I$88,3,0)*VLOOKUP('Données projet'!$B$13,Paramètres!$A$1:$I$88,5,0)</f>
        <v>3.3992364478763198E-14</v>
      </c>
      <c r="CV71" s="14">
        <f t="shared" si="101"/>
        <v>5.790027782444094E-13</v>
      </c>
      <c r="CW71" s="22">
        <f t="shared" si="71"/>
        <v>1.0676332069095257E-12</v>
      </c>
      <c r="CX71" s="62">
        <f t="shared" si="72"/>
        <v>293.33333333333439</v>
      </c>
      <c r="CY71" s="62">
        <f ca="1">AVERAGE(OFFSET($CX$3,0,0,'Données projet'!$E$13+1,1))-AVERAGE(OFFSET($H$3,0,0,'Données projet'!$E$13+1,1))</f>
        <v>162.29089122912319</v>
      </c>
      <c r="CZ71" s="62">
        <f t="shared" si="73"/>
        <v>253.15422514195427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4.9765472960283104</v>
      </c>
      <c r="DG71" s="23">
        <f>EXP(-LN(2)/25)*DG70+(1-EXP(-LN(2)/25))/(LN(2)/25)*Calculateur!DB71*Calculateur!DD71*VLOOKUP('Données projet'!$B$9,Paramètres!$A$1:$I$88,3,0)*0.475*44/12</f>
        <v>1.8508628177276323</v>
      </c>
      <c r="DH71" s="23">
        <f>EXP(-LN(2)/2)*DH70+(1-EXP(-LN(2)/2))/(LN(2)/2)*DB71*DE71*VLOOKUP('Données projet'!$B$9,Paramètres!$A$1:$I$88,3,0)*0.475*44/12</f>
        <v>4.4557598369699097E-6</v>
      </c>
      <c r="DI71" s="24">
        <f t="shared" si="74"/>
        <v>6.8274145695157795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4.5</v>
      </c>
      <c r="DO71" s="13">
        <f>IF(A71&lt;'Données projet'!$A$166,$DL$205^A71,IF(A71='Données projet'!$A$166,'Données projet'!$B$166,DO70+DN71-DW70))</f>
        <v>319.49999999999989</v>
      </c>
      <c r="DP71" s="18">
        <f>DO71*VLOOKUP('Données projet'!$B$14,Paramètres!$A$1:$I$88,3,0)*VLOOKUP('Données projet'!$B$14,Paramètres!$A$1:$I$88,5,0)</f>
        <v>254.19419999999991</v>
      </c>
      <c r="DQ71" s="14">
        <f t="shared" si="102"/>
        <v>61.483194145885243</v>
      </c>
      <c r="DR71" s="22">
        <f t="shared" si="75"/>
        <v>549.80479480408326</v>
      </c>
      <c r="DS71" s="62">
        <f t="shared" si="76"/>
        <v>843.13812813741652</v>
      </c>
      <c r="DT71" s="62">
        <f ca="1">AVERAGE(OFFSET($DS$3,0,0,'Données projet'!$E$14+1,1))-AVERAGE(OFFSET($H$3,0,0,'Données projet'!$E$14+1,1))</f>
        <v>290.20755061064017</v>
      </c>
      <c r="DU71" s="62">
        <f t="shared" si="77"/>
        <v>343.54750327717181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25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9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7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22.7</v>
      </c>
      <c r="N72" s="14">
        <f>IF(A72&lt;'Données projet'!$A$36,$K$205^A72,IF(A72='Données projet'!$A$36,'Données projet'!$B$36,N71+M72-V71))</f>
        <v>608.29999999999984</v>
      </c>
      <c r="O72" s="14">
        <f>N72*VLOOKUP('Données projet'!$B$9,Paramètres!$A$1:$I$88,3,0)*VLOOKUP('Données projet'!$B$9,Paramètres!$A$1:$I$88,5,0)</f>
        <v>284.68439999999993</v>
      </c>
      <c r="P72" s="14">
        <f t="shared" si="97"/>
        <v>67.955999311251276</v>
      </c>
      <c r="Q72" s="22">
        <f t="shared" si="54"/>
        <v>614.18202880042918</v>
      </c>
      <c r="R72" s="62">
        <f t="shared" si="55"/>
        <v>907.51536213376244</v>
      </c>
      <c r="S72" s="62">
        <f ca="1">AVERAGE(OFFSET($R$3,0,0,'Données projet'!$E$9+1,1))-AVERAGE(OFFSET($H$3,0,0,'Données projet'!$E$9+1,1))</f>
        <v>300.03481708703549</v>
      </c>
      <c r="T72" s="62">
        <f t="shared" si="56"/>
        <v>102.6350860969182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IF(A72&lt;'Données projet'!$A$62,$AF$205^A72,IF(A72='Données projet'!$A$62,'Données projet'!$B$62,AI71+AH72-AQ71))</f>
        <v>-2.2737367544323206E-13</v>
      </c>
      <c r="AJ72" s="14">
        <f>AI72*VLOOKUP('Données projet'!$B$10,Paramètres!$A$1:$I$88,3,0)*VLOOKUP('Données projet'!$B$10,Paramètres!$A$1:$I$88,5,0)</f>
        <v>-1.2710188457276673E-13</v>
      </c>
      <c r="AK72" s="14" t="e">
        <f t="shared" si="98"/>
        <v>#NUM!</v>
      </c>
      <c r="AL72" s="22" t="e">
        <f t="shared" si="59"/>
        <v>#NUM!</v>
      </c>
      <c r="AM72" s="62" t="e">
        <f t="shared" si="60"/>
        <v>#NUM!</v>
      </c>
      <c r="AN72" s="62">
        <f ca="1">AVERAGE(OFFSET($AM$3,0,0,'Données projet'!$E$10+1,1))-AVERAGE(OFFSET($H$3,0,0,'Données projet'!$E$10+1,1))</f>
        <v>328.27336939084597</v>
      </c>
      <c r="AO72" s="62">
        <f t="shared" si="61"/>
        <v>448.79354389108755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2.492071865616118</v>
      </c>
      <c r="AV72" s="23">
        <f>EXP(-LN(2)/25)*AV71+(1-EXP(-LN(2)/25))/(LN(2)/25)*Calculateur!AQ72*Calculateur!AS72*VLOOKUP('Données projet'!$B$9,Paramètres!$A$1:$I$88,3,0)*0.475*44/12</f>
        <v>4.6676928724304343</v>
      </c>
      <c r="AW72" s="23">
        <f>EXP(-LN(2)/2)*AW71+(1-EXP(-LN(2)/2))/(LN(2)/2)*AQ72*AT72*VLOOKUP('Données projet'!$B$9,Paramètres!$A$1:$I$88,3,0)*0.475*44/12</f>
        <v>1.964743108026662E-5</v>
      </c>
      <c r="AX72" s="23">
        <f t="shared" si="62"/>
        <v>7.1597843854776331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10.199999999999999</v>
      </c>
      <c r="BD72" s="13">
        <f>IF(A72&lt;'Données projet'!$A$88,$BA$205^A72,IF(A72='Données projet'!$A$88,'Données projet'!$B$88,BD71+BC72-BL71))</f>
        <v>330.79999999999995</v>
      </c>
      <c r="BE72" s="14">
        <f>BD72*VLOOKUP('Données projet'!$B$11,Paramètres!$A$1:$I$88,3,0)*VLOOKUP('Données projet'!$B$11,Paramètres!$A$1:$I$88,5,0)</f>
        <v>288.98687999999999</v>
      </c>
      <c r="BF72" s="14">
        <f t="shared" si="99"/>
        <v>68.862688979701375</v>
      </c>
      <c r="BG72" s="22">
        <f t="shared" si="63"/>
        <v>623.25466597297986</v>
      </c>
      <c r="BH72" s="62">
        <f t="shared" si="64"/>
        <v>916.58799930631312</v>
      </c>
      <c r="BI72" s="62">
        <f ca="1">AVERAGE(OFFSET($BH$3,0,0,'Données projet'!$E$11+1,1))-AVERAGE(OFFSET($H$3,0,0,'Données projet'!$E$11+1,1))</f>
        <v>348.65374983303883</v>
      </c>
      <c r="BJ72" s="62">
        <f t="shared" si="65"/>
        <v>312.05848669315151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</v>
      </c>
      <c r="BY72" s="13">
        <f>IF(A72&lt;'Données projet'!$A$114,$BV$205^A72,IF(A72='Données projet'!$A$114,'Données projet'!$B$114,BY71+BX72-CG71))</f>
        <v>323.99999999999989</v>
      </c>
      <c r="BZ72" s="14">
        <f>BY72*VLOOKUP('Données projet'!$B$12,Paramètres!$A$1:$I$88,3,0)*VLOOKUP('Données projet'!$B$12,Paramètres!$A$1:$I$88,5,0)</f>
        <v>237.55679999999992</v>
      </c>
      <c r="CA72" s="14">
        <f t="shared" si="100"/>
        <v>57.913551469467308</v>
      </c>
      <c r="CB72" s="22">
        <f t="shared" si="67"/>
        <v>514.61086214265538</v>
      </c>
      <c r="CC72" s="62">
        <f t="shared" si="68"/>
        <v>807.94419547598864</v>
      </c>
      <c r="CD72" s="62">
        <f ca="1">AVERAGE(OFFSET($CC$3,0,0,'Données projet'!$E$12+1,1))-AVERAGE(OFFSET($H$3,0,0,'Données projet'!$E$12+1,1))</f>
        <v>264.06656596707364</v>
      </c>
      <c r="CE72" s="62">
        <f t="shared" si="69"/>
        <v>315.34415130230195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5.6843418860808015E-14</v>
      </c>
      <c r="CU72" s="18">
        <f>CT72*VLOOKUP('Données projet'!$B$13,Paramètres!$A$1:$I$88,3,0)*VLOOKUP('Données projet'!$B$13,Paramètres!$A$1:$I$88,5,0)</f>
        <v>3.3992364478763198E-14</v>
      </c>
      <c r="CV72" s="14">
        <f t="shared" si="101"/>
        <v>5.790027782444094E-13</v>
      </c>
      <c r="CW72" s="22">
        <f t="shared" si="71"/>
        <v>1.0676332069095257E-12</v>
      </c>
      <c r="CX72" s="62">
        <f t="shared" si="72"/>
        <v>293.33333333333439</v>
      </c>
      <c r="CY72" s="62">
        <f ca="1">AVERAGE(OFFSET($CX$3,0,0,'Données projet'!$E$13+1,1))-AVERAGE(OFFSET($H$3,0,0,'Données projet'!$E$13+1,1))</f>
        <v>162.29089122912319</v>
      </c>
      <c r="CZ72" s="62">
        <f t="shared" si="73"/>
        <v>253.15422514195427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4.8789602389473252</v>
      </c>
      <c r="DG72" s="23">
        <f>EXP(-LN(2)/25)*DG71+(1-EXP(-LN(2)/25))/(LN(2)/25)*Calculateur!DB72*Calculateur!DD72*VLOOKUP('Données projet'!$B$9,Paramètres!$A$1:$I$88,3,0)*0.475*44/12</f>
        <v>1.8002508766442249</v>
      </c>
      <c r="DH72" s="23">
        <f>EXP(-LN(2)/2)*DH71+(1-EXP(-LN(2)/2))/(LN(2)/2)*DB72*DE72*VLOOKUP('Données projet'!$B$9,Paramètres!$A$1:$I$88,3,0)*0.475*44/12</f>
        <v>3.1506979960600886E-6</v>
      </c>
      <c r="DI72" s="24">
        <f t="shared" si="74"/>
        <v>6.679214266289546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4.5</v>
      </c>
      <c r="DO72" s="13">
        <f>IF(A72&lt;'Données projet'!$A$166,$DL$205^A72,IF(A72='Données projet'!$A$166,'Données projet'!$B$166,DO71+DN72-DW71))</f>
        <v>323.99999999999989</v>
      </c>
      <c r="DP72" s="18">
        <f>DO72*VLOOKUP('Données projet'!$B$14,Paramètres!$A$1:$I$88,3,0)*VLOOKUP('Données projet'!$B$14,Paramètres!$A$1:$I$88,5,0)</f>
        <v>257.77439999999996</v>
      </c>
      <c r="DQ72" s="14">
        <f t="shared" si="102"/>
        <v>62.247732872134293</v>
      </c>
      <c r="DR72" s="22">
        <f t="shared" si="75"/>
        <v>557.37188141896718</v>
      </c>
      <c r="DS72" s="62">
        <f t="shared" si="76"/>
        <v>850.70521475230044</v>
      </c>
      <c r="DT72" s="62">
        <f ca="1">AVERAGE(OFFSET($DS$3,0,0,'Données projet'!$E$14+1,1))-AVERAGE(OFFSET($H$3,0,0,'Données projet'!$E$14+1,1))</f>
        <v>290.20755061064017</v>
      </c>
      <c r="DU72" s="62">
        <f t="shared" si="77"/>
        <v>343.54750327717181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25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9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7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631</v>
      </c>
      <c r="L73" s="13">
        <f>VLOOKUP(A73,'Données projet'!$A$35:$I$55,9,0)</f>
        <v>22.7</v>
      </c>
      <c r="M73" s="13">
        <f t="array" ref="M73">INDEX(L:L,MIN(IF(ISNUMBER(L73:L269),ROW(L73:L269),"")))</f>
        <v>22.7</v>
      </c>
      <c r="N73" s="14">
        <f>IF(A73&lt;'Données projet'!$A$36,$K$205^A73,IF(A73='Données projet'!$A$36,'Données projet'!$B$36,N72+M73-V72))</f>
        <v>630.99999999999989</v>
      </c>
      <c r="O73" s="14">
        <f>N73*VLOOKUP('Données projet'!$B$9,Paramètres!$A$1:$I$88,3,0)*VLOOKUP('Données projet'!$B$9,Paramètres!$A$1:$I$88,5,0)</f>
        <v>295.30799999999994</v>
      </c>
      <c r="P73" s="14">
        <f t="shared" si="97"/>
        <v>70.191939458146834</v>
      </c>
      <c r="Q73" s="22">
        <f t="shared" si="54"/>
        <v>636.57906122293889</v>
      </c>
      <c r="R73" s="62">
        <f t="shared" si="55"/>
        <v>929.91239455627215</v>
      </c>
      <c r="S73" s="62">
        <f ca="1">AVERAGE(OFFSET($R$3,0,0,'Données projet'!$E$9+1,1))-AVERAGE(OFFSET($H$3,0,0,'Données projet'!$E$9+1,1))</f>
        <v>300.03481708703549</v>
      </c>
      <c r="T73" s="62">
        <f t="shared" si="56"/>
        <v>102.6350860969182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109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IF(A73&lt;'Données projet'!$A$62,$AF$205^A73,IF(A73='Données projet'!$A$62,'Données projet'!$B$62,AI72+AH73-AQ72))</f>
        <v>-2.2737367544323206E-13</v>
      </c>
      <c r="AJ73" s="14">
        <f>AI73*VLOOKUP('Données projet'!$B$10,Paramètres!$A$1:$I$88,3,0)*VLOOKUP('Données projet'!$B$10,Paramètres!$A$1:$I$88,5,0)</f>
        <v>-1.2710188457276673E-13</v>
      </c>
      <c r="AK73" s="14" t="e">
        <f t="shared" si="98"/>
        <v>#NUM!</v>
      </c>
      <c r="AL73" s="22" t="e">
        <f t="shared" si="59"/>
        <v>#NUM!</v>
      </c>
      <c r="AM73" s="62" t="e">
        <f t="shared" si="60"/>
        <v>#NUM!</v>
      </c>
      <c r="AN73" s="62">
        <f ca="1">AVERAGE(OFFSET($AM$3,0,0,'Données projet'!$E$10+1,1))-AVERAGE(OFFSET($H$3,0,0,'Données projet'!$E$10+1,1))</f>
        <v>328.27336939084597</v>
      </c>
      <c r="AO73" s="62">
        <f t="shared" si="61"/>
        <v>448.79354389108755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2.4432038563451353</v>
      </c>
      <c r="AV73" s="23">
        <f>EXP(-LN(2)/25)*AV72+(1-EXP(-LN(2)/25))/(LN(2)/25)*Calculateur!AQ73*Calculateur!AS73*VLOOKUP('Données projet'!$B$9,Paramètres!$A$1:$I$88,3,0)*0.475*44/12</f>
        <v>4.5400545653705242</v>
      </c>
      <c r="AW73" s="23">
        <f>EXP(-LN(2)/2)*AW72+(1-EXP(-LN(2)/2))/(LN(2)/2)*AQ73*AT73*VLOOKUP('Données projet'!$B$9,Paramètres!$A$1:$I$88,3,0)*0.475*44/12</f>
        <v>1.3892831749751862E-5</v>
      </c>
      <c r="AX73" s="23">
        <f t="shared" si="62"/>
        <v>6.9832723145474089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341</v>
      </c>
      <c r="BB73" s="13">
        <f>VLOOKUP(A73,'Données projet'!$A$87:$I$107,9,0)</f>
        <v>10.199999999999999</v>
      </c>
      <c r="BC73" s="13">
        <f t="array" ref="BC73">INDEX(BB:BB,MIN(IF(ISNUMBER(BB73:BB269),ROW(BB73:BB269),"")))</f>
        <v>10.199999999999999</v>
      </c>
      <c r="BD73" s="13">
        <f>IF(A73&lt;'Données projet'!$A$88,$BA$205^A73,IF(A73='Données projet'!$A$88,'Données projet'!$B$88,BD72+BC73-BL72))</f>
        <v>340.99999999999994</v>
      </c>
      <c r="BE73" s="14">
        <f>BD73*VLOOKUP('Données projet'!$B$11,Paramètres!$A$1:$I$88,3,0)*VLOOKUP('Données projet'!$B$11,Paramètres!$A$1:$I$88,5,0)</f>
        <v>297.89759999999995</v>
      </c>
      <c r="BF73" s="14">
        <f t="shared" si="99"/>
        <v>70.735539446826479</v>
      </c>
      <c r="BG73" s="22">
        <f t="shared" si="63"/>
        <v>642.03605120322266</v>
      </c>
      <c r="BH73" s="62">
        <f t="shared" si="64"/>
        <v>935.36938453655603</v>
      </c>
      <c r="BI73" s="62">
        <f ca="1">AVERAGE(OFFSET($BH$3,0,0,'Données projet'!$E$11+1,1))-AVERAGE(OFFSET($H$3,0,0,'Données projet'!$E$11+1,1))</f>
        <v>348.65374983303883</v>
      </c>
      <c r="BJ73" s="62">
        <f t="shared" si="65"/>
        <v>312.05848669315151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62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328.5</v>
      </c>
      <c r="BW73" s="13">
        <f>VLOOKUP(A73,'Données projet'!$A$113:$I$133,9,0)</f>
        <v>4.5</v>
      </c>
      <c r="BX73" s="13">
        <f t="array" ref="BX73">INDEX(BW:BW,MIN(IF(ISNUMBER(BW73:BW269),ROW(BW73:BW269),"")))</f>
        <v>4.5</v>
      </c>
      <c r="BY73" s="13">
        <f>IF(A73&lt;'Données projet'!$A$114,$BV$205^A73,IF(A73='Données projet'!$A$114,'Données projet'!$B$114,BY72+BX73-CG72))</f>
        <v>328.49999999999989</v>
      </c>
      <c r="BZ73" s="14">
        <f>BY73*VLOOKUP('Données projet'!$B$12,Paramètres!$A$1:$I$88,3,0)*VLOOKUP('Données projet'!$B$12,Paramètres!$A$1:$I$88,5,0)</f>
        <v>240.85619999999989</v>
      </c>
      <c r="CA73" s="14">
        <f t="shared" si="100"/>
        <v>58.623707885373882</v>
      </c>
      <c r="CB73" s="22">
        <f t="shared" si="67"/>
        <v>521.59417290035935</v>
      </c>
      <c r="CC73" s="62">
        <f t="shared" si="68"/>
        <v>814.92750623369261</v>
      </c>
      <c r="CD73" s="62">
        <f ca="1">AVERAGE(OFFSET($CC$3,0,0,'Données projet'!$E$12+1,1))-AVERAGE(OFFSET($H$3,0,0,'Données projet'!$E$12+1,1))</f>
        <v>264.06656596707364</v>
      </c>
      <c r="CE73" s="62">
        <f t="shared" si="69"/>
        <v>315.34415130230195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25.9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5.6843418860808015E-14</v>
      </c>
      <c r="CU73" s="18">
        <f>CT73*VLOOKUP('Données projet'!$B$13,Paramètres!$A$1:$I$88,3,0)*VLOOKUP('Données projet'!$B$13,Paramètres!$A$1:$I$88,5,0)</f>
        <v>3.3992364478763198E-14</v>
      </c>
      <c r="CV73" s="14">
        <f t="shared" si="101"/>
        <v>5.790027782444094E-13</v>
      </c>
      <c r="CW73" s="22">
        <f t="shared" si="71"/>
        <v>1.0676332069095257E-12</v>
      </c>
      <c r="CX73" s="62">
        <f t="shared" si="72"/>
        <v>293.33333333333439</v>
      </c>
      <c r="CY73" s="62">
        <f ca="1">AVERAGE(OFFSET($CX$3,0,0,'Données projet'!$E$13+1,1))-AVERAGE(OFFSET($H$3,0,0,'Données projet'!$E$13+1,1))</f>
        <v>162.29089122912319</v>
      </c>
      <c r="CZ73" s="62">
        <f t="shared" si="73"/>
        <v>253.15422514195427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4.7832868045334713</v>
      </c>
      <c r="DG73" s="23">
        <f>EXP(-LN(2)/25)*DG72+(1-EXP(-LN(2)/25))/(LN(2)/25)*Calculateur!DB73*Calculateur!DD73*VLOOKUP('Données projet'!$B$9,Paramètres!$A$1:$I$88,3,0)*0.475*44/12</f>
        <v>1.7510229217513096</v>
      </c>
      <c r="DH73" s="23">
        <f>EXP(-LN(2)/2)*DH72+(1-EXP(-LN(2)/2))/(LN(2)/2)*DB73*DE73*VLOOKUP('Données projet'!$B$9,Paramètres!$A$1:$I$88,3,0)*0.475*44/12</f>
        <v>2.2278799184849548E-6</v>
      </c>
      <c r="DI73" s="24">
        <f t="shared" si="74"/>
        <v>6.5343119541646999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328.5</v>
      </c>
      <c r="DM73" s="13">
        <f>VLOOKUP(A73,'Données projet'!$A$165:$I$185,9,0)</f>
        <v>4.5</v>
      </c>
      <c r="DN73" s="13">
        <f t="array" ref="DN73">INDEX(DM:DM,MIN(IF(ISNUMBER(DM73:DM269),ROW(DM73:DM269),"")))</f>
        <v>4.5</v>
      </c>
      <c r="DO73" s="13">
        <f>IF(A73&lt;'Données projet'!$A$166,$DL$205^A73,IF(A73='Données projet'!$A$166,'Données projet'!$B$166,DO72+DN73-DW72))</f>
        <v>328.49999999999989</v>
      </c>
      <c r="DP73" s="18">
        <f>DO73*VLOOKUP('Données projet'!$B$14,Paramètres!$A$1:$I$88,3,0)*VLOOKUP('Données projet'!$B$14,Paramètres!$A$1:$I$88,5,0)</f>
        <v>261.35459999999989</v>
      </c>
      <c r="DQ73" s="14">
        <f t="shared" si="102"/>
        <v>63.01103655068848</v>
      </c>
      <c r="DR73" s="22">
        <f t="shared" si="75"/>
        <v>564.93681699244883</v>
      </c>
      <c r="DS73" s="62">
        <f t="shared" si="76"/>
        <v>858.2701503257822</v>
      </c>
      <c r="DT73" s="62">
        <f ca="1">AVERAGE(OFFSET($DS$3,0,0,'Données projet'!$E$14+1,1))-AVERAGE(OFFSET($H$3,0,0,'Données projet'!$E$14+1,1))</f>
        <v>290.20755061064017</v>
      </c>
      <c r="DU73" s="62">
        <f t="shared" si="77"/>
        <v>343.54750327717181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25.9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25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9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7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21.2</v>
      </c>
      <c r="N74" s="14">
        <f>IF(A74&lt;'Données projet'!$A$36,$K$205^A74,IF(A74='Données projet'!$A$36,'Données projet'!$B$36,N73+M74-V73))</f>
        <v>543.19999999999993</v>
      </c>
      <c r="O74" s="14">
        <f>N74*VLOOKUP('Données projet'!$B$9,Paramètres!$A$1:$I$88,3,0)*VLOOKUP('Données projet'!$B$9,Paramètres!$A$1:$I$88,5,0)</f>
        <v>254.21759999999998</v>
      </c>
      <c r="P74" s="14">
        <f t="shared" si="97"/>
        <v>61.488195182366475</v>
      </c>
      <c r="Q74" s="22">
        <f t="shared" si="54"/>
        <v>549.85425994262152</v>
      </c>
      <c r="R74" s="62">
        <f t="shared" si="55"/>
        <v>843.1875932759549</v>
      </c>
      <c r="S74" s="62">
        <f ca="1">AVERAGE(OFFSET($R$3,0,0,'Données projet'!$E$9+1,1))-AVERAGE(OFFSET($H$3,0,0,'Données projet'!$E$9+1,1))</f>
        <v>300.03481708703549</v>
      </c>
      <c r="T74" s="62">
        <f t="shared" si="56"/>
        <v>102.6350860969182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IF(A74&lt;'Données projet'!$A$62,$AF$205^A74,IF(A74='Données projet'!$A$62,'Données projet'!$B$62,AI73+AH74-AQ73))</f>
        <v>-2.2737367544323206E-13</v>
      </c>
      <c r="AJ74" s="14">
        <f>AI74*VLOOKUP('Données projet'!$B$10,Paramètres!$A$1:$I$88,3,0)*VLOOKUP('Données projet'!$B$10,Paramètres!$A$1:$I$88,5,0)</f>
        <v>-1.2710188457276673E-13</v>
      </c>
      <c r="AK74" s="14" t="e">
        <f t="shared" si="98"/>
        <v>#NUM!</v>
      </c>
      <c r="AL74" s="22" t="e">
        <f t="shared" si="59"/>
        <v>#NUM!</v>
      </c>
      <c r="AM74" s="62" t="e">
        <f t="shared" si="60"/>
        <v>#NUM!</v>
      </c>
      <c r="AN74" s="62">
        <f ca="1">AVERAGE(OFFSET($AM$3,0,0,'Données projet'!$E$10+1,1))-AVERAGE(OFFSET($H$3,0,0,'Données projet'!$E$10+1,1))</f>
        <v>328.27336939084597</v>
      </c>
      <c r="AO74" s="62">
        <f t="shared" si="61"/>
        <v>448.79354389108755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2.3952941189294137</v>
      </c>
      <c r="AV74" s="23">
        <f>EXP(-LN(2)/25)*AV73+(1-EXP(-LN(2)/25))/(LN(2)/25)*Calculateur!AQ74*Calculateur!AS74*VLOOKUP('Données projet'!$B$9,Paramètres!$A$1:$I$88,3,0)*0.475*44/12</f>
        <v>4.4159065345293742</v>
      </c>
      <c r="AW74" s="23">
        <f>EXP(-LN(2)/2)*AW73+(1-EXP(-LN(2)/2))/(LN(2)/2)*AQ74*AT74*VLOOKUP('Données projet'!$B$9,Paramètres!$A$1:$I$88,3,0)*0.475*44/12</f>
        <v>9.82371554013331E-6</v>
      </c>
      <c r="AX74" s="23">
        <f t="shared" si="62"/>
        <v>6.8112104771743276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10.4</v>
      </c>
      <c r="BD74" s="13">
        <f>IF(A74&lt;'Données projet'!$A$88,$BA$205^A74,IF(A74='Données projet'!$A$88,'Données projet'!$B$88,BD73+BC74-BL73))</f>
        <v>289.39999999999992</v>
      </c>
      <c r="BE74" s="14">
        <f>BD74*VLOOKUP('Données projet'!$B$11,Paramètres!$A$1:$I$88,3,0)*VLOOKUP('Données projet'!$B$11,Paramètres!$A$1:$I$88,5,0)</f>
        <v>252.81983999999994</v>
      </c>
      <c r="BF74" s="14">
        <f t="shared" si="99"/>
        <v>61.189372414804382</v>
      </c>
      <c r="BG74" s="22">
        <f t="shared" si="63"/>
        <v>546.89937828911752</v>
      </c>
      <c r="BH74" s="62">
        <f t="shared" si="64"/>
        <v>840.23271162245078</v>
      </c>
      <c r="BI74" s="62">
        <f ca="1">AVERAGE(OFFSET($BH$3,0,0,'Données projet'!$E$11+1,1))-AVERAGE(OFFSET($H$3,0,0,'Données projet'!$E$11+1,1))</f>
        <v>348.65374983303883</v>
      </c>
      <c r="BJ74" s="62">
        <f t="shared" si="65"/>
        <v>312.05848669315151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4.1799999999999953</v>
      </c>
      <c r="BY74" s="13">
        <f>IF(A74&lt;'Données projet'!$A$114,$BV$205^A74,IF(A74='Données projet'!$A$114,'Données projet'!$B$114,BY73+BX74-CG73))</f>
        <v>306.77999999999992</v>
      </c>
      <c r="BZ74" s="14">
        <f>BY74*VLOOKUP('Données projet'!$B$12,Paramètres!$A$1:$I$88,3,0)*VLOOKUP('Données projet'!$B$12,Paramètres!$A$1:$I$88,5,0)</f>
        <v>224.93109599999991</v>
      </c>
      <c r="CA74" s="14">
        <f t="shared" si="100"/>
        <v>55.185248501771945</v>
      </c>
      <c r="CB74" s="22">
        <f t="shared" si="67"/>
        <v>487.8693000072526</v>
      </c>
      <c r="CC74" s="62">
        <f t="shared" si="68"/>
        <v>781.20263334058586</v>
      </c>
      <c r="CD74" s="62">
        <f ca="1">AVERAGE(OFFSET($CC$3,0,0,'Données projet'!$E$12+1,1))-AVERAGE(OFFSET($H$3,0,0,'Données projet'!$E$12+1,1))</f>
        <v>264.06656596707364</v>
      </c>
      <c r="CE74" s="62">
        <f t="shared" si="69"/>
        <v>315.34415130230195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5.6843418860808015E-14</v>
      </c>
      <c r="CU74" s="18">
        <f>CT74*VLOOKUP('Données projet'!$B$13,Paramètres!$A$1:$I$88,3,0)*VLOOKUP('Données projet'!$B$13,Paramètres!$A$1:$I$88,5,0)</f>
        <v>3.3992364478763198E-14</v>
      </c>
      <c r="CV74" s="14">
        <f t="shared" si="101"/>
        <v>5.790027782444094E-13</v>
      </c>
      <c r="CW74" s="22">
        <f t="shared" si="71"/>
        <v>1.0676332069095257E-12</v>
      </c>
      <c r="CX74" s="62">
        <f t="shared" si="72"/>
        <v>293.33333333333439</v>
      </c>
      <c r="CY74" s="62">
        <f ca="1">AVERAGE(OFFSET($CX$3,0,0,'Données projet'!$E$13+1,1))-AVERAGE(OFFSET($H$3,0,0,'Données projet'!$E$13+1,1))</f>
        <v>162.29089122912319</v>
      </c>
      <c r="CZ74" s="62">
        <f t="shared" si="73"/>
        <v>253.15422514195427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4.6894894678134396</v>
      </c>
      <c r="DG74" s="23">
        <f>EXP(-LN(2)/25)*DG73+(1-EXP(-LN(2)/25))/(LN(2)/25)*Calculateur!DB74*Calculateur!DD74*VLOOKUP('Données projet'!$B$9,Paramètres!$A$1:$I$88,3,0)*0.475*44/12</f>
        <v>1.7031411078737266</v>
      </c>
      <c r="DH74" s="23">
        <f>EXP(-LN(2)/2)*DH73+(1-EXP(-LN(2)/2))/(LN(2)/2)*DB74*DE74*VLOOKUP('Données projet'!$B$9,Paramètres!$A$1:$I$88,3,0)*0.475*44/12</f>
        <v>1.5753489980300443E-6</v>
      </c>
      <c r="DI74" s="24">
        <f t="shared" si="74"/>
        <v>6.3926321510361639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4.1799999999999953</v>
      </c>
      <c r="DO74" s="13">
        <f>IF(A74&lt;'Données projet'!$A$166,$DL$205^A74,IF(A74='Données projet'!$A$166,'Données projet'!$B$166,DO73+DN74-DW73))</f>
        <v>306.77999999999992</v>
      </c>
      <c r="DP74" s="18">
        <f>DO74*VLOOKUP('Données projet'!$B$14,Paramètres!$A$1:$I$88,3,0)*VLOOKUP('Données projet'!$B$14,Paramètres!$A$1:$I$88,5,0)</f>
        <v>244.07416799999996</v>
      </c>
      <c r="DQ74" s="14">
        <f t="shared" si="102"/>
        <v>59.315246950995579</v>
      </c>
      <c r="DR74" s="22">
        <f t="shared" si="75"/>
        <v>528.40323103965056</v>
      </c>
      <c r="DS74" s="62">
        <f t="shared" si="76"/>
        <v>821.73656437298382</v>
      </c>
      <c r="DT74" s="62">
        <f ca="1">AVERAGE(OFFSET($DS$3,0,0,'Données projet'!$E$14+1,1))-AVERAGE(OFFSET($H$3,0,0,'Données projet'!$E$14+1,1))</f>
        <v>290.20755061064017</v>
      </c>
      <c r="DU74" s="62">
        <f t="shared" si="77"/>
        <v>343.54750327717181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25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9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7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21.2</v>
      </c>
      <c r="N75" s="14">
        <f>IF(A75&lt;'Données projet'!$A$36,$K$205^A75,IF(A75='Données projet'!$A$36,'Données projet'!$B$36,N74+M75-V74))</f>
        <v>564.4</v>
      </c>
      <c r="O75" s="14">
        <f>N75*VLOOKUP('Données projet'!$B$9,Paramètres!$A$1:$I$88,3,0)*VLOOKUP('Données projet'!$B$9,Paramètres!$A$1:$I$88,5,0)</f>
        <v>264.13920000000002</v>
      </c>
      <c r="P75" s="14">
        <f t="shared" si="97"/>
        <v>63.60387543087441</v>
      </c>
      <c r="Q75" s="22">
        <f t="shared" si="54"/>
        <v>570.81918970877302</v>
      </c>
      <c r="R75" s="62">
        <f t="shared" si="55"/>
        <v>864.1525230421064</v>
      </c>
      <c r="S75" s="62">
        <f ca="1">AVERAGE(OFFSET($R$3,0,0,'Données projet'!$E$9+1,1))-AVERAGE(OFFSET($H$3,0,0,'Données projet'!$E$9+1,1))</f>
        <v>300.03481708703549</v>
      </c>
      <c r="T75" s="62">
        <f t="shared" si="56"/>
        <v>102.6350860969182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IF(A75&lt;'Données projet'!$A$62,$AF$205^A75,IF(A75='Données projet'!$A$62,'Données projet'!$B$62,AI74+AH75-AQ74))</f>
        <v>-2.2737367544323206E-13</v>
      </c>
      <c r="AJ75" s="14">
        <f>AI75*VLOOKUP('Données projet'!$B$10,Paramètres!$A$1:$I$88,3,0)*VLOOKUP('Données projet'!$B$10,Paramètres!$A$1:$I$88,5,0)</f>
        <v>-1.2710188457276673E-13</v>
      </c>
      <c r="AK75" s="14" t="e">
        <f t="shared" si="98"/>
        <v>#NUM!</v>
      </c>
      <c r="AL75" s="22" t="e">
        <f t="shared" si="59"/>
        <v>#NUM!</v>
      </c>
      <c r="AM75" s="62" t="e">
        <f t="shared" si="60"/>
        <v>#NUM!</v>
      </c>
      <c r="AN75" s="62">
        <f ca="1">AVERAGE(OFFSET($AM$3,0,0,'Données projet'!$E$10+1,1))-AVERAGE(OFFSET($H$3,0,0,'Données projet'!$E$10+1,1))</f>
        <v>328.27336939084597</v>
      </c>
      <c r="AO75" s="62">
        <f t="shared" si="61"/>
        <v>448.79354389108755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2.3483238622423603</v>
      </c>
      <c r="AV75" s="23">
        <f>EXP(-LN(2)/25)*AV74+(1-EXP(-LN(2)/25))/(LN(2)/25)*Calculateur!AQ75*Calculateur!AS75*VLOOKUP('Données projet'!$B$9,Paramètres!$A$1:$I$88,3,0)*0.475*44/12</f>
        <v>4.2951533381202367</v>
      </c>
      <c r="AW75" s="23">
        <f>EXP(-LN(2)/2)*AW74+(1-EXP(-LN(2)/2))/(LN(2)/2)*AQ75*AT75*VLOOKUP('Données projet'!$B$9,Paramètres!$A$1:$I$88,3,0)*0.475*44/12</f>
        <v>6.946415874875931E-6</v>
      </c>
      <c r="AX75" s="23">
        <f t="shared" si="62"/>
        <v>6.6434841467784711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10.4</v>
      </c>
      <c r="BD75" s="13">
        <f>IF(A75&lt;'Données projet'!$A$88,$BA$205^A75,IF(A75='Données projet'!$A$88,'Données projet'!$B$88,BD74+BC75-BL74))</f>
        <v>299.7999999999999</v>
      </c>
      <c r="BE75" s="14">
        <f>BD75*VLOOKUP('Données projet'!$B$11,Paramètres!$A$1:$I$88,3,0)*VLOOKUP('Données projet'!$B$11,Paramètres!$A$1:$I$88,5,0)</f>
        <v>261.90527999999995</v>
      </c>
      <c r="BF75" s="14">
        <f t="shared" si="99"/>
        <v>63.128333918905156</v>
      </c>
      <c r="BG75" s="22">
        <f t="shared" si="63"/>
        <v>566.10021090875966</v>
      </c>
      <c r="BH75" s="62">
        <f t="shared" si="64"/>
        <v>859.43354424209292</v>
      </c>
      <c r="BI75" s="62">
        <f ca="1">AVERAGE(OFFSET($BH$3,0,0,'Données projet'!$E$11+1,1))-AVERAGE(OFFSET($H$3,0,0,'Données projet'!$E$11+1,1))</f>
        <v>348.65374983303883</v>
      </c>
      <c r="BJ75" s="62">
        <f t="shared" si="65"/>
        <v>312.05848669315151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4.1799999999999953</v>
      </c>
      <c r="BY75" s="13">
        <f>IF(A75&lt;'Données projet'!$A$114,$BV$205^A75,IF(A75='Données projet'!$A$114,'Données projet'!$B$114,BY74+BX75-CG74))</f>
        <v>310.95999999999992</v>
      </c>
      <c r="BZ75" s="14">
        <f>BY75*VLOOKUP('Données projet'!$B$12,Paramètres!$A$1:$I$88,3,0)*VLOOKUP('Données projet'!$B$12,Paramètres!$A$1:$I$88,5,0)</f>
        <v>227.99587199999993</v>
      </c>
      <c r="CA75" s="14">
        <f t="shared" si="100"/>
        <v>55.849121725085425</v>
      </c>
      <c r="CB75" s="22">
        <f t="shared" si="67"/>
        <v>494.36336407119035</v>
      </c>
      <c r="CC75" s="62">
        <f t="shared" si="68"/>
        <v>787.69669740452366</v>
      </c>
      <c r="CD75" s="62">
        <f ca="1">AVERAGE(OFFSET($CC$3,0,0,'Données projet'!$E$12+1,1))-AVERAGE(OFFSET($H$3,0,0,'Données projet'!$E$12+1,1))</f>
        <v>264.06656596707364</v>
      </c>
      <c r="CE75" s="62">
        <f t="shared" si="69"/>
        <v>315.34415130230195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5.6843418860808015E-14</v>
      </c>
      <c r="CU75" s="18">
        <f>CT75*VLOOKUP('Données projet'!$B$13,Paramètres!$A$1:$I$88,3,0)*VLOOKUP('Données projet'!$B$13,Paramètres!$A$1:$I$88,5,0)</f>
        <v>3.3992364478763198E-14</v>
      </c>
      <c r="CV75" s="14">
        <f t="shared" si="101"/>
        <v>5.790027782444094E-13</v>
      </c>
      <c r="CW75" s="22">
        <f t="shared" si="71"/>
        <v>1.0676332069095257E-12</v>
      </c>
      <c r="CX75" s="62">
        <f t="shared" si="72"/>
        <v>293.33333333333439</v>
      </c>
      <c r="CY75" s="62">
        <f ca="1">AVERAGE(OFFSET($CX$3,0,0,'Données projet'!$E$13+1,1))-AVERAGE(OFFSET($H$3,0,0,'Données projet'!$E$13+1,1))</f>
        <v>162.29089122912319</v>
      </c>
      <c r="CZ75" s="62">
        <f t="shared" si="73"/>
        <v>253.15422514195427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4.5975314396557616</v>
      </c>
      <c r="DG75" s="23">
        <f>EXP(-LN(2)/25)*DG74+(1-EXP(-LN(2)/25))/(LN(2)/25)*Calculateur!DB75*Calculateur!DD75*VLOOKUP('Données projet'!$B$9,Paramètres!$A$1:$I$88,3,0)*0.475*44/12</f>
        <v>1.6565686247146214</v>
      </c>
      <c r="DH75" s="23">
        <f>EXP(-LN(2)/2)*DH74+(1-EXP(-LN(2)/2))/(LN(2)/2)*DB75*DE75*VLOOKUP('Données projet'!$B$9,Paramètres!$A$1:$I$88,3,0)*0.475*44/12</f>
        <v>1.1139399592424774E-6</v>
      </c>
      <c r="DI75" s="24">
        <f t="shared" si="74"/>
        <v>6.254101178310342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4.1799999999999953</v>
      </c>
      <c r="DO75" s="13">
        <f>IF(A75&lt;'Données projet'!$A$166,$DL$205^A75,IF(A75='Données projet'!$A$166,'Données projet'!$B$166,DO74+DN75-DW74))</f>
        <v>310.95999999999992</v>
      </c>
      <c r="DP75" s="18">
        <f>DO75*VLOOKUP('Données projet'!$B$14,Paramètres!$A$1:$I$88,3,0)*VLOOKUP('Données projet'!$B$14,Paramètres!$A$1:$I$88,5,0)</f>
        <v>247.39977599999995</v>
      </c>
      <c r="DQ75" s="14">
        <f t="shared" si="102"/>
        <v>60.028803657797908</v>
      </c>
      <c r="DR75" s="22">
        <f t="shared" si="75"/>
        <v>535.43810957066455</v>
      </c>
      <c r="DS75" s="62">
        <f t="shared" si="76"/>
        <v>828.77144290399792</v>
      </c>
      <c r="DT75" s="62">
        <f ca="1">AVERAGE(OFFSET($DS$3,0,0,'Données projet'!$E$14+1,1))-AVERAGE(OFFSET($H$3,0,0,'Données projet'!$E$14+1,1))</f>
        <v>290.20755061064017</v>
      </c>
      <c r="DU75" s="62">
        <f t="shared" si="77"/>
        <v>343.54750327717181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25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9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7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21.2</v>
      </c>
      <c r="N76" s="14">
        <f>IF(A76&lt;'Données projet'!$A$36,$K$205^A76,IF(A76='Données projet'!$A$36,'Données projet'!$B$36,N75+M76-V75))</f>
        <v>585.6</v>
      </c>
      <c r="O76" s="14">
        <f>N76*VLOOKUP('Données projet'!$B$9,Paramètres!$A$1:$I$88,3,0)*VLOOKUP('Données projet'!$B$9,Paramètres!$A$1:$I$88,5,0)</f>
        <v>274.06080000000003</v>
      </c>
      <c r="P76" s="14">
        <f t="shared" si="97"/>
        <v>65.710323362952991</v>
      </c>
      <c r="Q76" s="22">
        <f t="shared" si="54"/>
        <v>591.76803985714309</v>
      </c>
      <c r="R76" s="62">
        <f t="shared" si="55"/>
        <v>885.10137319047635</v>
      </c>
      <c r="S76" s="62">
        <f ca="1">AVERAGE(OFFSET($R$3,0,0,'Données projet'!$E$9+1,1))-AVERAGE(OFFSET($H$3,0,0,'Données projet'!$E$9+1,1))</f>
        <v>300.03481708703549</v>
      </c>
      <c r="T76" s="62">
        <f t="shared" si="56"/>
        <v>102.6350860969182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IF(A76&lt;'Données projet'!$A$62,$AF$205^A76,IF(A76='Données projet'!$A$62,'Données projet'!$B$62,AI75+AH76-AQ75))</f>
        <v>-2.2737367544323206E-13</v>
      </c>
      <c r="AJ76" s="14">
        <f>AI76*VLOOKUP('Données projet'!$B$10,Paramètres!$A$1:$I$88,3,0)*VLOOKUP('Données projet'!$B$10,Paramètres!$A$1:$I$88,5,0)</f>
        <v>-1.2710188457276673E-13</v>
      </c>
      <c r="AK76" s="14" t="e">
        <f t="shared" si="98"/>
        <v>#NUM!</v>
      </c>
      <c r="AL76" s="22" t="e">
        <f t="shared" si="59"/>
        <v>#NUM!</v>
      </c>
      <c r="AM76" s="62" t="e">
        <f t="shared" si="60"/>
        <v>#NUM!</v>
      </c>
      <c r="AN76" s="62">
        <f ca="1">AVERAGE(OFFSET($AM$3,0,0,'Données projet'!$E$10+1,1))-AVERAGE(OFFSET($H$3,0,0,'Données projet'!$E$10+1,1))</f>
        <v>328.27336939084597</v>
      </c>
      <c r="AO76" s="62">
        <f t="shared" si="61"/>
        <v>448.79354389108755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2.3022746636399121</v>
      </c>
      <c r="AV76" s="23">
        <f>EXP(-LN(2)/25)*AV75+(1-EXP(-LN(2)/25))/(LN(2)/25)*Calculateur!AQ76*Calculateur!AS76*VLOOKUP('Données projet'!$B$9,Paramètres!$A$1:$I$88,3,0)*0.475*44/12</f>
        <v>4.1777021442170419</v>
      </c>
      <c r="AW76" s="23">
        <f>EXP(-LN(2)/2)*AW75+(1-EXP(-LN(2)/2))/(LN(2)/2)*AQ76*AT76*VLOOKUP('Données projet'!$B$9,Paramètres!$A$1:$I$88,3,0)*0.475*44/12</f>
        <v>4.911857770066655E-6</v>
      </c>
      <c r="AX76" s="23">
        <f t="shared" si="62"/>
        <v>6.4799817197147238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10.4</v>
      </c>
      <c r="BD76" s="13">
        <f>IF(A76&lt;'Données projet'!$A$88,$BA$205^A76,IF(A76='Données projet'!$A$88,'Données projet'!$B$88,BD75+BC76-BL75))</f>
        <v>310.19999999999987</v>
      </c>
      <c r="BE76" s="14">
        <f>BD76*VLOOKUP('Données projet'!$B$11,Paramètres!$A$1:$I$88,3,0)*VLOOKUP('Données projet'!$B$11,Paramètres!$A$1:$I$88,5,0)</f>
        <v>270.99071999999995</v>
      </c>
      <c r="BF76" s="14">
        <f t="shared" si="99"/>
        <v>65.05948023590976</v>
      </c>
      <c r="BG76" s="22">
        <f t="shared" si="63"/>
        <v>585.28743207754269</v>
      </c>
      <c r="BH76" s="62">
        <f t="shared" si="64"/>
        <v>878.62076541087595</v>
      </c>
      <c r="BI76" s="62">
        <f ca="1">AVERAGE(OFFSET($BH$3,0,0,'Données projet'!$E$11+1,1))-AVERAGE(OFFSET($H$3,0,0,'Données projet'!$E$11+1,1))</f>
        <v>348.65374983303883</v>
      </c>
      <c r="BJ76" s="62">
        <f t="shared" si="65"/>
        <v>312.05848669315151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4.1799999999999953</v>
      </c>
      <c r="BY76" s="13">
        <f>IF(A76&lt;'Données projet'!$A$114,$BV$205^A76,IF(A76='Données projet'!$A$114,'Données projet'!$B$114,BY75+BX76-CG75))</f>
        <v>315.13999999999993</v>
      </c>
      <c r="BZ76" s="14">
        <f>BY76*VLOOKUP('Données projet'!$B$12,Paramètres!$A$1:$I$88,3,0)*VLOOKUP('Données projet'!$B$12,Paramètres!$A$1:$I$88,5,0)</f>
        <v>231.06064799999993</v>
      </c>
      <c r="CA76" s="14">
        <f t="shared" si="100"/>
        <v>56.511956980324314</v>
      </c>
      <c r="CB76" s="22">
        <f t="shared" si="67"/>
        <v>500.85562034073132</v>
      </c>
      <c r="CC76" s="62">
        <f t="shared" si="68"/>
        <v>794.18895367406458</v>
      </c>
      <c r="CD76" s="62">
        <f ca="1">AVERAGE(OFFSET($CC$3,0,0,'Données projet'!$E$12+1,1))-AVERAGE(OFFSET($H$3,0,0,'Données projet'!$E$12+1,1))</f>
        <v>264.06656596707364</v>
      </c>
      <c r="CE76" s="62">
        <f t="shared" si="69"/>
        <v>315.34415130230195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5.6843418860808015E-14</v>
      </c>
      <c r="CU76" s="18">
        <f>CT76*VLOOKUP('Données projet'!$B$13,Paramètres!$A$1:$I$88,3,0)*VLOOKUP('Données projet'!$B$13,Paramètres!$A$1:$I$88,5,0)</f>
        <v>3.3992364478763198E-14</v>
      </c>
      <c r="CV76" s="14">
        <f t="shared" si="101"/>
        <v>5.790027782444094E-13</v>
      </c>
      <c r="CW76" s="22">
        <f t="shared" si="71"/>
        <v>1.0676332069095257E-12</v>
      </c>
      <c r="CX76" s="62">
        <f t="shared" si="72"/>
        <v>293.33333333333439</v>
      </c>
      <c r="CY76" s="62">
        <f ca="1">AVERAGE(OFFSET($CX$3,0,0,'Données projet'!$E$13+1,1))-AVERAGE(OFFSET($H$3,0,0,'Données projet'!$E$13+1,1))</f>
        <v>162.29089122912319</v>
      </c>
      <c r="CZ76" s="62">
        <f t="shared" si="73"/>
        <v>253.15422514195427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4.5073766523413967</v>
      </c>
      <c r="DG76" s="23">
        <f>EXP(-LN(2)/25)*DG75+(1-EXP(-LN(2)/25))/(LN(2)/25)*Calculateur!DB76*Calculateur!DD76*VLOOKUP('Données projet'!$B$9,Paramètres!$A$1:$I$88,3,0)*0.475*44/12</f>
        <v>1.6112696685566423</v>
      </c>
      <c r="DH76" s="23">
        <f>EXP(-LN(2)/2)*DH75+(1-EXP(-LN(2)/2))/(LN(2)/2)*DB76*DE76*VLOOKUP('Données projet'!$B$9,Paramètres!$A$1:$I$88,3,0)*0.475*44/12</f>
        <v>7.8767449901502216E-7</v>
      </c>
      <c r="DI76" s="24">
        <f t="shared" si="74"/>
        <v>6.1186471085725378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4.1799999999999953</v>
      </c>
      <c r="DO76" s="13">
        <f>IF(A76&lt;'Données projet'!$A$166,$DL$205^A76,IF(A76='Données projet'!$A$166,'Données projet'!$B$166,DO75+DN76-DW75))</f>
        <v>315.13999999999993</v>
      </c>
      <c r="DP76" s="18">
        <f>DO76*VLOOKUP('Données projet'!$B$14,Paramètres!$A$1:$I$88,3,0)*VLOOKUP('Données projet'!$B$14,Paramètres!$A$1:$I$88,5,0)</f>
        <v>250.72538399999993</v>
      </c>
      <c r="DQ76" s="14">
        <f t="shared" si="102"/>
        <v>60.741244716227833</v>
      </c>
      <c r="DR76" s="22">
        <f t="shared" si="75"/>
        <v>542.47104501409672</v>
      </c>
      <c r="DS76" s="62">
        <f t="shared" si="76"/>
        <v>835.80437834742997</v>
      </c>
      <c r="DT76" s="62">
        <f ca="1">AVERAGE(OFFSET($DS$3,0,0,'Données projet'!$E$14+1,1))-AVERAGE(OFFSET($H$3,0,0,'Données projet'!$E$14+1,1))</f>
        <v>290.20755061064017</v>
      </c>
      <c r="DU76" s="62">
        <f t="shared" si="77"/>
        <v>343.54750327717181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25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9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7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21.2</v>
      </c>
      <c r="N77" s="14">
        <f>IF(A77&lt;'Données projet'!$A$36,$K$205^A77,IF(A77='Données projet'!$A$36,'Données projet'!$B$36,N76+M77-V76))</f>
        <v>606.80000000000007</v>
      </c>
      <c r="O77" s="14">
        <f>N77*VLOOKUP('Données projet'!$B$9,Paramètres!$A$1:$I$88,3,0)*VLOOKUP('Données projet'!$B$9,Paramètres!$A$1:$I$88,5,0)</f>
        <v>283.98240000000004</v>
      </c>
      <c r="P77" s="14">
        <f t="shared" si="97"/>
        <v>67.807911493441154</v>
      </c>
      <c r="Q77" s="22">
        <f t="shared" si="54"/>
        <v>612.70145918441006</v>
      </c>
      <c r="R77" s="62">
        <f t="shared" si="55"/>
        <v>906.03479251774343</v>
      </c>
      <c r="S77" s="62">
        <f ca="1">AVERAGE(OFFSET($R$3,0,0,'Données projet'!$E$9+1,1))-AVERAGE(OFFSET($H$3,0,0,'Données projet'!$E$9+1,1))</f>
        <v>300.03481708703549</v>
      </c>
      <c r="T77" s="62">
        <f t="shared" si="56"/>
        <v>102.6350860969182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IF(A77&lt;'Données projet'!$A$62,$AF$205^A77,IF(A77='Données projet'!$A$62,'Données projet'!$B$62,AI76+AH77-AQ76))</f>
        <v>-2.2737367544323206E-13</v>
      </c>
      <c r="AJ77" s="14">
        <f>AI77*VLOOKUP('Données projet'!$B$10,Paramètres!$A$1:$I$88,3,0)*VLOOKUP('Données projet'!$B$10,Paramètres!$A$1:$I$88,5,0)</f>
        <v>-1.2710188457276673E-13</v>
      </c>
      <c r="AK77" s="14" t="e">
        <f t="shared" si="98"/>
        <v>#NUM!</v>
      </c>
      <c r="AL77" s="22" t="e">
        <f t="shared" si="59"/>
        <v>#NUM!</v>
      </c>
      <c r="AM77" s="62" t="e">
        <f t="shared" si="60"/>
        <v>#NUM!</v>
      </c>
      <c r="AN77" s="62">
        <f ca="1">AVERAGE(OFFSET($AM$3,0,0,'Données projet'!$E$10+1,1))-AVERAGE(OFFSET($H$3,0,0,'Données projet'!$E$10+1,1))</f>
        <v>328.27336939084597</v>
      </c>
      <c r="AO77" s="62">
        <f t="shared" si="61"/>
        <v>448.79354389108755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2.25712846173482</v>
      </c>
      <c r="AV77" s="23">
        <f>EXP(-LN(2)/25)*AV76+(1-EXP(-LN(2)/25))/(LN(2)/25)*Calculateur!AQ77*Calculateur!AS77*VLOOKUP('Données projet'!$B$9,Paramètres!$A$1:$I$88,3,0)*0.475*44/12</f>
        <v>4.0634626593876195</v>
      </c>
      <c r="AW77" s="23">
        <f>EXP(-LN(2)/2)*AW76+(1-EXP(-LN(2)/2))/(LN(2)/2)*AQ77*AT77*VLOOKUP('Données projet'!$B$9,Paramètres!$A$1:$I$88,3,0)*0.475*44/12</f>
        <v>3.4732079374379655E-6</v>
      </c>
      <c r="AX77" s="23">
        <f t="shared" si="62"/>
        <v>6.3205945943303767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10.4</v>
      </c>
      <c r="BD77" s="13">
        <f>IF(A77&lt;'Données projet'!$A$88,$BA$205^A77,IF(A77='Données projet'!$A$88,'Données projet'!$B$88,BD76+BC77-BL76))</f>
        <v>320.59999999999985</v>
      </c>
      <c r="BE77" s="14">
        <f>BD77*VLOOKUP('Données projet'!$B$11,Paramètres!$A$1:$I$88,3,0)*VLOOKUP('Données projet'!$B$11,Paramètres!$A$1:$I$88,5,0)</f>
        <v>280.0761599999999</v>
      </c>
      <c r="BF77" s="14">
        <f t="shared" si="99"/>
        <v>66.983103423687609</v>
      </c>
      <c r="BG77" s="22">
        <f t="shared" si="63"/>
        <v>604.46155046292245</v>
      </c>
      <c r="BH77" s="62">
        <f t="shared" si="64"/>
        <v>897.79488379625582</v>
      </c>
      <c r="BI77" s="62">
        <f ca="1">AVERAGE(OFFSET($BH$3,0,0,'Données projet'!$E$11+1,1))-AVERAGE(OFFSET($H$3,0,0,'Données projet'!$E$11+1,1))</f>
        <v>348.65374983303883</v>
      </c>
      <c r="BJ77" s="62">
        <f t="shared" si="65"/>
        <v>312.05848669315151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4.1799999999999953</v>
      </c>
      <c r="BY77" s="13">
        <f>IF(A77&lt;'Données projet'!$A$114,$BV$205^A77,IF(A77='Données projet'!$A$114,'Données projet'!$B$114,BY76+BX77-CG76))</f>
        <v>319.31999999999994</v>
      </c>
      <c r="BZ77" s="14">
        <f>BY77*VLOOKUP('Données projet'!$B$12,Paramètres!$A$1:$I$88,3,0)*VLOOKUP('Données projet'!$B$12,Paramètres!$A$1:$I$88,5,0)</f>
        <v>234.12542399999995</v>
      </c>
      <c r="CA77" s="14">
        <f t="shared" si="100"/>
        <v>57.173769626631554</v>
      </c>
      <c r="CB77" s="22">
        <f t="shared" si="67"/>
        <v>507.34609556638321</v>
      </c>
      <c r="CC77" s="62">
        <f t="shared" si="68"/>
        <v>800.67942889971653</v>
      </c>
      <c r="CD77" s="62">
        <f ca="1">AVERAGE(OFFSET($CC$3,0,0,'Données projet'!$E$12+1,1))-AVERAGE(OFFSET($H$3,0,0,'Données projet'!$E$12+1,1))</f>
        <v>264.06656596707364</v>
      </c>
      <c r="CE77" s="62">
        <f t="shared" si="69"/>
        <v>315.34415130230195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5.6843418860808015E-14</v>
      </c>
      <c r="CU77" s="18">
        <f>CT77*VLOOKUP('Données projet'!$B$13,Paramètres!$A$1:$I$88,3,0)*VLOOKUP('Données projet'!$B$13,Paramètres!$A$1:$I$88,5,0)</f>
        <v>3.3992364478763198E-14</v>
      </c>
      <c r="CV77" s="14">
        <f t="shared" si="101"/>
        <v>5.790027782444094E-13</v>
      </c>
      <c r="CW77" s="22">
        <f t="shared" si="71"/>
        <v>1.0676332069095257E-12</v>
      </c>
      <c r="CX77" s="62">
        <f t="shared" si="72"/>
        <v>293.33333333333439</v>
      </c>
      <c r="CY77" s="62">
        <f ca="1">AVERAGE(OFFSET($CX$3,0,0,'Données projet'!$E$13+1,1))-AVERAGE(OFFSET($H$3,0,0,'Données projet'!$E$13+1,1))</f>
        <v>162.29089122912319</v>
      </c>
      <c r="CZ77" s="62">
        <f t="shared" si="73"/>
        <v>253.15422514195427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4.4189897454172762</v>
      </c>
      <c r="DG77" s="23">
        <f>EXP(-LN(2)/25)*DG76+(1-EXP(-LN(2)/25))/(LN(2)/25)*Calculateur!DB77*Calculateur!DD77*VLOOKUP('Données projet'!$B$9,Paramètres!$A$1:$I$88,3,0)*0.475*44/12</f>
        <v>1.5672094147369717</v>
      </c>
      <c r="DH77" s="23">
        <f>EXP(-LN(2)/2)*DH76+(1-EXP(-LN(2)/2))/(LN(2)/2)*DB77*DE77*VLOOKUP('Données projet'!$B$9,Paramètres!$A$1:$I$88,3,0)*0.475*44/12</f>
        <v>5.5696997962123871E-7</v>
      </c>
      <c r="DI77" s="24">
        <f t="shared" si="74"/>
        <v>5.9861997171242276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4.1799999999999953</v>
      </c>
      <c r="DO77" s="13">
        <f>IF(A77&lt;'Données projet'!$A$166,$DL$205^A77,IF(A77='Données projet'!$A$166,'Données projet'!$B$166,DO76+DN77-DW76))</f>
        <v>319.31999999999994</v>
      </c>
      <c r="DP77" s="18">
        <f>DO77*VLOOKUP('Données projet'!$B$14,Paramètres!$A$1:$I$88,3,0)*VLOOKUP('Données projet'!$B$14,Paramètres!$A$1:$I$88,5,0)</f>
        <v>254.05099199999995</v>
      </c>
      <c r="DQ77" s="14">
        <f t="shared" si="102"/>
        <v>61.45258663488832</v>
      </c>
      <c r="DR77" s="22">
        <f t="shared" si="75"/>
        <v>549.50206612243039</v>
      </c>
      <c r="DS77" s="62">
        <f t="shared" si="76"/>
        <v>842.83539945576376</v>
      </c>
      <c r="DT77" s="62">
        <f ca="1">AVERAGE(OFFSET($DS$3,0,0,'Données projet'!$E$14+1,1))-AVERAGE(OFFSET($H$3,0,0,'Données projet'!$E$14+1,1))</f>
        <v>290.20755061064017</v>
      </c>
      <c r="DU77" s="62">
        <f t="shared" si="77"/>
        <v>343.54750327717181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25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9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7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21.2</v>
      </c>
      <c r="N78" s="14">
        <f>IF(A78&lt;'Données projet'!$A$36,$K$205^A78,IF(A78='Données projet'!$A$36,'Données projet'!$B$36,N77+M78-V77))</f>
        <v>628.00000000000011</v>
      </c>
      <c r="O78" s="14">
        <f>N78*VLOOKUP('Données projet'!$B$9,Paramètres!$A$1:$I$88,3,0)*VLOOKUP('Données projet'!$B$9,Paramètres!$A$1:$I$88,5,0)</f>
        <v>293.90400000000005</v>
      </c>
      <c r="P78" s="14">
        <f t="shared" si="97"/>
        <v>69.896984831773324</v>
      </c>
      <c r="Q78" s="22">
        <f t="shared" si="54"/>
        <v>633.62004858200532</v>
      </c>
      <c r="R78" s="62">
        <f t="shared" si="55"/>
        <v>926.9533819153387</v>
      </c>
      <c r="S78" s="62">
        <f ca="1">AVERAGE(OFFSET($R$3,0,0,'Données projet'!$E$9+1,1))-AVERAGE(OFFSET($H$3,0,0,'Données projet'!$E$9+1,1))</f>
        <v>300.03481708703549</v>
      </c>
      <c r="T78" s="62">
        <f t="shared" si="56"/>
        <v>102.6350860969182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IF(A78&lt;'Données projet'!$A$62,$AF$205^A78,IF(A78='Données projet'!$A$62,'Données projet'!$B$62,AI77+AH78-AQ77))</f>
        <v>-2.2737367544323206E-13</v>
      </c>
      <c r="AJ78" s="14">
        <f>AI78*VLOOKUP('Données projet'!$B$10,Paramètres!$A$1:$I$88,3,0)*VLOOKUP('Données projet'!$B$10,Paramètres!$A$1:$I$88,5,0)</f>
        <v>-1.2710188457276673E-13</v>
      </c>
      <c r="AK78" s="14" t="e">
        <f t="shared" si="98"/>
        <v>#NUM!</v>
      </c>
      <c r="AL78" s="22" t="e">
        <f t="shared" si="59"/>
        <v>#NUM!</v>
      </c>
      <c r="AM78" s="62" t="e">
        <f t="shared" si="60"/>
        <v>#NUM!</v>
      </c>
      <c r="AN78" s="62">
        <f ca="1">AVERAGE(OFFSET($AM$3,0,0,'Données projet'!$E$10+1,1))-AVERAGE(OFFSET($H$3,0,0,'Données projet'!$E$10+1,1))</f>
        <v>328.27336939084597</v>
      </c>
      <c r="AO78" s="62">
        <f t="shared" si="61"/>
        <v>448.79354389108755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2.2128675493126226</v>
      </c>
      <c r="AV78" s="23">
        <f>EXP(-LN(2)/25)*AV77+(1-EXP(-LN(2)/25))/(LN(2)/25)*Calculateur!AQ78*Calculateur!AS78*VLOOKUP('Données projet'!$B$9,Paramètres!$A$1:$I$88,3,0)*0.475*44/12</f>
        <v>3.9523470592784511</v>
      </c>
      <c r="AW78" s="23">
        <f>EXP(-LN(2)/2)*AW77+(1-EXP(-LN(2)/2))/(LN(2)/2)*AQ78*AT78*VLOOKUP('Données projet'!$B$9,Paramètres!$A$1:$I$88,3,0)*0.475*44/12</f>
        <v>2.4559288850333275E-6</v>
      </c>
      <c r="AX78" s="23">
        <f t="shared" si="62"/>
        <v>6.1652170645199584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331</v>
      </c>
      <c r="BB78" s="13">
        <f>VLOOKUP(A78,'Données projet'!$A$87:$I$107,9,0)</f>
        <v>10.4</v>
      </c>
      <c r="BC78" s="13">
        <f t="array" ref="BC78">INDEX(BB:BB,MIN(IF(ISNUMBER(BB78:BB274),ROW(BB78:BB274),"")))</f>
        <v>10.4</v>
      </c>
      <c r="BD78" s="13">
        <f>IF(A78&lt;'Données projet'!$A$88,$BA$205^A78,IF(A78='Données projet'!$A$88,'Données projet'!$B$88,BD77+BC78-BL77))</f>
        <v>330.99999999999983</v>
      </c>
      <c r="BE78" s="14">
        <f>BD78*VLOOKUP('Données projet'!$B$11,Paramètres!$A$1:$I$88,3,0)*VLOOKUP('Données projet'!$B$11,Paramètres!$A$1:$I$88,5,0)</f>
        <v>289.16159999999991</v>
      </c>
      <c r="BF78" s="14">
        <f t="shared" si="99"/>
        <v>68.899475516226261</v>
      </c>
      <c r="BG78" s="22">
        <f t="shared" si="63"/>
        <v>623.62303985742722</v>
      </c>
      <c r="BH78" s="62">
        <f t="shared" si="64"/>
        <v>916.95637319076059</v>
      </c>
      <c r="BI78" s="62">
        <f ca="1">AVERAGE(OFFSET($BH$3,0,0,'Données projet'!$E$11+1,1))-AVERAGE(OFFSET($H$3,0,0,'Données projet'!$E$11+1,1))</f>
        <v>348.65374983303883</v>
      </c>
      <c r="BJ78" s="62">
        <f t="shared" si="65"/>
        <v>312.05848669315151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323.5</v>
      </c>
      <c r="BW78" s="13">
        <f>VLOOKUP(A78,'Données projet'!$A$113:$I$133,9,0)</f>
        <v>4.1799999999999953</v>
      </c>
      <c r="BX78" s="13">
        <f t="array" ref="BX78">INDEX(BW:BW,MIN(IF(ISNUMBER(BW78:BW274),ROW(BW78:BW274),"")))</f>
        <v>4.1799999999999953</v>
      </c>
      <c r="BY78" s="13">
        <f>IF(A78&lt;'Données projet'!$A$114,$BV$205^A78,IF(A78='Données projet'!$A$114,'Données projet'!$B$114,BY77+BX78-CG77))</f>
        <v>323.49999999999994</v>
      </c>
      <c r="BZ78" s="14">
        <f>BY78*VLOOKUP('Données projet'!$B$12,Paramètres!$A$1:$I$88,3,0)*VLOOKUP('Données projet'!$B$12,Paramètres!$A$1:$I$88,5,0)</f>
        <v>237.19019999999995</v>
      </c>
      <c r="CA78" s="14">
        <f t="shared" si="100"/>
        <v>57.834574597922789</v>
      </c>
      <c r="CB78" s="22">
        <f t="shared" si="67"/>
        <v>513.83481575804865</v>
      </c>
      <c r="CC78" s="62">
        <f t="shared" si="68"/>
        <v>807.16814909138202</v>
      </c>
      <c r="CD78" s="62">
        <f ca="1">AVERAGE(OFFSET($CC$3,0,0,'Données projet'!$E$12+1,1))-AVERAGE(OFFSET($H$3,0,0,'Données projet'!$E$12+1,1))</f>
        <v>264.06656596707364</v>
      </c>
      <c r="CE78" s="62">
        <f t="shared" si="69"/>
        <v>315.34415130230195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5.6843418860808015E-14</v>
      </c>
      <c r="CU78" s="18">
        <f>CT78*VLOOKUP('Données projet'!$B$13,Paramètres!$A$1:$I$88,3,0)*VLOOKUP('Données projet'!$B$13,Paramètres!$A$1:$I$88,5,0)</f>
        <v>3.3992364478763198E-14</v>
      </c>
      <c r="CV78" s="14">
        <f t="shared" si="101"/>
        <v>5.790027782444094E-13</v>
      </c>
      <c r="CW78" s="22">
        <f t="shared" si="71"/>
        <v>1.0676332069095257E-12</v>
      </c>
      <c r="CX78" s="62">
        <f t="shared" si="72"/>
        <v>293.33333333333439</v>
      </c>
      <c r="CY78" s="62">
        <f ca="1">AVERAGE(OFFSET($CX$3,0,0,'Données projet'!$E$13+1,1))-AVERAGE(OFFSET($H$3,0,0,'Données projet'!$E$13+1,1))</f>
        <v>162.29089122912319</v>
      </c>
      <c r="CZ78" s="62">
        <f t="shared" si="73"/>
        <v>253.15422514195427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4.332336051827248</v>
      </c>
      <c r="DG78" s="23">
        <f>EXP(-LN(2)/25)*DG77+(1-EXP(-LN(2)/25))/(LN(2)/25)*Calculateur!DB78*Calculateur!DD78*VLOOKUP('Données projet'!$B$9,Paramètres!$A$1:$I$88,3,0)*0.475*44/12</f>
        <v>1.5243539908750281</v>
      </c>
      <c r="DH78" s="23">
        <f>EXP(-LN(2)/2)*DH77+(1-EXP(-LN(2)/2))/(LN(2)/2)*DB78*DE78*VLOOKUP('Données projet'!$B$9,Paramètres!$A$1:$I$88,3,0)*0.475*44/12</f>
        <v>3.9383724950751108E-7</v>
      </c>
      <c r="DI78" s="24">
        <f t="shared" si="74"/>
        <v>5.8566904365395258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323.5</v>
      </c>
      <c r="DM78" s="13">
        <f>VLOOKUP(A78,'Données projet'!$A$165:$I$185,9,0)</f>
        <v>4.1799999999999953</v>
      </c>
      <c r="DN78" s="13">
        <f t="array" ref="DN78">INDEX(DM:DM,MIN(IF(ISNUMBER(DM78:DM274),ROW(DM78:DM274),"")))</f>
        <v>4.1799999999999953</v>
      </c>
      <c r="DO78" s="13">
        <f>IF(A78&lt;'Données projet'!$A$166,$DL$205^A78,IF(A78='Données projet'!$A$166,'Données projet'!$B$166,DO77+DN78-DW77))</f>
        <v>323.49999999999994</v>
      </c>
      <c r="DP78" s="18">
        <f>DO78*VLOOKUP('Données projet'!$B$14,Paramètres!$A$1:$I$88,3,0)*VLOOKUP('Données projet'!$B$14,Paramètres!$A$1:$I$88,5,0)</f>
        <v>257.3766</v>
      </c>
      <c r="DQ78" s="14">
        <f t="shared" si="102"/>
        <v>62.162845465331493</v>
      </c>
      <c r="DR78" s="22">
        <f t="shared" si="75"/>
        <v>556.53120085211901</v>
      </c>
      <c r="DS78" s="62">
        <f t="shared" si="76"/>
        <v>849.86453418545238</v>
      </c>
      <c r="DT78" s="62">
        <f ca="1">AVERAGE(OFFSET($DS$3,0,0,'Données projet'!$E$14+1,1))-AVERAGE(OFFSET($H$3,0,0,'Données projet'!$E$14+1,1))</f>
        <v>290.20755061064017</v>
      </c>
      <c r="DU78" s="62">
        <f t="shared" si="77"/>
        <v>343.54750327717181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25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9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7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21.2</v>
      </c>
      <c r="N79" s="14">
        <f>IF(A79&lt;'Données projet'!$A$36,$K$205^A79,IF(A79='Données projet'!$A$36,'Données projet'!$B$36,N78+M79-V78))</f>
        <v>649.20000000000016</v>
      </c>
      <c r="O79" s="14">
        <f>N79*VLOOKUP('Données projet'!$B$9,Paramètres!$A$1:$I$88,3,0)*VLOOKUP('Données projet'!$B$9,Paramètres!$A$1:$I$88,5,0)</f>
        <v>303.82560000000007</v>
      </c>
      <c r="P79" s="14">
        <f t="shared" si="97"/>
        <v>71.977863772206462</v>
      </c>
      <c r="Q79" s="22">
        <f t="shared" si="54"/>
        <v>654.52436606992637</v>
      </c>
      <c r="R79" s="62">
        <f t="shared" si="55"/>
        <v>947.85769940325963</v>
      </c>
      <c r="S79" s="62">
        <f ca="1">AVERAGE(OFFSET($R$3,0,0,'Données projet'!$E$9+1,1))-AVERAGE(OFFSET($H$3,0,0,'Données projet'!$E$9+1,1))</f>
        <v>300.03481708703549</v>
      </c>
      <c r="T79" s="62">
        <f t="shared" si="56"/>
        <v>102.6350860969182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IF(A79&lt;'Données projet'!$A$62,$AF$205^A79,IF(A79='Données projet'!$A$62,'Données projet'!$B$62,AI78+AH79-AQ78))</f>
        <v>-2.2737367544323206E-13</v>
      </c>
      <c r="AJ79" s="14">
        <f>AI79*VLOOKUP('Données projet'!$B$10,Paramètres!$A$1:$I$88,3,0)*VLOOKUP('Données projet'!$B$10,Paramètres!$A$1:$I$88,5,0)</f>
        <v>-1.2710188457276673E-13</v>
      </c>
      <c r="AK79" s="14" t="e">
        <f t="shared" si="98"/>
        <v>#NUM!</v>
      </c>
      <c r="AL79" s="22" t="e">
        <f t="shared" si="59"/>
        <v>#NUM!</v>
      </c>
      <c r="AM79" s="62" t="e">
        <f t="shared" si="60"/>
        <v>#NUM!</v>
      </c>
      <c r="AN79" s="62">
        <f ca="1">AVERAGE(OFFSET($AM$3,0,0,'Données projet'!$E$10+1,1))-AVERAGE(OFFSET($H$3,0,0,'Données projet'!$E$10+1,1))</f>
        <v>328.27336939084597</v>
      </c>
      <c r="AO79" s="62">
        <f t="shared" si="61"/>
        <v>448.79354389108755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2.1694745663865338</v>
      </c>
      <c r="AV79" s="23">
        <f>EXP(-LN(2)/25)*AV78+(1-EXP(-LN(2)/25))/(LN(2)/25)*Calculateur!AQ79*Calculateur!AS79*VLOOKUP('Données projet'!$B$9,Paramètres!$A$1:$I$88,3,0)*0.475*44/12</f>
        <v>3.8442699210975833</v>
      </c>
      <c r="AW79" s="23">
        <f>EXP(-LN(2)/2)*AW78+(1-EXP(-LN(2)/2))/(LN(2)/2)*AQ79*AT79*VLOOKUP('Données projet'!$B$9,Paramètres!$A$1:$I$88,3,0)*0.475*44/12</f>
        <v>1.7366039687189828E-6</v>
      </c>
      <c r="AX79" s="23">
        <f t="shared" si="62"/>
        <v>6.0137462240880861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10.199999999999999</v>
      </c>
      <c r="BD79" s="13">
        <f>IF(A79&lt;'Données projet'!$A$88,$BA$205^A79,IF(A79='Données projet'!$A$88,'Données projet'!$B$88,BD78+BC79-BL78))</f>
        <v>341.19999999999982</v>
      </c>
      <c r="BE79" s="14">
        <f>BD79*VLOOKUP('Données projet'!$B$11,Paramètres!$A$1:$I$88,3,0)*VLOOKUP('Données projet'!$B$11,Paramètres!$A$1:$I$88,5,0)</f>
        <v>298.07231999999988</v>
      </c>
      <c r="BF79" s="14">
        <f t="shared" si="99"/>
        <v>70.772196214934411</v>
      </c>
      <c r="BG79" s="22">
        <f t="shared" si="63"/>
        <v>642.40419907434386</v>
      </c>
      <c r="BH79" s="62">
        <f t="shared" si="64"/>
        <v>935.73753240767724</v>
      </c>
      <c r="BI79" s="62">
        <f ca="1">AVERAGE(OFFSET($BH$3,0,0,'Données projet'!$E$11+1,1))-AVERAGE(OFFSET($H$3,0,0,'Données projet'!$E$11+1,1))</f>
        <v>348.65374983303883</v>
      </c>
      <c r="BJ79" s="62">
        <f t="shared" si="65"/>
        <v>312.05848669315151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3.5600000000000023</v>
      </c>
      <c r="BY79" s="13">
        <f>IF(A79&lt;'Données projet'!$A$114,$BV$205^A79,IF(A79='Données projet'!$A$114,'Données projet'!$B$114,BY78+BX79-CG78))</f>
        <v>327.05999999999995</v>
      </c>
      <c r="BZ79" s="14">
        <f>BY79*VLOOKUP('Données projet'!$B$12,Paramètres!$A$1:$I$88,3,0)*VLOOKUP('Données projet'!$B$12,Paramètres!$A$1:$I$88,5,0)</f>
        <v>239.80039199999996</v>
      </c>
      <c r="CA79" s="14">
        <f t="shared" si="100"/>
        <v>58.396581769172833</v>
      </c>
      <c r="CB79" s="22">
        <f t="shared" si="67"/>
        <v>519.35972931464255</v>
      </c>
      <c r="CC79" s="62">
        <f t="shared" si="68"/>
        <v>812.69306264797592</v>
      </c>
      <c r="CD79" s="62">
        <f ca="1">AVERAGE(OFFSET($CC$3,0,0,'Données projet'!$E$12+1,1))-AVERAGE(OFFSET($H$3,0,0,'Données projet'!$E$12+1,1))</f>
        <v>264.06656596707364</v>
      </c>
      <c r="CE79" s="62">
        <f t="shared" si="69"/>
        <v>315.34415130230195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5.6843418860808015E-14</v>
      </c>
      <c r="CU79" s="18">
        <f>CT79*VLOOKUP('Données projet'!$B$13,Paramètres!$A$1:$I$88,3,0)*VLOOKUP('Données projet'!$B$13,Paramètres!$A$1:$I$88,5,0)</f>
        <v>3.3992364478763198E-14</v>
      </c>
      <c r="CV79" s="14">
        <f t="shared" si="101"/>
        <v>5.790027782444094E-13</v>
      </c>
      <c r="CW79" s="22">
        <f t="shared" si="71"/>
        <v>1.0676332069095257E-12</v>
      </c>
      <c r="CX79" s="62">
        <f t="shared" si="72"/>
        <v>293.33333333333439</v>
      </c>
      <c r="CY79" s="62">
        <f ca="1">AVERAGE(OFFSET($CX$3,0,0,'Données projet'!$E$13+1,1))-AVERAGE(OFFSET($H$3,0,0,'Données projet'!$E$13+1,1))</f>
        <v>162.29089122912319</v>
      </c>
      <c r="CZ79" s="62">
        <f t="shared" si="73"/>
        <v>253.15422514195427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4.2473815843149856</v>
      </c>
      <c r="DG79" s="23">
        <f>EXP(-LN(2)/25)*DG78+(1-EXP(-LN(2)/25))/(LN(2)/25)*Calculateur!DB79*Calculateur!DD79*VLOOKUP('Données projet'!$B$9,Paramètres!$A$1:$I$88,3,0)*0.475*44/12</f>
        <v>1.4826704508322581</v>
      </c>
      <c r="DH79" s="23">
        <f>EXP(-LN(2)/2)*DH78+(1-EXP(-LN(2)/2))/(LN(2)/2)*DB79*DE79*VLOOKUP('Données projet'!$B$9,Paramètres!$A$1:$I$88,3,0)*0.475*44/12</f>
        <v>2.7848498981061935E-7</v>
      </c>
      <c r="DI79" s="24">
        <f t="shared" si="74"/>
        <v>5.7300523136322337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3.5600000000000023</v>
      </c>
      <c r="DO79" s="13">
        <f>IF(A79&lt;'Données projet'!$A$166,$DL$205^A79,IF(A79='Données projet'!$A$166,'Données projet'!$B$166,DO78+DN79-DW78))</f>
        <v>327.05999999999995</v>
      </c>
      <c r="DP79" s="18">
        <f>DO79*VLOOKUP('Données projet'!$B$14,Paramètres!$A$1:$I$88,3,0)*VLOOKUP('Données projet'!$B$14,Paramètres!$A$1:$I$88,5,0)</f>
        <v>260.20893599999999</v>
      </c>
      <c r="DQ79" s="14">
        <f t="shared" si="102"/>
        <v>62.766912585729685</v>
      </c>
      <c r="DR79" s="22">
        <f t="shared" si="75"/>
        <v>562.51626962014586</v>
      </c>
      <c r="DS79" s="62">
        <f t="shared" si="76"/>
        <v>855.84960295347923</v>
      </c>
      <c r="DT79" s="62">
        <f ca="1">AVERAGE(OFFSET($DS$3,0,0,'Données projet'!$E$14+1,1))-AVERAGE(OFFSET($H$3,0,0,'Données projet'!$E$14+1,1))</f>
        <v>290.20755061064017</v>
      </c>
      <c r="DU79" s="62">
        <f t="shared" si="77"/>
        <v>343.54750327717181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25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9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7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21.2</v>
      </c>
      <c r="N80" s="14">
        <f>IF(A80&lt;'Données projet'!$A$36,$K$205^A80,IF(A80='Données projet'!$A$36,'Données projet'!$B$36,N79+M80-V79))</f>
        <v>670.4000000000002</v>
      </c>
      <c r="O80" s="14">
        <f>N80*VLOOKUP('Données projet'!$B$9,Paramètres!$A$1:$I$88,3,0)*VLOOKUP('Données projet'!$B$9,Paramètres!$A$1:$I$88,5,0)</f>
        <v>313.74720000000008</v>
      </c>
      <c r="P80" s="14">
        <f t="shared" si="97"/>
        <v>74.050846595914663</v>
      </c>
      <c r="Q80" s="22">
        <f t="shared" si="54"/>
        <v>675.41493115455148</v>
      </c>
      <c r="R80" s="62">
        <f t="shared" si="55"/>
        <v>968.74826448788485</v>
      </c>
      <c r="S80" s="62">
        <f ca="1">AVERAGE(OFFSET($R$3,0,0,'Données projet'!$E$9+1,1))-AVERAGE(OFFSET($H$3,0,0,'Données projet'!$E$9+1,1))</f>
        <v>300.03481708703549</v>
      </c>
      <c r="T80" s="62">
        <f t="shared" si="56"/>
        <v>102.6350860969182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IF(A80&lt;'Données projet'!$A$62,$AF$205^A80,IF(A80='Données projet'!$A$62,'Données projet'!$B$62,AI79+AH80-AQ79))</f>
        <v>-2.2737367544323206E-13</v>
      </c>
      <c r="AJ80" s="14">
        <f>AI80*VLOOKUP('Données projet'!$B$10,Paramètres!$A$1:$I$88,3,0)*VLOOKUP('Données projet'!$B$10,Paramètres!$A$1:$I$88,5,0)</f>
        <v>-1.2710188457276673E-13</v>
      </c>
      <c r="AK80" s="14" t="e">
        <f t="shared" si="98"/>
        <v>#NUM!</v>
      </c>
      <c r="AL80" s="22" t="e">
        <f t="shared" si="59"/>
        <v>#NUM!</v>
      </c>
      <c r="AM80" s="62" t="e">
        <f t="shared" si="60"/>
        <v>#NUM!</v>
      </c>
      <c r="AN80" s="62">
        <f ca="1">AVERAGE(OFFSET($AM$3,0,0,'Données projet'!$E$10+1,1))-AVERAGE(OFFSET($H$3,0,0,'Données projet'!$E$10+1,1))</f>
        <v>328.27336939084597</v>
      </c>
      <c r="AO80" s="62">
        <f t="shared" si="61"/>
        <v>448.79354389108755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2.1269324933885194</v>
      </c>
      <c r="AV80" s="23">
        <f>EXP(-LN(2)/25)*AV79+(1-EXP(-LN(2)/25))/(LN(2)/25)*Calculateur!AQ80*Calculateur!AS80*VLOOKUP('Données projet'!$B$9,Paramètres!$A$1:$I$88,3,0)*0.475*44/12</f>
        <v>3.7391481579438008</v>
      </c>
      <c r="AW80" s="23">
        <f>EXP(-LN(2)/2)*AW79+(1-EXP(-LN(2)/2))/(LN(2)/2)*AQ80*AT80*VLOOKUP('Données projet'!$B$9,Paramètres!$A$1:$I$88,3,0)*0.475*44/12</f>
        <v>1.2279644425166637E-6</v>
      </c>
      <c r="AX80" s="23">
        <f t="shared" si="62"/>
        <v>5.8660818792967619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10.199999999999999</v>
      </c>
      <c r="BD80" s="13">
        <f>IF(A80&lt;'Données projet'!$A$88,$BA$205^A80,IF(A80='Données projet'!$A$88,'Données projet'!$B$88,BD79+BC80-BL79))</f>
        <v>351.39999999999981</v>
      </c>
      <c r="BE80" s="14">
        <f>BD80*VLOOKUP('Données projet'!$B$11,Paramètres!$A$1:$I$88,3,0)*VLOOKUP('Données projet'!$B$11,Paramètres!$A$1:$I$88,5,0)</f>
        <v>306.98303999999985</v>
      </c>
      <c r="BF80" s="14">
        <f t="shared" si="99"/>
        <v>72.638410673322142</v>
      </c>
      <c r="BG80" s="22">
        <f t="shared" si="63"/>
        <v>661.17402658936908</v>
      </c>
      <c r="BH80" s="62">
        <f t="shared" si="64"/>
        <v>954.50735992270234</v>
      </c>
      <c r="BI80" s="62">
        <f ca="1">AVERAGE(OFFSET($BH$3,0,0,'Données projet'!$E$11+1,1))-AVERAGE(OFFSET($H$3,0,0,'Données projet'!$E$11+1,1))</f>
        <v>348.65374983303883</v>
      </c>
      <c r="BJ80" s="62">
        <f t="shared" si="65"/>
        <v>312.05848669315151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3.5600000000000023</v>
      </c>
      <c r="BY80" s="13">
        <f>IF(A80&lt;'Données projet'!$A$114,$BV$205^A80,IF(A80='Données projet'!$A$114,'Données projet'!$B$114,BY79+BX80-CG79))</f>
        <v>330.61999999999995</v>
      </c>
      <c r="BZ80" s="14">
        <f>BY80*VLOOKUP('Données projet'!$B$12,Paramètres!$A$1:$I$88,3,0)*VLOOKUP('Données projet'!$B$12,Paramètres!$A$1:$I$88,5,0)</f>
        <v>242.41058399999997</v>
      </c>
      <c r="CA80" s="14">
        <f t="shared" si="100"/>
        <v>58.957877315127767</v>
      </c>
      <c r="CB80" s="22">
        <f t="shared" si="67"/>
        <v>524.88340345718075</v>
      </c>
      <c r="CC80" s="62">
        <f t="shared" si="68"/>
        <v>818.21673679051401</v>
      </c>
      <c r="CD80" s="62">
        <f ca="1">AVERAGE(OFFSET($CC$3,0,0,'Données projet'!$E$12+1,1))-AVERAGE(OFFSET($H$3,0,0,'Données projet'!$E$12+1,1))</f>
        <v>264.06656596707364</v>
      </c>
      <c r="CE80" s="62">
        <f t="shared" si="69"/>
        <v>315.34415130230195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5.6843418860808015E-14</v>
      </c>
      <c r="CU80" s="18">
        <f>CT80*VLOOKUP('Données projet'!$B$13,Paramètres!$A$1:$I$88,3,0)*VLOOKUP('Données projet'!$B$13,Paramètres!$A$1:$I$88,5,0)</f>
        <v>3.3992364478763198E-14</v>
      </c>
      <c r="CV80" s="14">
        <f t="shared" si="101"/>
        <v>5.790027782444094E-13</v>
      </c>
      <c r="CW80" s="22">
        <f t="shared" si="71"/>
        <v>1.0676332069095257E-12</v>
      </c>
      <c r="CX80" s="62">
        <f t="shared" si="72"/>
        <v>293.33333333333439</v>
      </c>
      <c r="CY80" s="62">
        <f ca="1">AVERAGE(OFFSET($CX$3,0,0,'Données projet'!$E$13+1,1))-AVERAGE(OFFSET($H$3,0,0,'Données projet'!$E$13+1,1))</f>
        <v>162.29089122912319</v>
      </c>
      <c r="CZ80" s="62">
        <f t="shared" si="73"/>
        <v>253.15422514195427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4.1640930220935299</v>
      </c>
      <c r="DG80" s="23">
        <f>EXP(-LN(2)/25)*DG79+(1-EXP(-LN(2)/25))/(LN(2)/25)*Calculateur!DB80*Calculateur!DD80*VLOOKUP('Données projet'!$B$9,Paramètres!$A$1:$I$88,3,0)*0.475*44/12</f>
        <v>1.4421267493839998</v>
      </c>
      <c r="DH80" s="23">
        <f>EXP(-LN(2)/2)*DH79+(1-EXP(-LN(2)/2))/(LN(2)/2)*DB80*DE80*VLOOKUP('Données projet'!$B$9,Paramètres!$A$1:$I$88,3,0)*0.475*44/12</f>
        <v>1.9691862475375554E-7</v>
      </c>
      <c r="DI80" s="24">
        <f t="shared" si="74"/>
        <v>5.6062199683961547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3.5600000000000023</v>
      </c>
      <c r="DO80" s="13">
        <f>IF(A80&lt;'Données projet'!$A$166,$DL$205^A80,IF(A80='Données projet'!$A$166,'Données projet'!$B$166,DO79+DN80-DW79))</f>
        <v>330.61999999999995</v>
      </c>
      <c r="DP80" s="18">
        <f>DO80*VLOOKUP('Données projet'!$B$14,Paramètres!$A$1:$I$88,3,0)*VLOOKUP('Données projet'!$B$14,Paramètres!$A$1:$I$88,5,0)</f>
        <v>263.04127199999994</v>
      </c>
      <c r="DQ80" s="14">
        <f t="shared" si="102"/>
        <v>63.370214823641057</v>
      </c>
      <c r="DR80" s="22">
        <f t="shared" si="75"/>
        <v>568.50000621784136</v>
      </c>
      <c r="DS80" s="62">
        <f t="shared" si="76"/>
        <v>861.83333955117473</v>
      </c>
      <c r="DT80" s="62">
        <f ca="1">AVERAGE(OFFSET($DS$3,0,0,'Données projet'!$E$14+1,1))-AVERAGE(OFFSET($H$3,0,0,'Données projet'!$E$14+1,1))</f>
        <v>290.20755061064017</v>
      </c>
      <c r="DU80" s="62">
        <f t="shared" si="77"/>
        <v>343.54750327717181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25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9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7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21.2</v>
      </c>
      <c r="N81" s="14">
        <f>IF(A81&lt;'Données projet'!$A$36,$K$205^A81,IF(A81='Données projet'!$A$36,'Données projet'!$B$36,N80+M81-V80))</f>
        <v>691.60000000000025</v>
      </c>
      <c r="O81" s="14">
        <f>N81*VLOOKUP('Données projet'!$B$9,Paramètres!$A$1:$I$88,3,0)*VLOOKUP('Données projet'!$B$9,Paramètres!$A$1:$I$88,5,0)</f>
        <v>323.66880000000015</v>
      </c>
      <c r="P81" s="14">
        <f t="shared" si="97"/>
        <v>76.11621164769852</v>
      </c>
      <c r="Q81" s="22">
        <f t="shared" si="54"/>
        <v>696.29222861974176</v>
      </c>
      <c r="R81" s="62">
        <f t="shared" si="55"/>
        <v>989.62556195307502</v>
      </c>
      <c r="S81" s="62">
        <f ca="1">AVERAGE(OFFSET($R$3,0,0,'Données projet'!$E$9+1,1))-AVERAGE(OFFSET($H$3,0,0,'Données projet'!$E$9+1,1))</f>
        <v>300.03481708703549</v>
      </c>
      <c r="T81" s="62">
        <f t="shared" si="56"/>
        <v>102.6350860969182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IF(A81&lt;'Données projet'!$A$62,$AF$205^A81,IF(A81='Données projet'!$A$62,'Données projet'!$B$62,AI80+AH81-AQ80))</f>
        <v>-2.2737367544323206E-13</v>
      </c>
      <c r="AJ81" s="14">
        <f>AI81*VLOOKUP('Données projet'!$B$10,Paramètres!$A$1:$I$88,3,0)*VLOOKUP('Données projet'!$B$10,Paramètres!$A$1:$I$88,5,0)</f>
        <v>-1.2710188457276673E-13</v>
      </c>
      <c r="AK81" s="14" t="e">
        <f t="shared" si="98"/>
        <v>#NUM!</v>
      </c>
      <c r="AL81" s="22" t="e">
        <f t="shared" si="59"/>
        <v>#NUM!</v>
      </c>
      <c r="AM81" s="62" t="e">
        <f t="shared" si="60"/>
        <v>#NUM!</v>
      </c>
      <c r="AN81" s="62">
        <f ca="1">AVERAGE(OFFSET($AM$3,0,0,'Données projet'!$E$10+1,1))-AVERAGE(OFFSET($H$3,0,0,'Données projet'!$E$10+1,1))</f>
        <v>328.27336939084597</v>
      </c>
      <c r="AO81" s="62">
        <f t="shared" si="61"/>
        <v>448.79354389108755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2.0852246444938936</v>
      </c>
      <c r="AV81" s="23">
        <f>EXP(-LN(2)/25)*AV80+(1-EXP(-LN(2)/25))/(LN(2)/25)*Calculateur!AQ81*Calculateur!AS81*VLOOKUP('Données projet'!$B$9,Paramètres!$A$1:$I$88,3,0)*0.475*44/12</f>
        <v>3.6369009549315718</v>
      </c>
      <c r="AW81" s="23">
        <f>EXP(-LN(2)/2)*AW80+(1-EXP(-LN(2)/2))/(LN(2)/2)*AQ81*AT81*VLOOKUP('Données projet'!$B$9,Paramètres!$A$1:$I$88,3,0)*0.475*44/12</f>
        <v>8.6830198435949138E-7</v>
      </c>
      <c r="AX81" s="23">
        <f t="shared" si="62"/>
        <v>5.7221264677274499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10.199999999999999</v>
      </c>
      <c r="BD81" s="13">
        <f>IF(A81&lt;'Données projet'!$A$88,$BA$205^A81,IF(A81='Données projet'!$A$88,'Données projet'!$B$88,BD80+BC81-BL80))</f>
        <v>361.5999999999998</v>
      </c>
      <c r="BE81" s="14">
        <f>BD81*VLOOKUP('Données projet'!$B$11,Paramètres!$A$1:$I$88,3,0)*VLOOKUP('Données projet'!$B$11,Paramètres!$A$1:$I$88,5,0)</f>
        <v>315.89375999999987</v>
      </c>
      <c r="BF81" s="14">
        <f t="shared" si="99"/>
        <v>74.498329433272588</v>
      </c>
      <c r="BG81" s="22">
        <f t="shared" si="63"/>
        <v>679.93288909628291</v>
      </c>
      <c r="BH81" s="62">
        <f t="shared" si="64"/>
        <v>973.26622242961616</v>
      </c>
      <c r="BI81" s="62">
        <f ca="1">AVERAGE(OFFSET($BH$3,0,0,'Données projet'!$E$11+1,1))-AVERAGE(OFFSET($H$3,0,0,'Données projet'!$E$11+1,1))</f>
        <v>348.65374983303883</v>
      </c>
      <c r="BJ81" s="62">
        <f t="shared" si="65"/>
        <v>312.05848669315151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3.5600000000000023</v>
      </c>
      <c r="BY81" s="13">
        <f>IF(A81&lt;'Données projet'!$A$114,$BV$205^A81,IF(A81='Données projet'!$A$114,'Données projet'!$B$114,BY80+BX81-CG80))</f>
        <v>334.17999999999995</v>
      </c>
      <c r="BZ81" s="14">
        <f>BY81*VLOOKUP('Données projet'!$B$12,Paramètres!$A$1:$I$88,3,0)*VLOOKUP('Données projet'!$B$12,Paramètres!$A$1:$I$88,5,0)</f>
        <v>245.02077599999993</v>
      </c>
      <c r="CA81" s="14">
        <f t="shared" si="100"/>
        <v>59.518469785210911</v>
      </c>
      <c r="CB81" s="22">
        <f t="shared" si="67"/>
        <v>530.40585307590879</v>
      </c>
      <c r="CC81" s="62">
        <f t="shared" si="68"/>
        <v>823.73918640924217</v>
      </c>
      <c r="CD81" s="62">
        <f ca="1">AVERAGE(OFFSET($CC$3,0,0,'Données projet'!$E$12+1,1))-AVERAGE(OFFSET($H$3,0,0,'Données projet'!$E$12+1,1))</f>
        <v>264.06656596707364</v>
      </c>
      <c r="CE81" s="62">
        <f t="shared" si="69"/>
        <v>315.34415130230195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5.6843418860808015E-14</v>
      </c>
      <c r="CU81" s="18">
        <f>CT81*VLOOKUP('Données projet'!$B$13,Paramètres!$A$1:$I$88,3,0)*VLOOKUP('Données projet'!$B$13,Paramètres!$A$1:$I$88,5,0)</f>
        <v>3.3992364478763198E-14</v>
      </c>
      <c r="CV81" s="14">
        <f t="shared" si="101"/>
        <v>5.790027782444094E-13</v>
      </c>
      <c r="CW81" s="22">
        <f t="shared" si="71"/>
        <v>1.0676332069095257E-12</v>
      </c>
      <c r="CX81" s="62">
        <f t="shared" si="72"/>
        <v>293.33333333333439</v>
      </c>
      <c r="CY81" s="62">
        <f ca="1">AVERAGE(OFFSET($CX$3,0,0,'Données projet'!$E$13+1,1))-AVERAGE(OFFSET($H$3,0,0,'Données projet'!$E$13+1,1))</f>
        <v>162.29089122912319</v>
      </c>
      <c r="CZ81" s="62">
        <f t="shared" si="73"/>
        <v>253.15422514195427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4.0824376977762302</v>
      </c>
      <c r="DG81" s="23">
        <f>EXP(-LN(2)/25)*DG80+(1-EXP(-LN(2)/25))/(LN(2)/25)*Calculateur!DB81*Calculateur!DD81*VLOOKUP('Données projet'!$B$9,Paramètres!$A$1:$I$88,3,0)*0.475*44/12</f>
        <v>1.4026917175839446</v>
      </c>
      <c r="DH81" s="23">
        <f>EXP(-LN(2)/2)*DH80+(1-EXP(-LN(2)/2))/(LN(2)/2)*DB81*DE81*VLOOKUP('Données projet'!$B$9,Paramètres!$A$1:$I$88,3,0)*0.475*44/12</f>
        <v>1.3924249490530968E-7</v>
      </c>
      <c r="DI81" s="24">
        <f t="shared" si="74"/>
        <v>5.4851295546026702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3.5600000000000023</v>
      </c>
      <c r="DO81" s="13">
        <f>IF(A81&lt;'Données projet'!$A$166,$DL$205^A81,IF(A81='Données projet'!$A$166,'Données projet'!$B$166,DO80+DN81-DW80))</f>
        <v>334.17999999999995</v>
      </c>
      <c r="DP81" s="18">
        <f>DO81*VLOOKUP('Données projet'!$B$14,Paramètres!$A$1:$I$88,3,0)*VLOOKUP('Données projet'!$B$14,Paramètres!$A$1:$I$88,5,0)</f>
        <v>265.87360799999999</v>
      </c>
      <c r="DQ81" s="14">
        <f t="shared" si="102"/>
        <v>63.972761368317435</v>
      </c>
      <c r="DR81" s="22">
        <f t="shared" si="75"/>
        <v>574.48242664981956</v>
      </c>
      <c r="DS81" s="62">
        <f t="shared" si="76"/>
        <v>867.81575998315293</v>
      </c>
      <c r="DT81" s="62">
        <f ca="1">AVERAGE(OFFSET($DS$3,0,0,'Données projet'!$E$14+1,1))-AVERAGE(OFFSET($H$3,0,0,'Données projet'!$E$14+1,1))</f>
        <v>290.20755061064017</v>
      </c>
      <c r="DU81" s="62">
        <f t="shared" si="77"/>
        <v>343.54750327717181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25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9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7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21.2</v>
      </c>
      <c r="N82" s="14">
        <f>IF(A82&lt;'Données projet'!$A$36,$K$205^A82,IF(A82='Données projet'!$A$36,'Données projet'!$B$36,N81+M82-V81))</f>
        <v>712.8000000000003</v>
      </c>
      <c r="O82" s="14">
        <f>N82*VLOOKUP('Données projet'!$B$9,Paramètres!$A$1:$I$88,3,0)*VLOOKUP('Données projet'!$B$9,Paramètres!$A$1:$I$88,5,0)</f>
        <v>333.59040000000016</v>
      </c>
      <c r="P82" s="14">
        <f t="shared" si="97"/>
        <v>78.174219238300594</v>
      </c>
      <c r="Q82" s="22">
        <f t="shared" si="54"/>
        <v>717.15671184004043</v>
      </c>
      <c r="R82" s="62">
        <f t="shared" si="55"/>
        <v>1010.4900451733738</v>
      </c>
      <c r="S82" s="62">
        <f ca="1">AVERAGE(OFFSET($R$3,0,0,'Données projet'!$E$9+1,1))-AVERAGE(OFFSET($H$3,0,0,'Données projet'!$E$9+1,1))</f>
        <v>300.03481708703549</v>
      </c>
      <c r="T82" s="62">
        <f t="shared" si="56"/>
        <v>102.6350860969182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IF(A82&lt;'Données projet'!$A$62,$AF$205^A82,IF(A82='Données projet'!$A$62,'Données projet'!$B$62,AI81+AH82-AQ81))</f>
        <v>-2.2737367544323206E-13</v>
      </c>
      <c r="AJ82" s="14">
        <f>AI82*VLOOKUP('Données projet'!$B$10,Paramètres!$A$1:$I$88,3,0)*VLOOKUP('Données projet'!$B$10,Paramètres!$A$1:$I$88,5,0)</f>
        <v>-1.2710188457276673E-13</v>
      </c>
      <c r="AK82" s="14" t="e">
        <f t="shared" si="98"/>
        <v>#NUM!</v>
      </c>
      <c r="AL82" s="22" t="e">
        <f t="shared" si="59"/>
        <v>#NUM!</v>
      </c>
      <c r="AM82" s="62" t="e">
        <f t="shared" si="60"/>
        <v>#NUM!</v>
      </c>
      <c r="AN82" s="62">
        <f ca="1">AVERAGE(OFFSET($AM$3,0,0,'Données projet'!$E$10+1,1))-AVERAGE(OFFSET($H$3,0,0,'Données projet'!$E$10+1,1))</f>
        <v>328.27336939084597</v>
      </c>
      <c r="AO82" s="62">
        <f t="shared" si="61"/>
        <v>448.79354389108755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2.0443346610768156</v>
      </c>
      <c r="AV82" s="23">
        <f>EXP(-LN(2)/25)*AV81+(1-EXP(-LN(2)/25))/(LN(2)/25)*Calculateur!AQ82*Calculateur!AS82*VLOOKUP('Données projet'!$B$9,Paramètres!$A$1:$I$88,3,0)*0.475*44/12</f>
        <v>3.5374497070626592</v>
      </c>
      <c r="AW82" s="23">
        <f>EXP(-LN(2)/2)*AW81+(1-EXP(-LN(2)/2))/(LN(2)/2)*AQ82*AT82*VLOOKUP('Données projet'!$B$9,Paramètres!$A$1:$I$88,3,0)*0.475*44/12</f>
        <v>6.1398222125833187E-7</v>
      </c>
      <c r="AX82" s="23">
        <f t="shared" si="62"/>
        <v>5.5817849821216967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10.199999999999999</v>
      </c>
      <c r="BD82" s="13">
        <f>IF(A82&lt;'Données projet'!$A$88,$BA$205^A82,IF(A82='Données projet'!$A$88,'Données projet'!$B$88,BD81+BC82-BL81))</f>
        <v>371.79999999999978</v>
      </c>
      <c r="BE82" s="14">
        <f>BD82*VLOOKUP('Données projet'!$B$11,Paramètres!$A$1:$I$88,3,0)*VLOOKUP('Données projet'!$B$11,Paramètres!$A$1:$I$88,5,0)</f>
        <v>324.80447999999984</v>
      </c>
      <c r="BF82" s="14">
        <f t="shared" si="99"/>
        <v>76.35215048303499</v>
      </c>
      <c r="BG82" s="22">
        <f t="shared" si="63"/>
        <v>698.68113142461891</v>
      </c>
      <c r="BH82" s="62">
        <f t="shared" si="64"/>
        <v>992.01446475795228</v>
      </c>
      <c r="BI82" s="62">
        <f ca="1">AVERAGE(OFFSET($BH$3,0,0,'Données projet'!$E$11+1,1))-AVERAGE(OFFSET($H$3,0,0,'Données projet'!$E$11+1,1))</f>
        <v>348.65374983303883</v>
      </c>
      <c r="BJ82" s="62">
        <f t="shared" si="65"/>
        <v>312.05848669315151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3.5600000000000023</v>
      </c>
      <c r="BY82" s="13">
        <f>IF(A82&lt;'Données projet'!$A$114,$BV$205^A82,IF(A82='Données projet'!$A$114,'Données projet'!$B$114,BY81+BX82-CG81))</f>
        <v>337.73999999999995</v>
      </c>
      <c r="BZ82" s="14">
        <f>BY82*VLOOKUP('Données projet'!$B$12,Paramètres!$A$1:$I$88,3,0)*VLOOKUP('Données projet'!$B$12,Paramètres!$A$1:$I$88,5,0)</f>
        <v>247.63096799999994</v>
      </c>
      <c r="CA82" s="14">
        <f t="shared" si="100"/>
        <v>60.078367536199657</v>
      </c>
      <c r="CB82" s="22">
        <f t="shared" si="67"/>
        <v>535.9270927255476</v>
      </c>
      <c r="CC82" s="62">
        <f t="shared" si="68"/>
        <v>829.26042605888097</v>
      </c>
      <c r="CD82" s="62">
        <f ca="1">AVERAGE(OFFSET($CC$3,0,0,'Données projet'!$E$12+1,1))-AVERAGE(OFFSET($H$3,0,0,'Données projet'!$E$12+1,1))</f>
        <v>264.06656596707364</v>
      </c>
      <c r="CE82" s="62">
        <f t="shared" si="69"/>
        <v>315.34415130230195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5.6843418860808015E-14</v>
      </c>
      <c r="CU82" s="18">
        <f>CT82*VLOOKUP('Données projet'!$B$13,Paramètres!$A$1:$I$88,3,0)*VLOOKUP('Données projet'!$B$13,Paramètres!$A$1:$I$88,5,0)</f>
        <v>3.3992364478763198E-14</v>
      </c>
      <c r="CV82" s="14">
        <f t="shared" si="101"/>
        <v>5.790027782444094E-13</v>
      </c>
      <c r="CW82" s="22">
        <f t="shared" si="71"/>
        <v>1.0676332069095257E-12</v>
      </c>
      <c r="CX82" s="62">
        <f t="shared" si="72"/>
        <v>293.33333333333439</v>
      </c>
      <c r="CY82" s="62">
        <f ca="1">AVERAGE(OFFSET($CX$3,0,0,'Données projet'!$E$13+1,1))-AVERAGE(OFFSET($H$3,0,0,'Données projet'!$E$13+1,1))</f>
        <v>162.29089122912319</v>
      </c>
      <c r="CZ82" s="62">
        <f t="shared" si="73"/>
        <v>253.15422514195427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4.0023835845639626</v>
      </c>
      <c r="DG82" s="23">
        <f>EXP(-LN(2)/25)*DG81+(1-EXP(-LN(2)/25))/(LN(2)/25)*Calculateur!DB82*Calculateur!DD82*VLOOKUP('Données projet'!$B$9,Paramètres!$A$1:$I$88,3,0)*0.475*44/12</f>
        <v>1.3643350388022601</v>
      </c>
      <c r="DH82" s="23">
        <f>EXP(-LN(2)/2)*DH81+(1-EXP(-LN(2)/2))/(LN(2)/2)*DB82*DE82*VLOOKUP('Données projet'!$B$9,Paramètres!$A$1:$I$88,3,0)*0.475*44/12</f>
        <v>9.8459312376877769E-8</v>
      </c>
      <c r="DI82" s="24">
        <f t="shared" si="74"/>
        <v>5.3667187218255359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3.5600000000000023</v>
      </c>
      <c r="DO82" s="13">
        <f>IF(A82&lt;'Données projet'!$A$166,$DL$205^A82,IF(A82='Données projet'!$A$166,'Données projet'!$B$166,DO81+DN82-DW81))</f>
        <v>337.73999999999995</v>
      </c>
      <c r="DP82" s="18">
        <f>DO82*VLOOKUP('Données projet'!$B$14,Paramètres!$A$1:$I$88,3,0)*VLOOKUP('Données projet'!$B$14,Paramètres!$A$1:$I$88,5,0)</f>
        <v>268.70594399999999</v>
      </c>
      <c r="DQ82" s="14">
        <f t="shared" si="102"/>
        <v>64.574561201947517</v>
      </c>
      <c r="DR82" s="22">
        <f t="shared" si="75"/>
        <v>580.46354656005849</v>
      </c>
      <c r="DS82" s="62">
        <f t="shared" si="76"/>
        <v>873.79687989339186</v>
      </c>
      <c r="DT82" s="62">
        <f ca="1">AVERAGE(OFFSET($DS$3,0,0,'Données projet'!$E$14+1,1))-AVERAGE(OFFSET($H$3,0,0,'Données projet'!$E$14+1,1))</f>
        <v>290.20755061064017</v>
      </c>
      <c r="DU82" s="62">
        <f t="shared" si="77"/>
        <v>343.54750327717181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25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9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7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734</v>
      </c>
      <c r="L83" s="13">
        <f>VLOOKUP(A83,'Données projet'!$A$35:$I$55,9,0)</f>
        <v>21.2</v>
      </c>
      <c r="M83" s="13">
        <f t="array" ref="M83">INDEX(L:L,MIN(IF(ISNUMBER(L83:L279),ROW(L83:L279),"")))</f>
        <v>21.2</v>
      </c>
      <c r="N83" s="14">
        <f>IF(A83&lt;'Données projet'!$A$36,$K$205^A83,IF(A83='Données projet'!$A$36,'Données projet'!$B$36,N82+M83-V82))</f>
        <v>734.00000000000034</v>
      </c>
      <c r="O83" s="14">
        <f>N83*VLOOKUP('Données projet'!$B$9,Paramètres!$A$1:$I$88,3,0)*VLOOKUP('Données projet'!$B$9,Paramètres!$A$1:$I$88,5,0)</f>
        <v>343.51200000000017</v>
      </c>
      <c r="P83" s="14">
        <f t="shared" si="97"/>
        <v>80.225113314048286</v>
      </c>
      <c r="Q83" s="22">
        <f t="shared" si="54"/>
        <v>738.00880568863431</v>
      </c>
      <c r="R83" s="62">
        <f t="shared" si="55"/>
        <v>1031.3421390219676</v>
      </c>
      <c r="S83" s="62">
        <f ca="1">AVERAGE(OFFSET($R$3,0,0,'Données projet'!$E$9+1,1))-AVERAGE(OFFSET($H$3,0,0,'Données projet'!$E$9+1,1))</f>
        <v>300.03481708703549</v>
      </c>
      <c r="T83" s="62">
        <f t="shared" si="56"/>
        <v>102.6350860969182</v>
      </c>
      <c r="U83" s="16">
        <f>IF(ISNA(VLOOKUP(A83,'Données projet'!$A$35:$I$55,3,0)),0,VLOOKUP(A83,'Données projet'!$A$35:$I$55,3,0))</f>
        <v>5</v>
      </c>
      <c r="V83" s="16">
        <f>IF(ISNA(VLOOKUP(A83,'Données projet'!$A$35:$I$55,4,0)),0,VLOOKUP(A83,'Données projet'!$A$35:$I$55,4,0))</f>
        <v>110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IF(A83&lt;'Données projet'!$A$62,$AF$205^A83,IF(A83='Données projet'!$A$62,'Données projet'!$B$62,AI82+AH83-AQ82))</f>
        <v>-2.2737367544323206E-13</v>
      </c>
      <c r="AJ83" s="14">
        <f>AI83*VLOOKUP('Données projet'!$B$10,Paramètres!$A$1:$I$88,3,0)*VLOOKUP('Données projet'!$B$10,Paramètres!$A$1:$I$88,5,0)</f>
        <v>-1.2710188457276673E-13</v>
      </c>
      <c r="AK83" s="14" t="e">
        <f t="shared" si="98"/>
        <v>#NUM!</v>
      </c>
      <c r="AL83" s="22" t="e">
        <f t="shared" si="59"/>
        <v>#NUM!</v>
      </c>
      <c r="AM83" s="62" t="e">
        <f t="shared" si="60"/>
        <v>#NUM!</v>
      </c>
      <c r="AN83" s="62">
        <f ca="1">AVERAGE(OFFSET($AM$3,0,0,'Données projet'!$E$10+1,1))-AVERAGE(OFFSET($H$3,0,0,'Données projet'!$E$10+1,1))</f>
        <v>328.27336939084597</v>
      </c>
      <c r="AO83" s="62">
        <f t="shared" si="61"/>
        <v>448.79354389108755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2.0042465052941192</v>
      </c>
      <c r="AV83" s="23">
        <f>EXP(-LN(2)/25)*AV82+(1-EXP(-LN(2)/25))/(LN(2)/25)*Calculateur!AQ83*Calculateur!AS83*VLOOKUP('Données projet'!$B$9,Paramètres!$A$1:$I$88,3,0)*0.475*44/12</f>
        <v>3.4407179587966357</v>
      </c>
      <c r="AW83" s="23">
        <f>EXP(-LN(2)/2)*AW82+(1-EXP(-LN(2)/2))/(LN(2)/2)*AQ83*AT83*VLOOKUP('Données projet'!$B$9,Paramètres!$A$1:$I$88,3,0)*0.475*44/12</f>
        <v>4.3415099217974569E-7</v>
      </c>
      <c r="AX83" s="23">
        <f t="shared" si="62"/>
        <v>5.4449648982417473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382</v>
      </c>
      <c r="BB83" s="13">
        <f>VLOOKUP(A83,'Données projet'!$A$87:$I$107,9,0)</f>
        <v>10.199999999999999</v>
      </c>
      <c r="BC83" s="13">
        <f t="array" ref="BC83">INDEX(BB:BB,MIN(IF(ISNUMBER(BB83:BB279),ROW(BB83:BB279),"")))</f>
        <v>10.199999999999999</v>
      </c>
      <c r="BD83" s="13">
        <f>IF(A83&lt;'Données projet'!$A$88,$BA$205^A83,IF(A83='Données projet'!$A$88,'Données projet'!$B$88,BD82+BC83-BL82))</f>
        <v>381.99999999999977</v>
      </c>
      <c r="BE83" s="14">
        <f>BD83*VLOOKUP('Données projet'!$B$11,Paramètres!$A$1:$I$88,3,0)*VLOOKUP('Données projet'!$B$11,Paramètres!$A$1:$I$88,5,0)</f>
        <v>333.71519999999987</v>
      </c>
      <c r="BF83" s="14">
        <f t="shared" si="99"/>
        <v>78.200060329338427</v>
      </c>
      <c r="BG83" s="22">
        <f t="shared" si="63"/>
        <v>717.41907840693091</v>
      </c>
      <c r="BH83" s="62">
        <f t="shared" si="64"/>
        <v>1010.7524117402643</v>
      </c>
      <c r="BI83" s="62">
        <f ca="1">AVERAGE(OFFSET($BH$3,0,0,'Données projet'!$E$11+1,1))-AVERAGE(OFFSET($H$3,0,0,'Données projet'!$E$11+1,1))</f>
        <v>348.65374983303883</v>
      </c>
      <c r="BJ83" s="62">
        <f t="shared" si="65"/>
        <v>312.05848669315151</v>
      </c>
      <c r="BK83" s="16">
        <f>IF(ISNA(VLOOKUP(A83,'Données projet'!$A$87:$I$107,3,0)),0,VLOOKUP(A83,'Données projet'!$A$87:$I$107,3,0))</f>
        <v>7</v>
      </c>
      <c r="BL83" s="16">
        <f>IF(ISNA(VLOOKUP(A83,'Données projet'!$A$87:$I$107,4,0)),0,VLOOKUP(A83,'Données projet'!$A$87:$I$107,4,0))</f>
        <v>62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341.3</v>
      </c>
      <c r="BW83" s="13">
        <f>VLOOKUP(A83,'Données projet'!$A$113:$I$133,9,0)</f>
        <v>3.5600000000000023</v>
      </c>
      <c r="BX83" s="13">
        <f t="array" ref="BX83">INDEX(BW:BW,MIN(IF(ISNUMBER(BW83:BW279),ROW(BW83:BW279),"")))</f>
        <v>3.5600000000000023</v>
      </c>
      <c r="BY83" s="13">
        <f>IF(A83&lt;'Données projet'!$A$114,$BV$205^A83,IF(A83='Données projet'!$A$114,'Données projet'!$B$114,BY82+BX83-CG82))</f>
        <v>341.29999999999995</v>
      </c>
      <c r="BZ83" s="14">
        <f>BY83*VLOOKUP('Données projet'!$B$12,Paramètres!$A$1:$I$88,3,0)*VLOOKUP('Données projet'!$B$12,Paramètres!$A$1:$I$88,5,0)</f>
        <v>250.24115999999998</v>
      </c>
      <c r="CA83" s="14">
        <f t="shared" si="100"/>
        <v>60.637578738550481</v>
      </c>
      <c r="CB83" s="22">
        <f t="shared" si="67"/>
        <v>541.44713663630864</v>
      </c>
      <c r="CC83" s="62">
        <f t="shared" si="68"/>
        <v>834.7804699696419</v>
      </c>
      <c r="CD83" s="62">
        <f ca="1">AVERAGE(OFFSET($CC$3,0,0,'Données projet'!$E$12+1,1))-AVERAGE(OFFSET($H$3,0,0,'Données projet'!$E$12+1,1))</f>
        <v>264.06656596707364</v>
      </c>
      <c r="CE83" s="62">
        <f t="shared" si="69"/>
        <v>315.34415130230195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341.3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5.6843418860808015E-14</v>
      </c>
      <c r="CU83" s="18">
        <f>CT83*VLOOKUP('Données projet'!$B$13,Paramètres!$A$1:$I$88,3,0)*VLOOKUP('Données projet'!$B$13,Paramètres!$A$1:$I$88,5,0)</f>
        <v>3.3992364478763198E-14</v>
      </c>
      <c r="CV83" s="14">
        <f t="shared" si="101"/>
        <v>5.790027782444094E-13</v>
      </c>
      <c r="CW83" s="22">
        <f t="shared" si="71"/>
        <v>1.0676332069095257E-12</v>
      </c>
      <c r="CX83" s="62">
        <f t="shared" si="72"/>
        <v>293.33333333333439</v>
      </c>
      <c r="CY83" s="62">
        <f ca="1">AVERAGE(OFFSET($CX$3,0,0,'Données projet'!$E$13+1,1))-AVERAGE(OFFSET($H$3,0,0,'Données projet'!$E$13+1,1))</f>
        <v>162.29089122912319</v>
      </c>
      <c r="CZ83" s="62">
        <f t="shared" si="73"/>
        <v>253.15422514195427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3.9238992836836002</v>
      </c>
      <c r="DG83" s="23">
        <f>EXP(-LN(2)/25)*DG82+(1-EXP(-LN(2)/25))/(LN(2)/25)*Calculateur!DB83*Calculateur!DD83*VLOOKUP('Données projet'!$B$9,Paramètres!$A$1:$I$88,3,0)*0.475*44/12</f>
        <v>1.3270272254189508</v>
      </c>
      <c r="DH83" s="23">
        <f>EXP(-LN(2)/2)*DH82+(1-EXP(-LN(2)/2))/(LN(2)/2)*DB83*DE83*VLOOKUP('Données projet'!$B$9,Paramètres!$A$1:$I$88,3,0)*0.475*44/12</f>
        <v>6.9621247452654838E-8</v>
      </c>
      <c r="DI83" s="24">
        <f t="shared" si="74"/>
        <v>5.2509265787237984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341.3</v>
      </c>
      <c r="DM83" s="13">
        <f>VLOOKUP(A83,'Données projet'!$A$165:$I$185,9,0)</f>
        <v>3.5600000000000023</v>
      </c>
      <c r="DN83" s="13">
        <f t="array" ref="DN83">INDEX(DM:DM,MIN(IF(ISNUMBER(DM83:DM279),ROW(DM83:DM279),"")))</f>
        <v>3.5600000000000023</v>
      </c>
      <c r="DO83" s="13">
        <f>IF(A83&lt;'Données projet'!$A$166,$DL$205^A83,IF(A83='Données projet'!$A$166,'Données projet'!$B$166,DO82+DN83-DW82))</f>
        <v>341.29999999999995</v>
      </c>
      <c r="DP83" s="18">
        <f>DO83*VLOOKUP('Données projet'!$B$14,Paramètres!$A$1:$I$88,3,0)*VLOOKUP('Données projet'!$B$14,Paramètres!$A$1:$I$88,5,0)</f>
        <v>271.53827999999999</v>
      </c>
      <c r="DQ83" s="14">
        <f t="shared" si="102"/>
        <v>65.17562310645522</v>
      </c>
      <c r="DR83" s="22">
        <f t="shared" si="75"/>
        <v>586.44338124374281</v>
      </c>
      <c r="DS83" s="62">
        <f t="shared" si="76"/>
        <v>879.77671457707606</v>
      </c>
      <c r="DT83" s="62">
        <f ca="1">AVERAGE(OFFSET($DS$3,0,0,'Données projet'!$E$14+1,1))-AVERAGE(OFFSET($H$3,0,0,'Données projet'!$E$14+1,1))</f>
        <v>290.20755061064017</v>
      </c>
      <c r="DU83" s="62">
        <f t="shared" si="77"/>
        <v>343.54750327717181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341.3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25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9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7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17.8</v>
      </c>
      <c r="N84" s="14">
        <f>IF(A84&lt;'Données projet'!$A$36,$K$205^A84,IF(A84='Données projet'!$A$36,'Données projet'!$B$36,N83+M84-V83))</f>
        <v>641.8000000000003</v>
      </c>
      <c r="O84" s="14">
        <f>N84*VLOOKUP('Données projet'!$B$9,Paramètres!$A$1:$I$88,3,0)*VLOOKUP('Données projet'!$B$9,Paramètres!$A$1:$I$88,5,0)</f>
        <v>300.36240000000015</v>
      </c>
      <c r="P84" s="14">
        <f t="shared" si="97"/>
        <v>71.252431096700917</v>
      </c>
      <c r="Q84" s="22">
        <f t="shared" si="54"/>
        <v>647.22916416008775</v>
      </c>
      <c r="R84" s="62">
        <f t="shared" si="55"/>
        <v>940.56249749342101</v>
      </c>
      <c r="S84" s="62">
        <f ca="1">AVERAGE(OFFSET($R$3,0,0,'Données projet'!$E$9+1,1))-AVERAGE(OFFSET($H$3,0,0,'Données projet'!$E$9+1,1))</f>
        <v>300.03481708703549</v>
      </c>
      <c r="T84" s="62">
        <f t="shared" si="56"/>
        <v>102.6350860969182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-2.2737367544323206E-13</v>
      </c>
      <c r="AJ84" s="14">
        <f>AI84*VLOOKUP('Données projet'!$B$10,Paramètres!$A$1:$I$88,3,0)*VLOOKUP('Données projet'!$B$10,Paramètres!$A$1:$I$88,5,0)</f>
        <v>-1.2710188457276673E-13</v>
      </c>
      <c r="AK84" s="14" t="e">
        <f t="shared" si="98"/>
        <v>#NUM!</v>
      </c>
      <c r="AL84" s="22" t="e">
        <f t="shared" si="59"/>
        <v>#NUM!</v>
      </c>
      <c r="AM84" s="62" t="e">
        <f t="shared" si="60"/>
        <v>#NUM!</v>
      </c>
      <c r="AN84" s="62">
        <f ca="1">AVERAGE(OFFSET($AM$3,0,0,'Données projet'!$E$10+1,1))-AVERAGE(OFFSET($H$3,0,0,'Données projet'!$E$10+1,1))</f>
        <v>328.27336939084597</v>
      </c>
      <c r="AO84" s="62">
        <f t="shared" si="61"/>
        <v>448.79354389108755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1.964944453794961</v>
      </c>
      <c r="AV84" s="23">
        <f>EXP(-LN(2)/25)*AV83+(1-EXP(-LN(2)/25))/(LN(2)/25)*Calculateur!AQ84*Calculateur!AS84*VLOOKUP('Données projet'!$B$9,Paramètres!$A$1:$I$88,3,0)*0.475*44/12</f>
        <v>3.3466313452738481</v>
      </c>
      <c r="AW84" s="23">
        <f>EXP(-LN(2)/2)*AW83+(1-EXP(-LN(2)/2))/(LN(2)/2)*AQ84*AT84*VLOOKUP('Données projet'!$B$9,Paramètres!$A$1:$I$88,3,0)*0.475*44/12</f>
        <v>3.0699111062916594E-7</v>
      </c>
      <c r="AX84" s="23">
        <f t="shared" si="62"/>
        <v>5.3115761060599196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10.199999999999999</v>
      </c>
      <c r="BD84" s="13">
        <f>IF(A84&lt;'Données projet'!$A$88,$BA$205^A84,IF(A84='Données projet'!$A$88,'Données projet'!$B$88,BD83+BC84-BL83))</f>
        <v>330.19999999999976</v>
      </c>
      <c r="BE84" s="14">
        <f>BD84*VLOOKUP('Données projet'!$B$11,Paramètres!$A$1:$I$88,3,0)*VLOOKUP('Données projet'!$B$11,Paramètres!$A$1:$I$88,5,0)</f>
        <v>288.46271999999982</v>
      </c>
      <c r="BF84" s="14">
        <f t="shared" si="99"/>
        <v>68.752313829500608</v>
      </c>
      <c r="BG84" s="22">
        <f t="shared" si="63"/>
        <v>622.14951725304661</v>
      </c>
      <c r="BH84" s="62">
        <f t="shared" si="64"/>
        <v>915.48285058637998</v>
      </c>
      <c r="BI84" s="62">
        <f ca="1">AVERAGE(OFFSET($BH$3,0,0,'Données projet'!$E$11+1,1))-AVERAGE(OFFSET($H$3,0,0,'Données projet'!$E$11+1,1))</f>
        <v>348.65374983303883</v>
      </c>
      <c r="BJ84" s="62">
        <f t="shared" si="65"/>
        <v>312.05848669315151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-5.6843418860808015E-14</v>
      </c>
      <c r="BZ84" s="14">
        <f>BY84*VLOOKUP('Données projet'!$B$12,Paramètres!$A$1:$I$88,3,0)*VLOOKUP('Données projet'!$B$12,Paramètres!$A$1:$I$88,5,0)</f>
        <v>-4.1677594708744434E-14</v>
      </c>
      <c r="CA84" s="14" t="e">
        <f t="shared" si="100"/>
        <v>#NUM!</v>
      </c>
      <c r="CB84" s="22" t="e">
        <f t="shared" si="67"/>
        <v>#NUM!</v>
      </c>
      <c r="CC84" s="62" t="e">
        <f t="shared" si="68"/>
        <v>#NUM!</v>
      </c>
      <c r="CD84" s="62">
        <f ca="1">AVERAGE(OFFSET($CC$3,0,0,'Données projet'!$E$12+1,1))-AVERAGE(OFFSET($H$3,0,0,'Données projet'!$E$12+1,1))</f>
        <v>264.06656596707364</v>
      </c>
      <c r="CE84" s="62">
        <f t="shared" si="69"/>
        <v>315.34415130230195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5.6843418860808015E-14</v>
      </c>
      <c r="CU84" s="18">
        <f>CT84*VLOOKUP('Données projet'!$B$13,Paramètres!$A$1:$I$88,3,0)*VLOOKUP('Données projet'!$B$13,Paramètres!$A$1:$I$88,5,0)</f>
        <v>3.3992364478763198E-14</v>
      </c>
      <c r="CV84" s="14">
        <f t="shared" si="101"/>
        <v>5.790027782444094E-13</v>
      </c>
      <c r="CW84" s="22">
        <f t="shared" si="71"/>
        <v>1.0676332069095257E-12</v>
      </c>
      <c r="CX84" s="62">
        <f t="shared" si="72"/>
        <v>293.33333333333439</v>
      </c>
      <c r="CY84" s="62">
        <f ca="1">AVERAGE(OFFSET($CX$3,0,0,'Données projet'!$E$13+1,1))-AVERAGE(OFFSET($H$3,0,0,'Données projet'!$E$13+1,1))</f>
        <v>162.29089122912319</v>
      </c>
      <c r="CZ84" s="62">
        <f t="shared" si="73"/>
        <v>253.15422514195427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3.8469540120728047</v>
      </c>
      <c r="DG84" s="23">
        <f>EXP(-LN(2)/25)*DG83+(1-EXP(-LN(2)/25))/(LN(2)/25)*Calculateur!DB84*Calculateur!DD84*VLOOKUP('Données projet'!$B$9,Paramètres!$A$1:$I$88,3,0)*0.475*44/12</f>
        <v>1.2907395961545407</v>
      </c>
      <c r="DH84" s="23">
        <f>EXP(-LN(2)/2)*DH83+(1-EXP(-LN(2)/2))/(LN(2)/2)*DB84*DE84*VLOOKUP('Données projet'!$B$9,Paramètres!$A$1:$I$88,3,0)*0.475*44/12</f>
        <v>4.9229656188438885E-8</v>
      </c>
      <c r="DI84" s="24">
        <f t="shared" si="74"/>
        <v>5.1376936574570014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-5.6843418860808015E-14</v>
      </c>
      <c r="DP84" s="18">
        <f>DO84*VLOOKUP('Données projet'!$B$14,Paramètres!$A$1:$I$88,3,0)*VLOOKUP('Données projet'!$B$14,Paramètres!$A$1:$I$88,5,0)</f>
        <v>-4.5224624045658861E-14</v>
      </c>
      <c r="DQ84" s="14" t="e">
        <f t="shared" si="102"/>
        <v>#NUM!</v>
      </c>
      <c r="DR84" s="22" t="e">
        <f t="shared" si="75"/>
        <v>#NUM!</v>
      </c>
      <c r="DS84" s="62" t="e">
        <f t="shared" si="76"/>
        <v>#NUM!</v>
      </c>
      <c r="DT84" s="62">
        <f ca="1">AVERAGE(OFFSET($DS$3,0,0,'Données projet'!$E$14+1,1))-AVERAGE(OFFSET($H$3,0,0,'Données projet'!$E$14+1,1))</f>
        <v>290.20755061064017</v>
      </c>
      <c r="DU84" s="62">
        <f t="shared" si="77"/>
        <v>343.54750327717181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25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9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7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17.8</v>
      </c>
      <c r="N85" s="14">
        <f>IF(A85&lt;'Données projet'!$A$36,$K$205^A85,IF(A85='Données projet'!$A$36,'Données projet'!$B$36,N84+M85-V84))</f>
        <v>659.60000000000025</v>
      </c>
      <c r="O85" s="14">
        <f>N85*VLOOKUP('Données projet'!$B$9,Paramètres!$A$1:$I$88,3,0)*VLOOKUP('Données projet'!$B$9,Paramètres!$A$1:$I$88,5,0)</f>
        <v>308.69280000000009</v>
      </c>
      <c r="P85" s="14">
        <f t="shared" si="97"/>
        <v>72.995767680913616</v>
      </c>
      <c r="Q85" s="22">
        <f t="shared" si="54"/>
        <v>664.77425537759143</v>
      </c>
      <c r="R85" s="62">
        <f t="shared" si="55"/>
        <v>958.1075887109248</v>
      </c>
      <c r="S85" s="62">
        <f ca="1">AVERAGE(OFFSET($R$3,0,0,'Données projet'!$E$9+1,1))-AVERAGE(OFFSET($H$3,0,0,'Données projet'!$E$9+1,1))</f>
        <v>300.03481708703549</v>
      </c>
      <c r="T85" s="62">
        <f t="shared" si="56"/>
        <v>102.6350860969182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-2.2737367544323206E-13</v>
      </c>
      <c r="AJ85" s="14">
        <f>AI85*VLOOKUP('Données projet'!$B$10,Paramètres!$A$1:$I$88,3,0)*VLOOKUP('Données projet'!$B$10,Paramètres!$A$1:$I$88,5,0)</f>
        <v>-1.2710188457276673E-13</v>
      </c>
      <c r="AK85" s="14" t="e">
        <f t="shared" si="98"/>
        <v>#NUM!</v>
      </c>
      <c r="AL85" s="22" t="e">
        <f t="shared" si="59"/>
        <v>#NUM!</v>
      </c>
      <c r="AM85" s="62" t="e">
        <f t="shared" si="60"/>
        <v>#NUM!</v>
      </c>
      <c r="AN85" s="62">
        <f ca="1">AVERAGE(OFFSET($AM$3,0,0,'Données projet'!$E$10+1,1))-AVERAGE(OFFSET($H$3,0,0,'Données projet'!$E$10+1,1))</f>
        <v>328.27336939084597</v>
      </c>
      <c r="AO85" s="62">
        <f t="shared" si="61"/>
        <v>448.79354389108755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1.9264130915538167</v>
      </c>
      <c r="AV85" s="23">
        <f>EXP(-LN(2)/25)*AV84+(1-EXP(-LN(2)/25))/(LN(2)/25)*Calculateur!AQ85*Calculateur!AS85*VLOOKUP('Données projet'!$B$9,Paramètres!$A$1:$I$88,3,0)*0.475*44/12</f>
        <v>3.255117535145641</v>
      </c>
      <c r="AW85" s="23">
        <f>EXP(-LN(2)/2)*AW84+(1-EXP(-LN(2)/2))/(LN(2)/2)*AQ85*AT85*VLOOKUP('Données projet'!$B$9,Paramètres!$A$1:$I$88,3,0)*0.475*44/12</f>
        <v>2.1707549608987285E-7</v>
      </c>
      <c r="AX85" s="23">
        <f t="shared" si="62"/>
        <v>5.1815308437749534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10.199999999999999</v>
      </c>
      <c r="BD85" s="13">
        <f>IF(A85&lt;'Données projet'!$A$88,$BA$205^A85,IF(A85='Données projet'!$A$88,'Données projet'!$B$88,BD84+BC85-BL84))</f>
        <v>340.39999999999975</v>
      </c>
      <c r="BE85" s="14">
        <f>BD85*VLOOKUP('Données projet'!$B$11,Paramètres!$A$1:$I$88,3,0)*VLOOKUP('Données projet'!$B$11,Paramètres!$A$1:$I$88,5,0)</f>
        <v>297.37343999999985</v>
      </c>
      <c r="BF85" s="14">
        <f t="shared" si="99"/>
        <v>70.6255541201282</v>
      </c>
      <c r="BG85" s="22">
        <f t="shared" si="63"/>
        <v>640.9315814258897</v>
      </c>
      <c r="BH85" s="62">
        <f t="shared" si="64"/>
        <v>934.26491475922307</v>
      </c>
      <c r="BI85" s="62">
        <f ca="1">AVERAGE(OFFSET($BH$3,0,0,'Données projet'!$E$11+1,1))-AVERAGE(OFFSET($H$3,0,0,'Données projet'!$E$11+1,1))</f>
        <v>348.65374983303883</v>
      </c>
      <c r="BJ85" s="62">
        <f t="shared" si="65"/>
        <v>312.05848669315151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-5.6843418860808015E-14</v>
      </c>
      <c r="BZ85" s="14">
        <f>BY85*VLOOKUP('Données projet'!$B$12,Paramètres!$A$1:$I$88,3,0)*VLOOKUP('Données projet'!$B$12,Paramètres!$A$1:$I$88,5,0)</f>
        <v>-4.1677594708744434E-14</v>
      </c>
      <c r="CA85" s="14" t="e">
        <f t="shared" si="100"/>
        <v>#NUM!</v>
      </c>
      <c r="CB85" s="22" t="e">
        <f t="shared" si="67"/>
        <v>#NUM!</v>
      </c>
      <c r="CC85" s="62" t="e">
        <f t="shared" si="68"/>
        <v>#NUM!</v>
      </c>
      <c r="CD85" s="62">
        <f ca="1">AVERAGE(OFFSET($CC$3,0,0,'Données projet'!$E$12+1,1))-AVERAGE(OFFSET($H$3,0,0,'Données projet'!$E$12+1,1))</f>
        <v>264.06656596707364</v>
      </c>
      <c r="CE85" s="62">
        <f t="shared" si="69"/>
        <v>315.34415130230195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5.6843418860808015E-14</v>
      </c>
      <c r="CU85" s="18">
        <f>CT85*VLOOKUP('Données projet'!$B$13,Paramètres!$A$1:$I$88,3,0)*VLOOKUP('Données projet'!$B$13,Paramètres!$A$1:$I$88,5,0)</f>
        <v>3.3992364478763198E-14</v>
      </c>
      <c r="CV85" s="14">
        <f t="shared" si="101"/>
        <v>5.790027782444094E-13</v>
      </c>
      <c r="CW85" s="22">
        <f t="shared" si="71"/>
        <v>1.0676332069095257E-12</v>
      </c>
      <c r="CX85" s="62">
        <f t="shared" si="72"/>
        <v>293.33333333333439</v>
      </c>
      <c r="CY85" s="62">
        <f ca="1">AVERAGE(OFFSET($CX$3,0,0,'Données projet'!$E$13+1,1))-AVERAGE(OFFSET($H$3,0,0,'Données projet'!$E$13+1,1))</f>
        <v>162.29089122912319</v>
      </c>
      <c r="CZ85" s="62">
        <f t="shared" si="73"/>
        <v>253.15422514195427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3.7715175903063156</v>
      </c>
      <c r="DG85" s="23">
        <f>EXP(-LN(2)/25)*DG84+(1-EXP(-LN(2)/25))/(LN(2)/25)*Calculateur!DB85*Calculateur!DD85*VLOOKUP('Données projet'!$B$9,Paramètres!$A$1:$I$88,3,0)*0.475*44/12</f>
        <v>1.2554442540206494</v>
      </c>
      <c r="DH85" s="23">
        <f>EXP(-LN(2)/2)*DH84+(1-EXP(-LN(2)/2))/(LN(2)/2)*DB85*DE85*VLOOKUP('Données projet'!$B$9,Paramètres!$A$1:$I$88,3,0)*0.475*44/12</f>
        <v>3.4810623726327419E-8</v>
      </c>
      <c r="DI85" s="24">
        <f t="shared" si="74"/>
        <v>5.0269618791375885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-5.6843418860808015E-14</v>
      </c>
      <c r="DP85" s="18">
        <f>DO85*VLOOKUP('Données projet'!$B$14,Paramètres!$A$1:$I$88,3,0)*VLOOKUP('Données projet'!$B$14,Paramètres!$A$1:$I$88,5,0)</f>
        <v>-4.5224624045658861E-14</v>
      </c>
      <c r="DQ85" s="14" t="e">
        <f t="shared" si="102"/>
        <v>#NUM!</v>
      </c>
      <c r="DR85" s="22" t="e">
        <f t="shared" si="75"/>
        <v>#NUM!</v>
      </c>
      <c r="DS85" s="62" t="e">
        <f t="shared" si="76"/>
        <v>#NUM!</v>
      </c>
      <c r="DT85" s="62">
        <f ca="1">AVERAGE(OFFSET($DS$3,0,0,'Données projet'!$E$14+1,1))-AVERAGE(OFFSET($H$3,0,0,'Données projet'!$E$14+1,1))</f>
        <v>290.20755061064017</v>
      </c>
      <c r="DU85" s="62">
        <f t="shared" si="77"/>
        <v>343.54750327717181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25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9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7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17.8</v>
      </c>
      <c r="N86" s="14">
        <f>IF(A86&lt;'Données projet'!$A$36,$K$205^A86,IF(A86='Données projet'!$A$36,'Données projet'!$B$36,N85+M86-V85))</f>
        <v>677.4000000000002</v>
      </c>
      <c r="O86" s="14">
        <f>N86*VLOOKUP('Données projet'!$B$9,Paramètres!$A$1:$I$88,3,0)*VLOOKUP('Données projet'!$B$9,Paramètres!$A$1:$I$88,5,0)</f>
        <v>317.02320000000009</v>
      </c>
      <c r="P86" s="14">
        <f t="shared" si="97"/>
        <v>74.733636027657681</v>
      </c>
      <c r="Q86" s="22">
        <f t="shared" si="54"/>
        <v>682.30982274817052</v>
      </c>
      <c r="R86" s="62">
        <f t="shared" si="55"/>
        <v>975.64315608150378</v>
      </c>
      <c r="S86" s="62">
        <f ca="1">AVERAGE(OFFSET($R$3,0,0,'Données projet'!$E$9+1,1))-AVERAGE(OFFSET($H$3,0,0,'Données projet'!$E$9+1,1))</f>
        <v>300.03481708703549</v>
      </c>
      <c r="T86" s="62">
        <f t="shared" si="56"/>
        <v>102.6350860969182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-2.2737367544323206E-13</v>
      </c>
      <c r="AJ86" s="14">
        <f>AI86*VLOOKUP('Données projet'!$B$10,Paramètres!$A$1:$I$88,3,0)*VLOOKUP('Données projet'!$B$10,Paramètres!$A$1:$I$88,5,0)</f>
        <v>-1.2710188457276673E-13</v>
      </c>
      <c r="AK86" s="14" t="e">
        <f t="shared" si="98"/>
        <v>#NUM!</v>
      </c>
      <c r="AL86" s="22" t="e">
        <f t="shared" si="59"/>
        <v>#NUM!</v>
      </c>
      <c r="AM86" s="62" t="e">
        <f t="shared" si="60"/>
        <v>#NUM!</v>
      </c>
      <c r="AN86" s="62">
        <f ca="1">AVERAGE(OFFSET($AM$3,0,0,'Données projet'!$E$10+1,1))-AVERAGE(OFFSET($H$3,0,0,'Données projet'!$E$10+1,1))</f>
        <v>328.27336939084597</v>
      </c>
      <c r="AO86" s="62">
        <f t="shared" si="61"/>
        <v>448.79354389108755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1.888637305824411</v>
      </c>
      <c r="AV86" s="23">
        <f>EXP(-LN(2)/25)*AV85+(1-EXP(-LN(2)/25))/(LN(2)/25)*Calculateur!AQ86*Calculateur!AS86*VLOOKUP('Données projet'!$B$9,Paramètres!$A$1:$I$88,3,0)*0.475*44/12</f>
        <v>3.1661061749678918</v>
      </c>
      <c r="AW86" s="23">
        <f>EXP(-LN(2)/2)*AW85+(1-EXP(-LN(2)/2))/(LN(2)/2)*AQ86*AT86*VLOOKUP('Données projet'!$B$9,Paramètres!$A$1:$I$88,3,0)*0.475*44/12</f>
        <v>1.5349555531458297E-7</v>
      </c>
      <c r="AX86" s="23">
        <f t="shared" si="62"/>
        <v>5.054743634287858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10.199999999999999</v>
      </c>
      <c r="BD86" s="13">
        <f>IF(A86&lt;'Données projet'!$A$88,$BA$205^A86,IF(A86='Données projet'!$A$88,'Données projet'!$B$88,BD85+BC86-BL85))</f>
        <v>350.59999999999974</v>
      </c>
      <c r="BE86" s="14">
        <f>BD86*VLOOKUP('Données projet'!$B$11,Paramètres!$A$1:$I$88,3,0)*VLOOKUP('Données projet'!$B$11,Paramètres!$A$1:$I$88,5,0)</f>
        <v>306.28415999999982</v>
      </c>
      <c r="BF86" s="14">
        <f t="shared" si="99"/>
        <v>72.492271092035196</v>
      </c>
      <c r="BG86" s="22">
        <f t="shared" si="63"/>
        <v>659.70228415196095</v>
      </c>
      <c r="BH86" s="62">
        <f t="shared" si="64"/>
        <v>953.03561748529432</v>
      </c>
      <c r="BI86" s="62">
        <f ca="1">AVERAGE(OFFSET($BH$3,0,0,'Données projet'!$E$11+1,1))-AVERAGE(OFFSET($H$3,0,0,'Données projet'!$E$11+1,1))</f>
        <v>348.65374983303883</v>
      </c>
      <c r="BJ86" s="62">
        <f t="shared" si="65"/>
        <v>312.05848669315151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-5.6843418860808015E-14</v>
      </c>
      <c r="BZ86" s="14">
        <f>BY86*VLOOKUP('Données projet'!$B$12,Paramètres!$A$1:$I$88,3,0)*VLOOKUP('Données projet'!$B$12,Paramètres!$A$1:$I$88,5,0)</f>
        <v>-4.1677594708744434E-14</v>
      </c>
      <c r="CA86" s="14" t="e">
        <f t="shared" si="100"/>
        <v>#NUM!</v>
      </c>
      <c r="CB86" s="22" t="e">
        <f t="shared" si="67"/>
        <v>#NUM!</v>
      </c>
      <c r="CC86" s="62" t="e">
        <f t="shared" si="68"/>
        <v>#NUM!</v>
      </c>
      <c r="CD86" s="62">
        <f ca="1">AVERAGE(OFFSET($CC$3,0,0,'Données projet'!$E$12+1,1))-AVERAGE(OFFSET($H$3,0,0,'Données projet'!$E$12+1,1))</f>
        <v>264.06656596707364</v>
      </c>
      <c r="CE86" s="62">
        <f t="shared" si="69"/>
        <v>315.34415130230195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5.6843418860808015E-14</v>
      </c>
      <c r="CU86" s="18">
        <f>CT86*VLOOKUP('Données projet'!$B$13,Paramètres!$A$1:$I$88,3,0)*VLOOKUP('Données projet'!$B$13,Paramètres!$A$1:$I$88,5,0)</f>
        <v>3.3992364478763198E-14</v>
      </c>
      <c r="CV86" s="14">
        <f t="shared" si="101"/>
        <v>5.790027782444094E-13</v>
      </c>
      <c r="CW86" s="22">
        <f t="shared" si="71"/>
        <v>1.0676332069095257E-12</v>
      </c>
      <c r="CX86" s="62">
        <f t="shared" si="72"/>
        <v>293.33333333333439</v>
      </c>
      <c r="CY86" s="62">
        <f ca="1">AVERAGE(OFFSET($CX$3,0,0,'Données projet'!$E$13+1,1))-AVERAGE(OFFSET($H$3,0,0,'Données projet'!$E$13+1,1))</f>
        <v>162.29089122912319</v>
      </c>
      <c r="CZ86" s="62">
        <f t="shared" si="73"/>
        <v>253.15422514195427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3.6975604307589935</v>
      </c>
      <c r="DG86" s="23">
        <f>EXP(-LN(2)/25)*DG85+(1-EXP(-LN(2)/25))/(LN(2)/25)*Calculateur!DB86*Calculateur!DD86*VLOOKUP('Données projet'!$B$9,Paramètres!$A$1:$I$88,3,0)*0.475*44/12</f>
        <v>1.2211140648735108</v>
      </c>
      <c r="DH86" s="23">
        <f>EXP(-LN(2)/2)*DH85+(1-EXP(-LN(2)/2))/(LN(2)/2)*DB86*DE86*VLOOKUP('Données projet'!$B$9,Paramètres!$A$1:$I$88,3,0)*0.475*44/12</f>
        <v>2.4614828094219442E-8</v>
      </c>
      <c r="DI86" s="24">
        <f t="shared" si="74"/>
        <v>4.9186745202473325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-5.6843418860808015E-14</v>
      </c>
      <c r="DP86" s="18">
        <f>DO86*VLOOKUP('Données projet'!$B$14,Paramètres!$A$1:$I$88,3,0)*VLOOKUP('Données projet'!$B$14,Paramètres!$A$1:$I$88,5,0)</f>
        <v>-4.5224624045658861E-14</v>
      </c>
      <c r="DQ86" s="14" t="e">
        <f t="shared" si="102"/>
        <v>#NUM!</v>
      </c>
      <c r="DR86" s="22" t="e">
        <f t="shared" si="75"/>
        <v>#NUM!</v>
      </c>
      <c r="DS86" s="62" t="e">
        <f t="shared" si="76"/>
        <v>#NUM!</v>
      </c>
      <c r="DT86" s="62">
        <f ca="1">AVERAGE(OFFSET($DS$3,0,0,'Données projet'!$E$14+1,1))-AVERAGE(OFFSET($H$3,0,0,'Données projet'!$E$14+1,1))</f>
        <v>290.20755061064017</v>
      </c>
      <c r="DU86" s="62">
        <f t="shared" si="77"/>
        <v>343.54750327717181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25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9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7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17.8</v>
      </c>
      <c r="N87" s="14">
        <f>IF(A87&lt;'Données projet'!$A$36,$K$205^A87,IF(A87='Données projet'!$A$36,'Données projet'!$B$36,N86+M87-V86))</f>
        <v>695.20000000000016</v>
      </c>
      <c r="O87" s="14">
        <f>N87*VLOOKUP('Données projet'!$B$9,Paramètres!$A$1:$I$88,3,0)*VLOOKUP('Données projet'!$B$9,Paramètres!$A$1:$I$88,5,0)</f>
        <v>325.35360000000009</v>
      </c>
      <c r="P87" s="14">
        <f t="shared" si="97"/>
        <v>76.466196343081592</v>
      </c>
      <c r="Q87" s="22">
        <f t="shared" si="54"/>
        <v>699.83614529753402</v>
      </c>
      <c r="R87" s="62">
        <f t="shared" si="55"/>
        <v>993.16947863086739</v>
      </c>
      <c r="S87" s="62">
        <f ca="1">AVERAGE(OFFSET($R$3,0,0,'Données projet'!$E$9+1,1))-AVERAGE(OFFSET($H$3,0,0,'Données projet'!$E$9+1,1))</f>
        <v>300.03481708703549</v>
      </c>
      <c r="T87" s="62">
        <f t="shared" si="56"/>
        <v>102.6350860969182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-2.2737367544323206E-13</v>
      </c>
      <c r="AJ87" s="14">
        <f>AI87*VLOOKUP('Données projet'!$B$10,Paramètres!$A$1:$I$88,3,0)*VLOOKUP('Données projet'!$B$10,Paramètres!$A$1:$I$88,5,0)</f>
        <v>-1.2710188457276673E-13</v>
      </c>
      <c r="AK87" s="14" t="e">
        <f t="shared" si="98"/>
        <v>#NUM!</v>
      </c>
      <c r="AL87" s="22" t="e">
        <f t="shared" si="59"/>
        <v>#NUM!</v>
      </c>
      <c r="AM87" s="62" t="e">
        <f t="shared" si="60"/>
        <v>#NUM!</v>
      </c>
      <c r="AN87" s="62">
        <f ca="1">AVERAGE(OFFSET($AM$3,0,0,'Données projet'!$E$10+1,1))-AVERAGE(OFFSET($H$3,0,0,'Données projet'!$E$10+1,1))</f>
        <v>328.27336939084597</v>
      </c>
      <c r="AO87" s="62">
        <f t="shared" si="61"/>
        <v>448.79354389108755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1.8516022802122047</v>
      </c>
      <c r="AV87" s="23">
        <f>EXP(-LN(2)/25)*AV86+(1-EXP(-LN(2)/25))/(LN(2)/25)*Calculateur!AQ87*Calculateur!AS87*VLOOKUP('Données projet'!$B$9,Paramètres!$A$1:$I$88,3,0)*0.475*44/12</f>
        <v>3.0795288351151071</v>
      </c>
      <c r="AW87" s="23">
        <f>EXP(-LN(2)/2)*AW86+(1-EXP(-LN(2)/2))/(LN(2)/2)*AQ87*AT87*VLOOKUP('Données projet'!$B$9,Paramètres!$A$1:$I$88,3,0)*0.475*44/12</f>
        <v>1.0853774804493642E-7</v>
      </c>
      <c r="AX87" s="23">
        <f t="shared" si="62"/>
        <v>4.9311312238650595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10.199999999999999</v>
      </c>
      <c r="BD87" s="13">
        <f>IF(A87&lt;'Données projet'!$A$88,$BA$205^A87,IF(A87='Données projet'!$A$88,'Données projet'!$B$88,BD86+BC87-BL86))</f>
        <v>360.79999999999973</v>
      </c>
      <c r="BE87" s="14">
        <f>BD87*VLOOKUP('Données projet'!$B$11,Paramètres!$A$1:$I$88,3,0)*VLOOKUP('Données projet'!$B$11,Paramètres!$A$1:$I$88,5,0)</f>
        <v>315.19487999999978</v>
      </c>
      <c r="BF87" s="14">
        <f t="shared" si="99"/>
        <v>74.352676320899675</v>
      </c>
      <c r="BG87" s="22">
        <f t="shared" si="63"/>
        <v>678.46199392556662</v>
      </c>
      <c r="BH87" s="62">
        <f t="shared" si="64"/>
        <v>971.79532725889999</v>
      </c>
      <c r="BI87" s="62">
        <f ca="1">AVERAGE(OFFSET($BH$3,0,0,'Données projet'!$E$11+1,1))-AVERAGE(OFFSET($H$3,0,0,'Données projet'!$E$11+1,1))</f>
        <v>348.65374983303883</v>
      </c>
      <c r="BJ87" s="62">
        <f t="shared" si="65"/>
        <v>312.05848669315151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-5.6843418860808015E-14</v>
      </c>
      <c r="BZ87" s="14">
        <f>BY87*VLOOKUP('Données projet'!$B$12,Paramètres!$A$1:$I$88,3,0)*VLOOKUP('Données projet'!$B$12,Paramètres!$A$1:$I$88,5,0)</f>
        <v>-4.1677594708744434E-14</v>
      </c>
      <c r="CA87" s="14" t="e">
        <f t="shared" si="100"/>
        <v>#NUM!</v>
      </c>
      <c r="CB87" s="22" t="e">
        <f t="shared" si="67"/>
        <v>#NUM!</v>
      </c>
      <c r="CC87" s="62" t="e">
        <f t="shared" si="68"/>
        <v>#NUM!</v>
      </c>
      <c r="CD87" s="62">
        <f ca="1">AVERAGE(OFFSET($CC$3,0,0,'Données projet'!$E$12+1,1))-AVERAGE(OFFSET($H$3,0,0,'Données projet'!$E$12+1,1))</f>
        <v>264.06656596707364</v>
      </c>
      <c r="CE87" s="62">
        <f t="shared" si="69"/>
        <v>315.34415130230195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5.6843418860808015E-14</v>
      </c>
      <c r="CU87" s="18">
        <f>CT87*VLOOKUP('Données projet'!$B$13,Paramètres!$A$1:$I$88,3,0)*VLOOKUP('Données projet'!$B$13,Paramètres!$A$1:$I$88,5,0)</f>
        <v>3.3992364478763198E-14</v>
      </c>
      <c r="CV87" s="14">
        <f t="shared" si="101"/>
        <v>5.790027782444094E-13</v>
      </c>
      <c r="CW87" s="22">
        <f t="shared" si="71"/>
        <v>1.0676332069095257E-12</v>
      </c>
      <c r="CX87" s="62">
        <f t="shared" si="72"/>
        <v>293.33333333333439</v>
      </c>
      <c r="CY87" s="62">
        <f ca="1">AVERAGE(OFFSET($CX$3,0,0,'Données projet'!$E$13+1,1))-AVERAGE(OFFSET($H$3,0,0,'Données projet'!$E$13+1,1))</f>
        <v>162.29089122912319</v>
      </c>
      <c r="CZ87" s="62">
        <f t="shared" si="73"/>
        <v>253.15422514195427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3.6250535260009813</v>
      </c>
      <c r="DG87" s="23">
        <f>EXP(-LN(2)/25)*DG86+(1-EXP(-LN(2)/25))/(LN(2)/25)*Calculateur!DB87*Calculateur!DD87*VLOOKUP('Données projet'!$B$9,Paramètres!$A$1:$I$88,3,0)*0.475*44/12</f>
        <v>1.1877226365539468</v>
      </c>
      <c r="DH87" s="23">
        <f>EXP(-LN(2)/2)*DH86+(1-EXP(-LN(2)/2))/(LN(2)/2)*DB87*DE87*VLOOKUP('Données projet'!$B$9,Paramètres!$A$1:$I$88,3,0)*0.475*44/12</f>
        <v>1.740531186316371E-8</v>
      </c>
      <c r="DI87" s="24">
        <f t="shared" si="74"/>
        <v>4.81277617996024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-5.6843418860808015E-14</v>
      </c>
      <c r="DP87" s="18">
        <f>DO87*VLOOKUP('Données projet'!$B$14,Paramètres!$A$1:$I$88,3,0)*VLOOKUP('Données projet'!$B$14,Paramètres!$A$1:$I$88,5,0)</f>
        <v>-4.5224624045658861E-14</v>
      </c>
      <c r="DQ87" s="14" t="e">
        <f t="shared" si="102"/>
        <v>#NUM!</v>
      </c>
      <c r="DR87" s="22" t="e">
        <f t="shared" si="75"/>
        <v>#NUM!</v>
      </c>
      <c r="DS87" s="62" t="e">
        <f t="shared" si="76"/>
        <v>#NUM!</v>
      </c>
      <c r="DT87" s="62">
        <f ca="1">AVERAGE(OFFSET($DS$3,0,0,'Données projet'!$E$14+1,1))-AVERAGE(OFFSET($H$3,0,0,'Données projet'!$E$14+1,1))</f>
        <v>290.20755061064017</v>
      </c>
      <c r="DU87" s="62">
        <f t="shared" si="77"/>
        <v>343.54750327717181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25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9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7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17.8</v>
      </c>
      <c r="N88" s="14">
        <f>IF(A88&lt;'Données projet'!$A$36,$K$205^A88,IF(A88='Données projet'!$A$36,'Données projet'!$B$36,N87+M88-V87))</f>
        <v>713.00000000000011</v>
      </c>
      <c r="O88" s="14">
        <f>N88*VLOOKUP('Données projet'!$B$9,Paramètres!$A$1:$I$88,3,0)*VLOOKUP('Données projet'!$B$9,Paramètres!$A$1:$I$88,5,0)</f>
        <v>333.68400000000003</v>
      </c>
      <c r="P88" s="14">
        <f t="shared" si="97"/>
        <v>78.193600162051595</v>
      </c>
      <c r="Q88" s="22">
        <f t="shared" si="54"/>
        <v>717.35348694890661</v>
      </c>
      <c r="R88" s="62">
        <f t="shared" si="55"/>
        <v>1010.68682028224</v>
      </c>
      <c r="S88" s="62">
        <f ca="1">AVERAGE(OFFSET($R$3,0,0,'Données projet'!$E$9+1,1))-AVERAGE(OFFSET($H$3,0,0,'Données projet'!$E$9+1,1))</f>
        <v>300.03481708703549</v>
      </c>
      <c r="T88" s="62">
        <f t="shared" si="56"/>
        <v>102.6350860969182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-2.2737367544323206E-13</v>
      </c>
      <c r="AJ88" s="14">
        <f>AI88*VLOOKUP('Données projet'!$B$10,Paramètres!$A$1:$I$88,3,0)*VLOOKUP('Données projet'!$B$10,Paramètres!$A$1:$I$88,5,0)</f>
        <v>-1.2710188457276673E-13</v>
      </c>
      <c r="AK88" s="14" t="e">
        <f t="shared" si="98"/>
        <v>#NUM!</v>
      </c>
      <c r="AL88" s="22" t="e">
        <f t="shared" si="59"/>
        <v>#NUM!</v>
      </c>
      <c r="AM88" s="62" t="e">
        <f t="shared" si="60"/>
        <v>#NUM!</v>
      </c>
      <c r="AN88" s="62">
        <f ca="1">AVERAGE(OFFSET($AM$3,0,0,'Données projet'!$E$10+1,1))-AVERAGE(OFFSET($H$3,0,0,'Données projet'!$E$10+1,1))</f>
        <v>328.27336939084597</v>
      </c>
      <c r="AO88" s="62">
        <f t="shared" si="61"/>
        <v>448.79354389108755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1.8152934888631187</v>
      </c>
      <c r="AV88" s="23">
        <f>EXP(-LN(2)/25)*AV87+(1-EXP(-LN(2)/25))/(LN(2)/25)*Calculateur!AQ88*Calculateur!AS88*VLOOKUP('Données projet'!$B$9,Paramètres!$A$1:$I$88,3,0)*0.475*44/12</f>
        <v>2.9953189571735015</v>
      </c>
      <c r="AW88" s="23">
        <f>EXP(-LN(2)/2)*AW87+(1-EXP(-LN(2)/2))/(LN(2)/2)*AQ88*AT88*VLOOKUP('Données projet'!$B$9,Paramètres!$A$1:$I$88,3,0)*0.475*44/12</f>
        <v>7.6747777657291484E-8</v>
      </c>
      <c r="AX88" s="23">
        <f t="shared" si="62"/>
        <v>4.8106125227843979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371</v>
      </c>
      <c r="BB88" s="13">
        <f>VLOOKUP(A88,'Données projet'!$A$87:$I$107,9,0)</f>
        <v>10.199999999999999</v>
      </c>
      <c r="BC88" s="13">
        <f t="array" ref="BC88">INDEX(BB:BB,MIN(IF(ISNUMBER(BB88:BB284),ROW(BB88:BB284),"")))</f>
        <v>10.199999999999999</v>
      </c>
      <c r="BD88" s="13">
        <f>IF(A88&lt;'Données projet'!$A$88,$BA$205^A88,IF(A88='Données projet'!$A$88,'Données projet'!$B$88,BD87+BC88-BL87))</f>
        <v>370.99999999999972</v>
      </c>
      <c r="BE88" s="14">
        <f>BD88*VLOOKUP('Données projet'!$B$11,Paramètres!$A$1:$I$88,3,0)*VLOOKUP('Données projet'!$B$11,Paramètres!$A$1:$I$88,5,0)</f>
        <v>324.10559999999975</v>
      </c>
      <c r="BF88" s="14">
        <f t="shared" si="99"/>
        <v>76.206968739176872</v>
      </c>
      <c r="BG88" s="22">
        <f t="shared" si="63"/>
        <v>697.21105722073253</v>
      </c>
      <c r="BH88" s="62">
        <f t="shared" si="64"/>
        <v>990.54439055406579</v>
      </c>
      <c r="BI88" s="62">
        <f ca="1">AVERAGE(OFFSET($BH$3,0,0,'Données projet'!$E$11+1,1))-AVERAGE(OFFSET($H$3,0,0,'Données projet'!$E$11+1,1))</f>
        <v>348.65374983303883</v>
      </c>
      <c r="BJ88" s="62">
        <f t="shared" si="65"/>
        <v>312.05848669315151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-5.6843418860808015E-14</v>
      </c>
      <c r="BZ88" s="14">
        <f>BY88*VLOOKUP('Données projet'!$B$12,Paramètres!$A$1:$I$88,3,0)*VLOOKUP('Données projet'!$B$12,Paramètres!$A$1:$I$88,5,0)</f>
        <v>-4.1677594708744434E-14</v>
      </c>
      <c r="CA88" s="14" t="e">
        <f t="shared" si="100"/>
        <v>#NUM!</v>
      </c>
      <c r="CB88" s="22" t="e">
        <f t="shared" si="67"/>
        <v>#NUM!</v>
      </c>
      <c r="CC88" s="62" t="e">
        <f t="shared" si="68"/>
        <v>#NUM!</v>
      </c>
      <c r="CD88" s="62">
        <f ca="1">AVERAGE(OFFSET($CC$3,0,0,'Données projet'!$E$12+1,1))-AVERAGE(OFFSET($H$3,0,0,'Données projet'!$E$12+1,1))</f>
        <v>264.06656596707364</v>
      </c>
      <c r="CE88" s="62">
        <f t="shared" si="69"/>
        <v>315.34415130230195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5.6843418860808015E-14</v>
      </c>
      <c r="CU88" s="18">
        <f>CT88*VLOOKUP('Données projet'!$B$13,Paramètres!$A$1:$I$88,3,0)*VLOOKUP('Données projet'!$B$13,Paramètres!$A$1:$I$88,5,0)</f>
        <v>3.3992364478763198E-14</v>
      </c>
      <c r="CV88" s="14">
        <f t="shared" si="101"/>
        <v>5.790027782444094E-13</v>
      </c>
      <c r="CW88" s="22">
        <f t="shared" si="71"/>
        <v>1.0676332069095257E-12</v>
      </c>
      <c r="CX88" s="62">
        <f t="shared" si="72"/>
        <v>293.33333333333439</v>
      </c>
      <c r="CY88" s="62">
        <f ca="1">AVERAGE(OFFSET($CX$3,0,0,'Données projet'!$E$13+1,1))-AVERAGE(OFFSET($H$3,0,0,'Données projet'!$E$13+1,1))</f>
        <v>162.29089122912319</v>
      </c>
      <c r="CZ88" s="62">
        <f t="shared" si="73"/>
        <v>253.15422514195427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3.5539684374204286</v>
      </c>
      <c r="DG88" s="23">
        <f>EXP(-LN(2)/25)*DG87+(1-EXP(-LN(2)/25))/(LN(2)/25)*Calculateur!DB88*Calculateur!DD88*VLOOKUP('Données projet'!$B$9,Paramètres!$A$1:$I$88,3,0)*0.475*44/12</f>
        <v>1.1552442985977602</v>
      </c>
      <c r="DH88" s="23">
        <f>EXP(-LN(2)/2)*DH87+(1-EXP(-LN(2)/2))/(LN(2)/2)*DB88*DE88*VLOOKUP('Données projet'!$B$9,Paramètres!$A$1:$I$88,3,0)*0.475*44/12</f>
        <v>1.2307414047109721E-8</v>
      </c>
      <c r="DI88" s="24">
        <f t="shared" si="74"/>
        <v>4.7092127483256023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-5.6843418860808015E-14</v>
      </c>
      <c r="DP88" s="18">
        <f>DO88*VLOOKUP('Données projet'!$B$14,Paramètres!$A$1:$I$88,3,0)*VLOOKUP('Données projet'!$B$14,Paramètres!$A$1:$I$88,5,0)</f>
        <v>-4.5224624045658861E-14</v>
      </c>
      <c r="DQ88" s="14" t="e">
        <f t="shared" si="102"/>
        <v>#NUM!</v>
      </c>
      <c r="DR88" s="22" t="e">
        <f t="shared" si="75"/>
        <v>#NUM!</v>
      </c>
      <c r="DS88" s="62" t="e">
        <f t="shared" si="76"/>
        <v>#NUM!</v>
      </c>
      <c r="DT88" s="62">
        <f ca="1">AVERAGE(OFFSET($DS$3,0,0,'Données projet'!$E$14+1,1))-AVERAGE(OFFSET($H$3,0,0,'Données projet'!$E$14+1,1))</f>
        <v>290.20755061064017</v>
      </c>
      <c r="DU88" s="62">
        <f t="shared" si="77"/>
        <v>343.54750327717181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25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9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7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17.8</v>
      </c>
      <c r="N89" s="14">
        <f>IF(A89&lt;'Données projet'!$A$36,$K$205^A89,IF(A89='Données projet'!$A$36,'Données projet'!$B$36,N88+M89-V88))</f>
        <v>730.80000000000007</v>
      </c>
      <c r="O89" s="14">
        <f>N89*VLOOKUP('Données projet'!$B$9,Paramètres!$A$1:$I$88,3,0)*VLOOKUP('Données projet'!$B$9,Paramètres!$A$1:$I$88,5,0)</f>
        <v>342.01440000000002</v>
      </c>
      <c r="P89" s="14">
        <f t="shared" si="97"/>
        <v>79.915991022086629</v>
      </c>
      <c r="Q89" s="22">
        <f t="shared" si="54"/>
        <v>734.8620976968009</v>
      </c>
      <c r="R89" s="62">
        <f t="shared" si="55"/>
        <v>1028.1954310301342</v>
      </c>
      <c r="S89" s="62">
        <f ca="1">AVERAGE(OFFSET($R$3,0,0,'Données projet'!$E$9+1,1))-AVERAGE(OFFSET($H$3,0,0,'Données projet'!$E$9+1,1))</f>
        <v>300.03481708703549</v>
      </c>
      <c r="T89" s="62">
        <f t="shared" si="56"/>
        <v>102.6350860969182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-2.2737367544323206E-13</v>
      </c>
      <c r="AJ89" s="14">
        <f>AI89*VLOOKUP('Données projet'!$B$10,Paramètres!$A$1:$I$88,3,0)*VLOOKUP('Données projet'!$B$10,Paramètres!$A$1:$I$88,5,0)</f>
        <v>-1.2710188457276673E-13</v>
      </c>
      <c r="AK89" s="14" t="e">
        <f t="shared" si="98"/>
        <v>#NUM!</v>
      </c>
      <c r="AL89" s="22" t="e">
        <f t="shared" si="59"/>
        <v>#NUM!</v>
      </c>
      <c r="AM89" s="62" t="e">
        <f t="shared" si="60"/>
        <v>#NUM!</v>
      </c>
      <c r="AN89" s="62">
        <f ca="1">AVERAGE(OFFSET($AM$3,0,0,'Données projet'!$E$10+1,1))-AVERAGE(OFFSET($H$3,0,0,'Données projet'!$E$10+1,1))</f>
        <v>328.27336939084597</v>
      </c>
      <c r="AO89" s="62">
        <f t="shared" si="61"/>
        <v>448.79354389108755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1.7796966907662122</v>
      </c>
      <c r="AV89" s="23">
        <f>EXP(-LN(2)/25)*AV88+(1-EXP(-LN(2)/25))/(LN(2)/25)*Calculateur!AQ89*Calculateur!AS89*VLOOKUP('Données projet'!$B$9,Paramètres!$A$1:$I$88,3,0)*0.475*44/12</f>
        <v>2.9134118027726141</v>
      </c>
      <c r="AW89" s="23">
        <f>EXP(-LN(2)/2)*AW88+(1-EXP(-LN(2)/2))/(LN(2)/2)*AQ89*AT89*VLOOKUP('Données projet'!$B$9,Paramètres!$A$1:$I$88,3,0)*0.475*44/12</f>
        <v>5.4268874022468211E-8</v>
      </c>
      <c r="AX89" s="23">
        <f t="shared" si="62"/>
        <v>4.6931085478077001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10</v>
      </c>
      <c r="BD89" s="13">
        <f>IF(A89&lt;'Données projet'!$A$88,$BA$205^A89,IF(A89='Données projet'!$A$88,'Données projet'!$B$88,BD88+BC89-BL88))</f>
        <v>380.99999999999972</v>
      </c>
      <c r="BE89" s="14">
        <f>BD89*VLOOKUP('Données projet'!$B$11,Paramètres!$A$1:$I$88,3,0)*VLOOKUP('Données projet'!$B$11,Paramètres!$A$1:$I$88,5,0)</f>
        <v>332.8415999999998</v>
      </c>
      <c r="BF89" s="14">
        <f t="shared" si="99"/>
        <v>78.019149043976952</v>
      </c>
      <c r="BG89" s="22">
        <f t="shared" si="63"/>
        <v>715.58247125159278</v>
      </c>
      <c r="BH89" s="62">
        <f t="shared" si="64"/>
        <v>1008.915804584926</v>
      </c>
      <c r="BI89" s="62">
        <f ca="1">AVERAGE(OFFSET($BH$3,0,0,'Données projet'!$E$11+1,1))-AVERAGE(OFFSET($H$3,0,0,'Données projet'!$E$11+1,1))</f>
        <v>348.65374983303883</v>
      </c>
      <c r="BJ89" s="62">
        <f t="shared" si="65"/>
        <v>312.05848669315151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-5.6843418860808015E-14</v>
      </c>
      <c r="BZ89" s="14">
        <f>BY89*VLOOKUP('Données projet'!$B$12,Paramètres!$A$1:$I$88,3,0)*VLOOKUP('Données projet'!$B$12,Paramètres!$A$1:$I$88,5,0)</f>
        <v>-4.1677594708744434E-14</v>
      </c>
      <c r="CA89" s="14" t="e">
        <f t="shared" si="100"/>
        <v>#NUM!</v>
      </c>
      <c r="CB89" s="22" t="e">
        <f t="shared" si="67"/>
        <v>#NUM!</v>
      </c>
      <c r="CC89" s="62" t="e">
        <f t="shared" si="68"/>
        <v>#NUM!</v>
      </c>
      <c r="CD89" s="62">
        <f ca="1">AVERAGE(OFFSET($CC$3,0,0,'Données projet'!$E$12+1,1))-AVERAGE(OFFSET($H$3,0,0,'Données projet'!$E$12+1,1))</f>
        <v>264.06656596707364</v>
      </c>
      <c r="CE89" s="62">
        <f t="shared" si="69"/>
        <v>315.34415130230195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5.6843418860808015E-14</v>
      </c>
      <c r="CU89" s="18">
        <f>CT89*VLOOKUP('Données projet'!$B$13,Paramètres!$A$1:$I$88,3,0)*VLOOKUP('Données projet'!$B$13,Paramètres!$A$1:$I$88,5,0)</f>
        <v>3.3992364478763198E-14</v>
      </c>
      <c r="CV89" s="14">
        <f t="shared" si="101"/>
        <v>5.790027782444094E-13</v>
      </c>
      <c r="CW89" s="22">
        <f t="shared" si="71"/>
        <v>1.0676332069095257E-12</v>
      </c>
      <c r="CX89" s="62">
        <f t="shared" si="72"/>
        <v>293.33333333333439</v>
      </c>
      <c r="CY89" s="62">
        <f ca="1">AVERAGE(OFFSET($CX$3,0,0,'Données projet'!$E$13+1,1))-AVERAGE(OFFSET($H$3,0,0,'Données projet'!$E$13+1,1))</f>
        <v>162.29089122912319</v>
      </c>
      <c r="CZ89" s="62">
        <f t="shared" si="73"/>
        <v>253.15422514195427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3.4842772840693175</v>
      </c>
      <c r="DG89" s="23">
        <f>EXP(-LN(2)/25)*DG88+(1-EXP(-LN(2)/25))/(LN(2)/25)*Calculateur!DB89*Calculateur!DD89*VLOOKUP('Données projet'!$B$9,Paramètres!$A$1:$I$88,3,0)*0.475*44/12</f>
        <v>1.1236540825009471</v>
      </c>
      <c r="DH89" s="23">
        <f>EXP(-LN(2)/2)*DH88+(1-EXP(-LN(2)/2))/(LN(2)/2)*DB89*DE89*VLOOKUP('Données projet'!$B$9,Paramètres!$A$1:$I$88,3,0)*0.475*44/12</f>
        <v>8.7026559315818548E-9</v>
      </c>
      <c r="DI89" s="24">
        <f t="shared" si="74"/>
        <v>4.607931375272921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-5.6843418860808015E-14</v>
      </c>
      <c r="DP89" s="18">
        <f>DO89*VLOOKUP('Données projet'!$B$14,Paramètres!$A$1:$I$88,3,0)*VLOOKUP('Données projet'!$B$14,Paramètres!$A$1:$I$88,5,0)</f>
        <v>-4.5224624045658861E-14</v>
      </c>
      <c r="DQ89" s="14" t="e">
        <f t="shared" si="102"/>
        <v>#NUM!</v>
      </c>
      <c r="DR89" s="22" t="e">
        <f t="shared" si="75"/>
        <v>#NUM!</v>
      </c>
      <c r="DS89" s="62" t="e">
        <f t="shared" si="76"/>
        <v>#NUM!</v>
      </c>
      <c r="DT89" s="62">
        <f ca="1">AVERAGE(OFFSET($DS$3,0,0,'Données projet'!$E$14+1,1))-AVERAGE(OFFSET($H$3,0,0,'Données projet'!$E$14+1,1))</f>
        <v>290.20755061064017</v>
      </c>
      <c r="DU89" s="62">
        <f t="shared" si="77"/>
        <v>343.54750327717181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25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9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7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17.8</v>
      </c>
      <c r="N90" s="14">
        <f>IF(A90&lt;'Données projet'!$A$36,$K$205^A90,IF(A90='Données projet'!$A$36,'Données projet'!$B$36,N89+M90-V89))</f>
        <v>748.6</v>
      </c>
      <c r="O90" s="14">
        <f>N90*VLOOKUP('Données projet'!$B$9,Paramètres!$A$1:$I$88,3,0)*VLOOKUP('Données projet'!$B$9,Paramètres!$A$1:$I$88,5,0)</f>
        <v>350.34479999999996</v>
      </c>
      <c r="P90" s="14">
        <f t="shared" si="97"/>
        <v>81.633505069784817</v>
      </c>
      <c r="Q90" s="22">
        <f t="shared" si="54"/>
        <v>752.36221466320842</v>
      </c>
      <c r="R90" s="62">
        <f t="shared" si="55"/>
        <v>1045.6955479965418</v>
      </c>
      <c r="S90" s="62">
        <f ca="1">AVERAGE(OFFSET($R$3,0,0,'Données projet'!$E$9+1,1))-AVERAGE(OFFSET($H$3,0,0,'Données projet'!$E$9+1,1))</f>
        <v>300.03481708703549</v>
      </c>
      <c r="T90" s="62">
        <f t="shared" si="56"/>
        <v>102.6350860969182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-2.2737367544323206E-13</v>
      </c>
      <c r="AJ90" s="14">
        <f>AI90*VLOOKUP('Données projet'!$B$10,Paramètres!$A$1:$I$88,3,0)*VLOOKUP('Données projet'!$B$10,Paramètres!$A$1:$I$88,5,0)</f>
        <v>-1.2710188457276673E-13</v>
      </c>
      <c r="AK90" s="14" t="e">
        <f t="shared" si="98"/>
        <v>#NUM!</v>
      </c>
      <c r="AL90" s="22" t="e">
        <f t="shared" si="59"/>
        <v>#NUM!</v>
      </c>
      <c r="AM90" s="62" t="e">
        <f t="shared" si="60"/>
        <v>#NUM!</v>
      </c>
      <c r="AN90" s="62">
        <f ca="1">AVERAGE(OFFSET($AM$3,0,0,'Données projet'!$E$10+1,1))-AVERAGE(OFFSET($H$3,0,0,'Données projet'!$E$10+1,1))</f>
        <v>328.27336939084597</v>
      </c>
      <c r="AO90" s="62">
        <f t="shared" si="61"/>
        <v>448.79354389108755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1.7447979241680831</v>
      </c>
      <c r="AV90" s="23">
        <f>EXP(-LN(2)/25)*AV89+(1-EXP(-LN(2)/25))/(LN(2)/25)*Calculateur!AQ90*Calculateur!AS90*VLOOKUP('Données projet'!$B$9,Paramètres!$A$1:$I$88,3,0)*0.475*44/12</f>
        <v>2.8337444038161288</v>
      </c>
      <c r="AW90" s="23">
        <f>EXP(-LN(2)/2)*AW89+(1-EXP(-LN(2)/2))/(LN(2)/2)*AQ90*AT90*VLOOKUP('Données projet'!$B$9,Paramètres!$A$1:$I$88,3,0)*0.475*44/12</f>
        <v>3.8373888828645742E-8</v>
      </c>
      <c r="AX90" s="23">
        <f t="shared" si="62"/>
        <v>4.5785423663581009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10</v>
      </c>
      <c r="BD90" s="13">
        <f>IF(A90&lt;'Données projet'!$A$88,$BA$205^A90,IF(A90='Données projet'!$A$88,'Données projet'!$B$88,BD89+BC90-BL89))</f>
        <v>390.99999999999972</v>
      </c>
      <c r="BE90" s="14">
        <f>BD90*VLOOKUP('Données projet'!$B$11,Paramètres!$A$1:$I$88,3,0)*VLOOKUP('Données projet'!$B$11,Paramètres!$A$1:$I$88,5,0)</f>
        <v>341.57759999999979</v>
      </c>
      <c r="BF90" s="14">
        <f t="shared" si="99"/>
        <v>79.825800701716659</v>
      </c>
      <c r="BG90" s="22">
        <f t="shared" si="63"/>
        <v>733.94425622215613</v>
      </c>
      <c r="BH90" s="62">
        <f t="shared" si="64"/>
        <v>1027.2775895554894</v>
      </c>
      <c r="BI90" s="62">
        <f ca="1">AVERAGE(OFFSET($BH$3,0,0,'Données projet'!$E$11+1,1))-AVERAGE(OFFSET($H$3,0,0,'Données projet'!$E$11+1,1))</f>
        <v>348.65374983303883</v>
      </c>
      <c r="BJ90" s="62">
        <f t="shared" si="65"/>
        <v>312.05848669315151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-5.6843418860808015E-14</v>
      </c>
      <c r="BZ90" s="14">
        <f>BY90*VLOOKUP('Données projet'!$B$12,Paramètres!$A$1:$I$88,3,0)*VLOOKUP('Données projet'!$B$12,Paramètres!$A$1:$I$88,5,0)</f>
        <v>-4.1677594708744434E-14</v>
      </c>
      <c r="CA90" s="14" t="e">
        <f t="shared" si="100"/>
        <v>#NUM!</v>
      </c>
      <c r="CB90" s="22" t="e">
        <f t="shared" si="67"/>
        <v>#NUM!</v>
      </c>
      <c r="CC90" s="62" t="e">
        <f t="shared" si="68"/>
        <v>#NUM!</v>
      </c>
      <c r="CD90" s="62">
        <f ca="1">AVERAGE(OFFSET($CC$3,0,0,'Données projet'!$E$12+1,1))-AVERAGE(OFFSET($H$3,0,0,'Données projet'!$E$12+1,1))</f>
        <v>264.06656596707364</v>
      </c>
      <c r="CE90" s="62">
        <f t="shared" si="69"/>
        <v>315.34415130230195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5.6843418860808015E-14</v>
      </c>
      <c r="CU90" s="18">
        <f>CT90*VLOOKUP('Données projet'!$B$13,Paramètres!$A$1:$I$88,3,0)*VLOOKUP('Données projet'!$B$13,Paramètres!$A$1:$I$88,5,0)</f>
        <v>3.3992364478763198E-14</v>
      </c>
      <c r="CV90" s="14">
        <f t="shared" si="101"/>
        <v>5.790027782444094E-13</v>
      </c>
      <c r="CW90" s="22">
        <f t="shared" si="71"/>
        <v>1.0676332069095257E-12</v>
      </c>
      <c r="CX90" s="62">
        <f t="shared" si="72"/>
        <v>293.33333333333439</v>
      </c>
      <c r="CY90" s="62">
        <f ca="1">AVERAGE(OFFSET($CX$3,0,0,'Données projet'!$E$13+1,1))-AVERAGE(OFFSET($H$3,0,0,'Données projet'!$E$13+1,1))</f>
        <v>162.29089122912319</v>
      </c>
      <c r="CZ90" s="62">
        <f t="shared" si="73"/>
        <v>253.15422514195427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3.4159527317280154</v>
      </c>
      <c r="DG90" s="23">
        <f>EXP(-LN(2)/25)*DG89+(1-EXP(-LN(2)/25))/(LN(2)/25)*Calculateur!DB90*Calculateur!DD90*VLOOKUP('Données projet'!$B$9,Paramètres!$A$1:$I$88,3,0)*0.475*44/12</f>
        <v>1.0929277025245587</v>
      </c>
      <c r="DH90" s="23">
        <f>EXP(-LN(2)/2)*DH89+(1-EXP(-LN(2)/2))/(LN(2)/2)*DB90*DE90*VLOOKUP('Données projet'!$B$9,Paramètres!$A$1:$I$88,3,0)*0.475*44/12</f>
        <v>6.1537070235548606E-9</v>
      </c>
      <c r="DI90" s="24">
        <f t="shared" si="74"/>
        <v>4.5088804404062808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-5.6843418860808015E-14</v>
      </c>
      <c r="DP90" s="18">
        <f>DO90*VLOOKUP('Données projet'!$B$14,Paramètres!$A$1:$I$88,3,0)*VLOOKUP('Données projet'!$B$14,Paramètres!$A$1:$I$88,5,0)</f>
        <v>-4.5224624045658861E-14</v>
      </c>
      <c r="DQ90" s="14" t="e">
        <f t="shared" si="102"/>
        <v>#NUM!</v>
      </c>
      <c r="DR90" s="22" t="e">
        <f t="shared" si="75"/>
        <v>#NUM!</v>
      </c>
      <c r="DS90" s="62" t="e">
        <f t="shared" si="76"/>
        <v>#NUM!</v>
      </c>
      <c r="DT90" s="62">
        <f ca="1">AVERAGE(OFFSET($DS$3,0,0,'Données projet'!$E$14+1,1))-AVERAGE(OFFSET($H$3,0,0,'Données projet'!$E$14+1,1))</f>
        <v>290.20755061064017</v>
      </c>
      <c r="DU90" s="62">
        <f t="shared" si="77"/>
        <v>343.54750327717181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25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9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7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17.8</v>
      </c>
      <c r="N91" s="14">
        <f>IF(A91&lt;'Données projet'!$A$36,$K$205^A91,IF(A91='Données projet'!$A$36,'Données projet'!$B$36,N90+M91-V90))</f>
        <v>766.4</v>
      </c>
      <c r="O91" s="14">
        <f>N91*VLOOKUP('Données projet'!$B$9,Paramètres!$A$1:$I$88,3,0)*VLOOKUP('Données projet'!$B$9,Paramètres!$A$1:$I$88,5,0)</f>
        <v>358.67520000000002</v>
      </c>
      <c r="P91" s="14">
        <f t="shared" si="97"/>
        <v>83.346271607947827</v>
      </c>
      <c r="Q91" s="22">
        <f t="shared" si="54"/>
        <v>769.85406305050913</v>
      </c>
      <c r="R91" s="62">
        <f t="shared" si="55"/>
        <v>1063.1873963838425</v>
      </c>
      <c r="S91" s="62">
        <f ca="1">AVERAGE(OFFSET($R$3,0,0,'Données projet'!$E$9+1,1))-AVERAGE(OFFSET($H$3,0,0,'Données projet'!$E$9+1,1))</f>
        <v>300.03481708703549</v>
      </c>
      <c r="T91" s="62">
        <f t="shared" si="56"/>
        <v>102.6350860969182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-2.2737367544323206E-13</v>
      </c>
      <c r="AJ91" s="14">
        <f>AI91*VLOOKUP('Données projet'!$B$10,Paramètres!$A$1:$I$88,3,0)*VLOOKUP('Données projet'!$B$10,Paramètres!$A$1:$I$88,5,0)</f>
        <v>-1.2710188457276673E-13</v>
      </c>
      <c r="AK91" s="14" t="e">
        <f t="shared" si="98"/>
        <v>#NUM!</v>
      </c>
      <c r="AL91" s="22" t="e">
        <f t="shared" si="59"/>
        <v>#NUM!</v>
      </c>
      <c r="AM91" s="62" t="e">
        <f t="shared" si="60"/>
        <v>#NUM!</v>
      </c>
      <c r="AN91" s="62">
        <f ca="1">AVERAGE(OFFSET($AM$3,0,0,'Données projet'!$E$10+1,1))-AVERAGE(OFFSET($H$3,0,0,'Données projet'!$E$10+1,1))</f>
        <v>328.27336939084597</v>
      </c>
      <c r="AO91" s="62">
        <f t="shared" si="61"/>
        <v>448.79354389108755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1.7105835010967976</v>
      </c>
      <c r="AV91" s="23">
        <f>EXP(-LN(2)/25)*AV90+(1-EXP(-LN(2)/25))/(LN(2)/25)*Calculateur!AQ91*Calculateur!AS91*VLOOKUP('Données projet'!$B$9,Paramètres!$A$1:$I$88,3,0)*0.475*44/12</f>
        <v>2.7562555140736351</v>
      </c>
      <c r="AW91" s="23">
        <f>EXP(-LN(2)/2)*AW90+(1-EXP(-LN(2)/2))/(LN(2)/2)*AQ91*AT91*VLOOKUP('Données projet'!$B$9,Paramètres!$A$1:$I$88,3,0)*0.475*44/12</f>
        <v>2.7134437011234106E-8</v>
      </c>
      <c r="AX91" s="23">
        <f t="shared" si="62"/>
        <v>4.4668390423048692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10</v>
      </c>
      <c r="BD91" s="13">
        <f>IF(A91&lt;'Données projet'!$A$88,$BA$205^A91,IF(A91='Données projet'!$A$88,'Données projet'!$B$88,BD90+BC91-BL90))</f>
        <v>400.99999999999972</v>
      </c>
      <c r="BE91" s="14">
        <f>BD91*VLOOKUP('Données projet'!$B$11,Paramètres!$A$1:$I$88,3,0)*VLOOKUP('Données projet'!$B$11,Paramètres!$A$1:$I$88,5,0)</f>
        <v>350.31359999999978</v>
      </c>
      <c r="BF91" s="14">
        <f t="shared" si="99"/>
        <v>81.627081368747369</v>
      </c>
      <c r="BG91" s="22">
        <f t="shared" si="63"/>
        <v>752.29668671723459</v>
      </c>
      <c r="BH91" s="62">
        <f t="shared" si="64"/>
        <v>1045.630020050568</v>
      </c>
      <c r="BI91" s="62">
        <f ca="1">AVERAGE(OFFSET($BH$3,0,0,'Données projet'!$E$11+1,1))-AVERAGE(OFFSET($H$3,0,0,'Données projet'!$E$11+1,1))</f>
        <v>348.65374983303883</v>
      </c>
      <c r="BJ91" s="62">
        <f t="shared" si="65"/>
        <v>312.05848669315151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-5.6843418860808015E-14</v>
      </c>
      <c r="BZ91" s="14">
        <f>BY91*VLOOKUP('Données projet'!$B$12,Paramètres!$A$1:$I$88,3,0)*VLOOKUP('Données projet'!$B$12,Paramètres!$A$1:$I$88,5,0)</f>
        <v>-4.1677594708744434E-14</v>
      </c>
      <c r="CA91" s="14" t="e">
        <f t="shared" si="100"/>
        <v>#NUM!</v>
      </c>
      <c r="CB91" s="22" t="e">
        <f t="shared" si="67"/>
        <v>#NUM!</v>
      </c>
      <c r="CC91" s="62" t="e">
        <f t="shared" si="68"/>
        <v>#NUM!</v>
      </c>
      <c r="CD91" s="62">
        <f ca="1">AVERAGE(OFFSET($CC$3,0,0,'Données projet'!$E$12+1,1))-AVERAGE(OFFSET($H$3,0,0,'Données projet'!$E$12+1,1))</f>
        <v>264.06656596707364</v>
      </c>
      <c r="CE91" s="62">
        <f t="shared" si="69"/>
        <v>315.34415130230195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5.6843418860808015E-14</v>
      </c>
      <c r="CU91" s="18">
        <f>CT91*VLOOKUP('Données projet'!$B$13,Paramètres!$A$1:$I$88,3,0)*VLOOKUP('Données projet'!$B$13,Paramètres!$A$1:$I$88,5,0)</f>
        <v>3.3992364478763198E-14</v>
      </c>
      <c r="CV91" s="14">
        <f t="shared" si="101"/>
        <v>5.790027782444094E-13</v>
      </c>
      <c r="CW91" s="22">
        <f t="shared" si="71"/>
        <v>1.0676332069095257E-12</v>
      </c>
      <c r="CX91" s="62">
        <f t="shared" si="72"/>
        <v>293.33333333333439</v>
      </c>
      <c r="CY91" s="62">
        <f ca="1">AVERAGE(OFFSET($CX$3,0,0,'Données projet'!$E$13+1,1))-AVERAGE(OFFSET($H$3,0,0,'Données projet'!$E$13+1,1))</f>
        <v>162.29089122912319</v>
      </c>
      <c r="CZ91" s="62">
        <f t="shared" si="73"/>
        <v>253.15422514195427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3.3489679821842642</v>
      </c>
      <c r="DG91" s="23">
        <f>EXP(-LN(2)/25)*DG90+(1-EXP(-LN(2)/25))/(LN(2)/25)*Calculateur!DB91*Calculateur!DD91*VLOOKUP('Données projet'!$B$9,Paramètres!$A$1:$I$88,3,0)*0.475*44/12</f>
        <v>1.0630415370244548</v>
      </c>
      <c r="DH91" s="23">
        <f>EXP(-LN(2)/2)*DH90+(1-EXP(-LN(2)/2))/(LN(2)/2)*DB91*DE91*VLOOKUP('Données projet'!$B$9,Paramètres!$A$1:$I$88,3,0)*0.475*44/12</f>
        <v>4.3513279657909274E-9</v>
      </c>
      <c r="DI91" s="24">
        <f t="shared" si="74"/>
        <v>4.4120095235600472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-5.6843418860808015E-14</v>
      </c>
      <c r="DP91" s="18">
        <f>DO91*VLOOKUP('Données projet'!$B$14,Paramètres!$A$1:$I$88,3,0)*VLOOKUP('Données projet'!$B$14,Paramètres!$A$1:$I$88,5,0)</f>
        <v>-4.5224624045658861E-14</v>
      </c>
      <c r="DQ91" s="14" t="e">
        <f t="shared" si="102"/>
        <v>#NUM!</v>
      </c>
      <c r="DR91" s="22" t="e">
        <f t="shared" si="75"/>
        <v>#NUM!</v>
      </c>
      <c r="DS91" s="62" t="e">
        <f t="shared" si="76"/>
        <v>#NUM!</v>
      </c>
      <c r="DT91" s="62">
        <f ca="1">AVERAGE(OFFSET($DS$3,0,0,'Données projet'!$E$14+1,1))-AVERAGE(OFFSET($H$3,0,0,'Données projet'!$E$14+1,1))</f>
        <v>290.20755061064017</v>
      </c>
      <c r="DU91" s="62">
        <f t="shared" si="77"/>
        <v>343.54750327717181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25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9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7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17.8</v>
      </c>
      <c r="N92" s="14">
        <f>IF(A92&lt;'Données projet'!$A$36,$K$205^A92,IF(A92='Données projet'!$A$36,'Données projet'!$B$36,N91+M92-V91))</f>
        <v>784.19999999999993</v>
      </c>
      <c r="O92" s="14">
        <f>N92*VLOOKUP('Données projet'!$B$9,Paramètres!$A$1:$I$88,3,0)*VLOOKUP('Données projet'!$B$9,Paramètres!$A$1:$I$88,5,0)</f>
        <v>367.00559999999996</v>
      </c>
      <c r="P92" s="14">
        <f t="shared" si="97"/>
        <v>85.054413590443389</v>
      </c>
      <c r="Q92" s="22">
        <f t="shared" si="54"/>
        <v>787.33785700335545</v>
      </c>
      <c r="R92" s="62">
        <f t="shared" si="55"/>
        <v>1080.6711903366888</v>
      </c>
      <c r="S92" s="62">
        <f ca="1">AVERAGE(OFFSET($R$3,0,0,'Données projet'!$E$9+1,1))-AVERAGE(OFFSET($H$3,0,0,'Données projet'!$E$9+1,1))</f>
        <v>300.03481708703549</v>
      </c>
      <c r="T92" s="62">
        <f t="shared" si="56"/>
        <v>102.6350860969182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-2.2737367544323206E-13</v>
      </c>
      <c r="AJ92" s="14">
        <f>AI92*VLOOKUP('Données projet'!$B$10,Paramètres!$A$1:$I$88,3,0)*VLOOKUP('Données projet'!$B$10,Paramètres!$A$1:$I$88,5,0)</f>
        <v>-1.2710188457276673E-13</v>
      </c>
      <c r="AK92" s="14" t="e">
        <f t="shared" si="98"/>
        <v>#NUM!</v>
      </c>
      <c r="AL92" s="22" t="e">
        <f t="shared" si="59"/>
        <v>#NUM!</v>
      </c>
      <c r="AM92" s="62" t="e">
        <f t="shared" si="60"/>
        <v>#NUM!</v>
      </c>
      <c r="AN92" s="62">
        <f ca="1">AVERAGE(OFFSET($AM$3,0,0,'Données projet'!$E$10+1,1))-AVERAGE(OFFSET($H$3,0,0,'Données projet'!$E$10+1,1))</f>
        <v>328.27336939084597</v>
      </c>
      <c r="AO92" s="62">
        <f t="shared" si="61"/>
        <v>448.79354389108755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1.6770400019932026</v>
      </c>
      <c r="AV92" s="23">
        <f>EXP(-LN(2)/25)*AV91+(1-EXP(-LN(2)/25))/(LN(2)/25)*Calculateur!AQ92*Calculateur!AS92*VLOOKUP('Données projet'!$B$9,Paramètres!$A$1:$I$88,3,0)*0.475*44/12</f>
        <v>2.6808855620961136</v>
      </c>
      <c r="AW92" s="23">
        <f>EXP(-LN(2)/2)*AW91+(1-EXP(-LN(2)/2))/(LN(2)/2)*AQ92*AT92*VLOOKUP('Données projet'!$B$9,Paramètres!$A$1:$I$88,3,0)*0.475*44/12</f>
        <v>1.9186944414322871E-8</v>
      </c>
      <c r="AX92" s="23">
        <f t="shared" si="62"/>
        <v>4.3579255832762609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10</v>
      </c>
      <c r="BD92" s="13">
        <f>IF(A92&lt;'Données projet'!$A$88,$BA$205^A92,IF(A92='Données projet'!$A$88,'Données projet'!$B$88,BD91+BC92-BL91))</f>
        <v>410.99999999999972</v>
      </c>
      <c r="BE92" s="14">
        <f>BD92*VLOOKUP('Données projet'!$B$11,Paramètres!$A$1:$I$88,3,0)*VLOOKUP('Données projet'!$B$11,Paramètres!$A$1:$I$88,5,0)</f>
        <v>359.04959999999977</v>
      </c>
      <c r="BF92" s="14">
        <f t="shared" si="99"/>
        <v>83.423140390092726</v>
      </c>
      <c r="BG92" s="22">
        <f t="shared" si="63"/>
        <v>770.64002284607761</v>
      </c>
      <c r="BH92" s="62">
        <f t="shared" si="64"/>
        <v>1063.973356179411</v>
      </c>
      <c r="BI92" s="62">
        <f ca="1">AVERAGE(OFFSET($BH$3,0,0,'Données projet'!$E$11+1,1))-AVERAGE(OFFSET($H$3,0,0,'Données projet'!$E$11+1,1))</f>
        <v>348.65374983303883</v>
      </c>
      <c r="BJ92" s="62">
        <f t="shared" si="65"/>
        <v>312.05848669315151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-5.6843418860808015E-14</v>
      </c>
      <c r="BZ92" s="14">
        <f>BY92*VLOOKUP('Données projet'!$B$12,Paramètres!$A$1:$I$88,3,0)*VLOOKUP('Données projet'!$B$12,Paramètres!$A$1:$I$88,5,0)</f>
        <v>-4.1677594708744434E-14</v>
      </c>
      <c r="CA92" s="14" t="e">
        <f t="shared" si="100"/>
        <v>#NUM!</v>
      </c>
      <c r="CB92" s="22" t="e">
        <f t="shared" si="67"/>
        <v>#NUM!</v>
      </c>
      <c r="CC92" s="62" t="e">
        <f t="shared" si="68"/>
        <v>#NUM!</v>
      </c>
      <c r="CD92" s="62">
        <f ca="1">AVERAGE(OFFSET($CC$3,0,0,'Données projet'!$E$12+1,1))-AVERAGE(OFFSET($H$3,0,0,'Données projet'!$E$12+1,1))</f>
        <v>264.06656596707364</v>
      </c>
      <c r="CE92" s="62">
        <f t="shared" si="69"/>
        <v>315.34415130230195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5.6843418860808015E-14</v>
      </c>
      <c r="CU92" s="18">
        <f>CT92*VLOOKUP('Données projet'!$B$13,Paramètres!$A$1:$I$88,3,0)*VLOOKUP('Données projet'!$B$13,Paramètres!$A$1:$I$88,5,0)</f>
        <v>3.3992364478763198E-14</v>
      </c>
      <c r="CV92" s="14">
        <f t="shared" si="101"/>
        <v>5.790027782444094E-13</v>
      </c>
      <c r="CW92" s="22">
        <f t="shared" si="71"/>
        <v>1.0676332069095257E-12</v>
      </c>
      <c r="CX92" s="62">
        <f t="shared" si="72"/>
        <v>293.33333333333439</v>
      </c>
      <c r="CY92" s="62">
        <f ca="1">AVERAGE(OFFSET($CX$3,0,0,'Données projet'!$E$13+1,1))-AVERAGE(OFFSET($H$3,0,0,'Données projet'!$E$13+1,1))</f>
        <v>162.29089122912319</v>
      </c>
      <c r="CZ92" s="62">
        <f t="shared" si="73"/>
        <v>253.15422514195427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3.283296762722403</v>
      </c>
      <c r="DG92" s="23">
        <f>EXP(-LN(2)/25)*DG91+(1-EXP(-LN(2)/25))/(LN(2)/25)*Calculateur!DB92*Calculateur!DD92*VLOOKUP('Données projet'!$B$9,Paramètres!$A$1:$I$88,3,0)*0.475*44/12</f>
        <v>1.0339726102915963</v>
      </c>
      <c r="DH92" s="23">
        <f>EXP(-LN(2)/2)*DH91+(1-EXP(-LN(2)/2))/(LN(2)/2)*DB92*DE92*VLOOKUP('Données projet'!$B$9,Paramètres!$A$1:$I$88,3,0)*0.475*44/12</f>
        <v>3.0768535117774303E-9</v>
      </c>
      <c r="DI92" s="24">
        <f t="shared" si="74"/>
        <v>4.3172693760908532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-5.6843418860808015E-14</v>
      </c>
      <c r="DP92" s="18">
        <f>DO92*VLOOKUP('Données projet'!$B$14,Paramètres!$A$1:$I$88,3,0)*VLOOKUP('Données projet'!$B$14,Paramètres!$A$1:$I$88,5,0)</f>
        <v>-4.5224624045658861E-14</v>
      </c>
      <c r="DQ92" s="14" t="e">
        <f t="shared" si="102"/>
        <v>#NUM!</v>
      </c>
      <c r="DR92" s="22" t="e">
        <f t="shared" si="75"/>
        <v>#NUM!</v>
      </c>
      <c r="DS92" s="62" t="e">
        <f t="shared" si="76"/>
        <v>#NUM!</v>
      </c>
      <c r="DT92" s="62">
        <f ca="1">AVERAGE(OFFSET($DS$3,0,0,'Données projet'!$E$14+1,1))-AVERAGE(OFFSET($H$3,0,0,'Données projet'!$E$14+1,1))</f>
        <v>290.20755061064017</v>
      </c>
      <c r="DU92" s="62">
        <f t="shared" si="77"/>
        <v>343.54750327717181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25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9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7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802</v>
      </c>
      <c r="L93" s="13">
        <f>VLOOKUP(A93,'Données projet'!$A$35:$I$55,9,0)</f>
        <v>17.8</v>
      </c>
      <c r="M93" s="13">
        <f t="array" ref="M93">INDEX(L:L,MIN(IF(ISNUMBER(L93:L289),ROW(L93:L289),"")))</f>
        <v>17.8</v>
      </c>
      <c r="N93" s="14">
        <f>IF(A93&lt;'Données projet'!$A$36,$K$205^A93,IF(A93='Données projet'!$A$36,'Données projet'!$B$36,N92+M93-V92))</f>
        <v>801.99999999999989</v>
      </c>
      <c r="O93" s="14">
        <f>N93*VLOOKUP('Données projet'!$B$9,Paramètres!$A$1:$I$88,3,0)*VLOOKUP('Données projet'!$B$9,Paramètres!$A$1:$I$88,5,0)</f>
        <v>375.33599999999996</v>
      </c>
      <c r="P93" s="14">
        <f t="shared" si="97"/>
        <v>86.75804807087205</v>
      </c>
      <c r="Q93" s="22">
        <f t="shared" si="54"/>
        <v>804.81380039010207</v>
      </c>
      <c r="R93" s="62">
        <f t="shared" si="55"/>
        <v>1098.1471337234354</v>
      </c>
      <c r="S93" s="62">
        <f ca="1">AVERAGE(OFFSET($R$3,0,0,'Données projet'!$E$9+1,1))-AVERAGE(OFFSET($H$3,0,0,'Données projet'!$E$9+1,1))</f>
        <v>300.03481708703549</v>
      </c>
      <c r="T93" s="62">
        <f t="shared" si="56"/>
        <v>102.6350860969182</v>
      </c>
      <c r="U93" s="16">
        <f>IF(ISNA(VLOOKUP(A93,'Données projet'!$A$35:$I$55,3,0)),0,VLOOKUP(A93,'Données projet'!$A$35:$I$55,3,0))</f>
        <v>6</v>
      </c>
      <c r="V93" s="16">
        <f>IF(ISNA(VLOOKUP(A93,'Données projet'!$A$35:$I$55,4,0)),0,VLOOKUP(A93,'Données projet'!$A$35:$I$55,4,0))</f>
        <v>97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-2.2737367544323206E-13</v>
      </c>
      <c r="AJ93" s="14">
        <f>AI93*VLOOKUP('Données projet'!$B$10,Paramètres!$A$1:$I$88,3,0)*VLOOKUP('Données projet'!$B$10,Paramètres!$A$1:$I$88,5,0)</f>
        <v>-1.2710188457276673E-13</v>
      </c>
      <c r="AK93" s="14" t="e">
        <f t="shared" si="98"/>
        <v>#NUM!</v>
      </c>
      <c r="AL93" s="22" t="e">
        <f t="shared" si="59"/>
        <v>#NUM!</v>
      </c>
      <c r="AM93" s="62" t="e">
        <f t="shared" si="60"/>
        <v>#NUM!</v>
      </c>
      <c r="AN93" s="62">
        <f ca="1">AVERAGE(OFFSET($AM$3,0,0,'Données projet'!$E$10+1,1))-AVERAGE(OFFSET($H$3,0,0,'Données projet'!$E$10+1,1))</f>
        <v>328.27336939084597</v>
      </c>
      <c r="AO93" s="62">
        <f t="shared" si="61"/>
        <v>448.79354389108755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1.6441542704475147</v>
      </c>
      <c r="AV93" s="23">
        <f>EXP(-LN(2)/25)*AV92+(1-EXP(-LN(2)/25))/(LN(2)/25)*Calculateur!AQ93*Calculateur!AS93*VLOOKUP('Données projet'!$B$9,Paramètres!$A$1:$I$88,3,0)*0.475*44/12</f>
        <v>2.6075766054189509</v>
      </c>
      <c r="AW93" s="23">
        <f>EXP(-LN(2)/2)*AW92+(1-EXP(-LN(2)/2))/(LN(2)/2)*AQ93*AT93*VLOOKUP('Données projet'!$B$9,Paramètres!$A$1:$I$88,3,0)*0.475*44/12</f>
        <v>1.3567218505617053E-8</v>
      </c>
      <c r="AX93" s="23">
        <f t="shared" si="62"/>
        <v>4.2517308894336843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421</v>
      </c>
      <c r="BB93" s="13">
        <f>VLOOKUP(A93,'Données projet'!$A$87:$I$107,9,0)</f>
        <v>10</v>
      </c>
      <c r="BC93" s="13">
        <f t="array" ref="BC93">INDEX(BB:BB,MIN(IF(ISNUMBER(BB93:BB289),ROW(BB93:BB289),"")))</f>
        <v>10</v>
      </c>
      <c r="BD93" s="13">
        <f>IF(A93&lt;'Données projet'!$A$88,$BA$205^A93,IF(A93='Données projet'!$A$88,'Données projet'!$B$88,BD92+BC93-BL92))</f>
        <v>420.99999999999972</v>
      </c>
      <c r="BE93" s="14">
        <f>BD93*VLOOKUP('Données projet'!$B$11,Paramètres!$A$1:$I$88,3,0)*VLOOKUP('Données projet'!$B$11,Paramètres!$A$1:$I$88,5,0)</f>
        <v>367.78559999999982</v>
      </c>
      <c r="BF93" s="14">
        <f t="shared" si="99"/>
        <v>85.214119429012783</v>
      </c>
      <c r="BG93" s="22">
        <f t="shared" si="63"/>
        <v>788.97451133886364</v>
      </c>
      <c r="BH93" s="62">
        <f t="shared" si="64"/>
        <v>1082.307844672197</v>
      </c>
      <c r="BI93" s="62">
        <f ca="1">AVERAGE(OFFSET($BH$3,0,0,'Données projet'!$E$11+1,1))-AVERAGE(OFFSET($H$3,0,0,'Données projet'!$E$11+1,1))</f>
        <v>348.65374983303883</v>
      </c>
      <c r="BJ93" s="62">
        <f t="shared" si="65"/>
        <v>312.05848669315151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60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-5.6843418860808015E-14</v>
      </c>
      <c r="BZ93" s="14">
        <f>BY93*VLOOKUP('Données projet'!$B$12,Paramètres!$A$1:$I$88,3,0)*VLOOKUP('Données projet'!$B$12,Paramètres!$A$1:$I$88,5,0)</f>
        <v>-4.1677594708744434E-14</v>
      </c>
      <c r="CA93" s="14" t="e">
        <f t="shared" si="100"/>
        <v>#NUM!</v>
      </c>
      <c r="CB93" s="22" t="e">
        <f t="shared" si="67"/>
        <v>#NUM!</v>
      </c>
      <c r="CC93" s="62" t="e">
        <f t="shared" si="68"/>
        <v>#NUM!</v>
      </c>
      <c r="CD93" s="62">
        <f ca="1">AVERAGE(OFFSET($CC$3,0,0,'Données projet'!$E$12+1,1))-AVERAGE(OFFSET($H$3,0,0,'Données projet'!$E$12+1,1))</f>
        <v>264.06656596707364</v>
      </c>
      <c r="CE93" s="62">
        <f t="shared" si="69"/>
        <v>315.34415130230195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5.6843418860808015E-14</v>
      </c>
      <c r="CU93" s="18">
        <f>CT93*VLOOKUP('Données projet'!$B$13,Paramètres!$A$1:$I$88,3,0)*VLOOKUP('Données projet'!$B$13,Paramètres!$A$1:$I$88,5,0)</f>
        <v>3.3992364478763198E-14</v>
      </c>
      <c r="CV93" s="14">
        <f t="shared" si="101"/>
        <v>5.790027782444094E-13</v>
      </c>
      <c r="CW93" s="22">
        <f t="shared" si="71"/>
        <v>1.0676332069095257E-12</v>
      </c>
      <c r="CX93" s="62">
        <f t="shared" si="72"/>
        <v>293.33333333333439</v>
      </c>
      <c r="CY93" s="62">
        <f ca="1">AVERAGE(OFFSET($CX$3,0,0,'Données projet'!$E$13+1,1))-AVERAGE(OFFSET($H$3,0,0,'Données projet'!$E$13+1,1))</f>
        <v>162.29089122912319</v>
      </c>
      <c r="CZ93" s="62">
        <f t="shared" si="73"/>
        <v>253.15422514195427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3.2189133158187002</v>
      </c>
      <c r="DG93" s="23">
        <f>EXP(-LN(2)/25)*DG92+(1-EXP(-LN(2)/25))/(LN(2)/25)*Calculateur!DB93*Calculateur!DD93*VLOOKUP('Données projet'!$B$9,Paramètres!$A$1:$I$88,3,0)*0.475*44/12</f>
        <v>1.0056985748889162</v>
      </c>
      <c r="DH93" s="23">
        <f>EXP(-LN(2)/2)*DH92+(1-EXP(-LN(2)/2))/(LN(2)/2)*DB93*DE93*VLOOKUP('Données projet'!$B$9,Paramètres!$A$1:$I$88,3,0)*0.475*44/12</f>
        <v>2.1756639828954637E-9</v>
      </c>
      <c r="DI93" s="24">
        <f t="shared" si="74"/>
        <v>4.2246118928832805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-5.6843418860808015E-14</v>
      </c>
      <c r="DP93" s="18">
        <f>DO93*VLOOKUP('Données projet'!$B$14,Paramètres!$A$1:$I$88,3,0)*VLOOKUP('Données projet'!$B$14,Paramètres!$A$1:$I$88,5,0)</f>
        <v>-4.5224624045658861E-14</v>
      </c>
      <c r="DQ93" s="14" t="e">
        <f t="shared" si="102"/>
        <v>#NUM!</v>
      </c>
      <c r="DR93" s="22" t="e">
        <f t="shared" si="75"/>
        <v>#NUM!</v>
      </c>
      <c r="DS93" s="62" t="e">
        <f t="shared" si="76"/>
        <v>#NUM!</v>
      </c>
      <c r="DT93" s="62">
        <f ca="1">AVERAGE(OFFSET($DS$3,0,0,'Données projet'!$E$14+1,1))-AVERAGE(OFFSET($H$3,0,0,'Données projet'!$E$14+1,1))</f>
        <v>290.20755061064017</v>
      </c>
      <c r="DU93" s="62">
        <f t="shared" si="77"/>
        <v>343.54750327717181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25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9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7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15</v>
      </c>
      <c r="N94" s="14">
        <f>IF(A94&lt;'Données projet'!$A$36,$K$205^A94,IF(A94='Données projet'!$A$36,'Données projet'!$B$36,N93+M94-V93))</f>
        <v>719.99999999999989</v>
      </c>
      <c r="O94" s="14">
        <f>N94*VLOOKUP('Données projet'!$B$9,Paramètres!$A$1:$I$88,3,0)*VLOOKUP('Données projet'!$B$9,Paramètres!$A$1:$I$88,5,0)</f>
        <v>336.95999999999992</v>
      </c>
      <c r="P94" s="14">
        <f t="shared" si="97"/>
        <v>78.871535242083567</v>
      </c>
      <c r="Q94" s="22">
        <f t="shared" si="54"/>
        <v>724.23992387996202</v>
      </c>
      <c r="R94" s="62">
        <f t="shared" si="55"/>
        <v>1017.5732572132954</v>
      </c>
      <c r="S94" s="62">
        <f ca="1">AVERAGE(OFFSET($R$3,0,0,'Données projet'!$E$9+1,1))-AVERAGE(OFFSET($H$3,0,0,'Données projet'!$E$9+1,1))</f>
        <v>300.03481708703549</v>
      </c>
      <c r="T94" s="62">
        <f t="shared" si="56"/>
        <v>102.6350860969182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-2.2737367544323206E-13</v>
      </c>
      <c r="AJ94" s="14">
        <f>AI94*VLOOKUP('Données projet'!$B$10,Paramètres!$A$1:$I$88,3,0)*VLOOKUP('Données projet'!$B$10,Paramètres!$A$1:$I$88,5,0)</f>
        <v>-1.2710188457276673E-13</v>
      </c>
      <c r="AK94" s="14" t="e">
        <f t="shared" si="98"/>
        <v>#NUM!</v>
      </c>
      <c r="AL94" s="22" t="e">
        <f t="shared" si="59"/>
        <v>#NUM!</v>
      </c>
      <c r="AM94" s="62" t="e">
        <f t="shared" si="60"/>
        <v>#NUM!</v>
      </c>
      <c r="AN94" s="62">
        <f ca="1">AVERAGE(OFFSET($AM$3,0,0,'Données projet'!$E$10+1,1))-AVERAGE(OFFSET($H$3,0,0,'Données projet'!$E$10+1,1))</f>
        <v>328.27336939084597</v>
      </c>
      <c r="AO94" s="62">
        <f t="shared" si="61"/>
        <v>448.79354389108755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1.6119134080391222</v>
      </c>
      <c r="AV94" s="23">
        <f>EXP(-LN(2)/25)*AV93+(1-EXP(-LN(2)/25))/(LN(2)/25)*Calculateur!AQ94*Calculateur!AS94*VLOOKUP('Données projet'!$B$9,Paramètres!$A$1:$I$88,3,0)*0.475*44/12</f>
        <v>2.5362722860172755</v>
      </c>
      <c r="AW94" s="23">
        <f>EXP(-LN(2)/2)*AW93+(1-EXP(-LN(2)/2))/(LN(2)/2)*AQ94*AT94*VLOOKUP('Données projet'!$B$9,Paramètres!$A$1:$I$88,3,0)*0.475*44/12</f>
        <v>9.5934722071614355E-9</v>
      </c>
      <c r="AX94" s="23">
        <f t="shared" si="62"/>
        <v>4.1481857036498697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9.8000000000000007</v>
      </c>
      <c r="BD94" s="13">
        <f>IF(A94&lt;'Données projet'!$A$88,$BA$205^A94,IF(A94='Données projet'!$A$88,'Données projet'!$B$88,BD93+BC94-BL93))</f>
        <v>370.79999999999973</v>
      </c>
      <c r="BE94" s="14">
        <f>BD94*VLOOKUP('Données projet'!$B$11,Paramètres!$A$1:$I$88,3,0)*VLOOKUP('Données projet'!$B$11,Paramètres!$A$1:$I$88,5,0)</f>
        <v>323.93087999999977</v>
      </c>
      <c r="BF94" s="14">
        <f t="shared" si="99"/>
        <v>76.17066761213583</v>
      </c>
      <c r="BG94" s="22">
        <f t="shared" si="63"/>
        <v>696.8435287578028</v>
      </c>
      <c r="BH94" s="62">
        <f t="shared" si="64"/>
        <v>990.17686209113617</v>
      </c>
      <c r="BI94" s="62">
        <f ca="1">AVERAGE(OFFSET($BH$3,0,0,'Données projet'!$E$11+1,1))-AVERAGE(OFFSET($H$3,0,0,'Données projet'!$E$11+1,1))</f>
        <v>348.65374983303883</v>
      </c>
      <c r="BJ94" s="62">
        <f t="shared" si="65"/>
        <v>312.05848669315151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-5.6843418860808015E-14</v>
      </c>
      <c r="BZ94" s="14">
        <f>BY94*VLOOKUP('Données projet'!$B$12,Paramètres!$A$1:$I$88,3,0)*VLOOKUP('Données projet'!$B$12,Paramètres!$A$1:$I$88,5,0)</f>
        <v>-4.1677594708744434E-14</v>
      </c>
      <c r="CA94" s="14" t="e">
        <f t="shared" si="100"/>
        <v>#NUM!</v>
      </c>
      <c r="CB94" s="22" t="e">
        <f t="shared" si="67"/>
        <v>#NUM!</v>
      </c>
      <c r="CC94" s="62" t="e">
        <f t="shared" si="68"/>
        <v>#NUM!</v>
      </c>
      <c r="CD94" s="62">
        <f ca="1">AVERAGE(OFFSET($CC$3,0,0,'Données projet'!$E$12+1,1))-AVERAGE(OFFSET($H$3,0,0,'Données projet'!$E$12+1,1))</f>
        <v>264.06656596707364</v>
      </c>
      <c r="CE94" s="62">
        <f t="shared" si="69"/>
        <v>315.34415130230195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5.6843418860808015E-14</v>
      </c>
      <c r="CU94" s="18">
        <f>CT94*VLOOKUP('Données projet'!$B$13,Paramètres!$A$1:$I$88,3,0)*VLOOKUP('Données projet'!$B$13,Paramètres!$A$1:$I$88,5,0)</f>
        <v>3.3992364478763198E-14</v>
      </c>
      <c r="CV94" s="14">
        <f t="shared" si="101"/>
        <v>5.790027782444094E-13</v>
      </c>
      <c r="CW94" s="22">
        <f t="shared" si="71"/>
        <v>1.0676332069095257E-12</v>
      </c>
      <c r="CX94" s="62">
        <f t="shared" si="72"/>
        <v>293.33333333333439</v>
      </c>
      <c r="CY94" s="62">
        <f ca="1">AVERAGE(OFFSET($CX$3,0,0,'Données projet'!$E$13+1,1))-AVERAGE(OFFSET($H$3,0,0,'Données projet'!$E$13+1,1))</f>
        <v>162.29089122912319</v>
      </c>
      <c r="CZ94" s="62">
        <f t="shared" si="73"/>
        <v>253.15422514195427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3.155792389038754</v>
      </c>
      <c r="DG94" s="23">
        <f>EXP(-LN(2)/25)*DG93+(1-EXP(-LN(2)/25))/(LN(2)/25)*Calculateur!DB94*Calculateur!DD94*VLOOKUP('Données projet'!$B$9,Paramètres!$A$1:$I$88,3,0)*0.475*44/12</f>
        <v>0.97819769447118932</v>
      </c>
      <c r="DH94" s="23">
        <f>EXP(-LN(2)/2)*DH93+(1-EXP(-LN(2)/2))/(LN(2)/2)*DB94*DE94*VLOOKUP('Données projet'!$B$9,Paramètres!$A$1:$I$88,3,0)*0.475*44/12</f>
        <v>1.5384267558887151E-9</v>
      </c>
      <c r="DI94" s="24">
        <f t="shared" si="74"/>
        <v>4.1339900850483708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-5.6843418860808015E-14</v>
      </c>
      <c r="DP94" s="18">
        <f>DO94*VLOOKUP('Données projet'!$B$14,Paramètres!$A$1:$I$88,3,0)*VLOOKUP('Données projet'!$B$14,Paramètres!$A$1:$I$88,5,0)</f>
        <v>-4.5224624045658861E-14</v>
      </c>
      <c r="DQ94" s="14" t="e">
        <f t="shared" si="102"/>
        <v>#NUM!</v>
      </c>
      <c r="DR94" s="22" t="e">
        <f t="shared" si="75"/>
        <v>#NUM!</v>
      </c>
      <c r="DS94" s="62" t="e">
        <f t="shared" si="76"/>
        <v>#NUM!</v>
      </c>
      <c r="DT94" s="62">
        <f ca="1">AVERAGE(OFFSET($DS$3,0,0,'Données projet'!$E$14+1,1))-AVERAGE(OFFSET($H$3,0,0,'Données projet'!$E$14+1,1))</f>
        <v>290.20755061064017</v>
      </c>
      <c r="DU94" s="62">
        <f t="shared" si="77"/>
        <v>343.54750327717181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25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9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7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15</v>
      </c>
      <c r="N95" s="14">
        <f>IF(A95&lt;'Données projet'!$A$36,$K$205^A95,IF(A95='Données projet'!$A$36,'Données projet'!$B$36,N94+M95-V94))</f>
        <v>734.99999999999989</v>
      </c>
      <c r="O95" s="14">
        <f>N95*VLOOKUP('Données projet'!$B$9,Paramètres!$A$1:$I$88,3,0)*VLOOKUP('Données projet'!$B$9,Paramètres!$A$1:$I$88,5,0)</f>
        <v>343.97999999999996</v>
      </c>
      <c r="P95" s="14">
        <f t="shared" si="97"/>
        <v>80.321681832084693</v>
      </c>
      <c r="Q95" s="22">
        <f t="shared" si="54"/>
        <v>738.9920958575475</v>
      </c>
      <c r="R95" s="62">
        <f t="shared" si="55"/>
        <v>1032.3254291908809</v>
      </c>
      <c r="S95" s="62">
        <f ca="1">AVERAGE(OFFSET($R$3,0,0,'Données projet'!$E$9+1,1))-AVERAGE(OFFSET($H$3,0,0,'Données projet'!$E$9+1,1))</f>
        <v>300.03481708703549</v>
      </c>
      <c r="T95" s="62">
        <f t="shared" si="56"/>
        <v>102.6350860969182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-2.2737367544323206E-13</v>
      </c>
      <c r="AJ95" s="14">
        <f>AI95*VLOOKUP('Données projet'!$B$10,Paramètres!$A$1:$I$88,3,0)*VLOOKUP('Données projet'!$B$10,Paramètres!$A$1:$I$88,5,0)</f>
        <v>-1.2710188457276673E-13</v>
      </c>
      <c r="AK95" s="14" t="e">
        <f t="shared" si="98"/>
        <v>#NUM!</v>
      </c>
      <c r="AL95" s="22" t="e">
        <f t="shared" si="59"/>
        <v>#NUM!</v>
      </c>
      <c r="AM95" s="62" t="e">
        <f t="shared" si="60"/>
        <v>#NUM!</v>
      </c>
      <c r="AN95" s="62">
        <f ca="1">AVERAGE(OFFSET($AM$3,0,0,'Données projet'!$E$10+1,1))-AVERAGE(OFFSET($H$3,0,0,'Données projet'!$E$10+1,1))</f>
        <v>328.27336939084597</v>
      </c>
      <c r="AO95" s="62">
        <f t="shared" si="61"/>
        <v>448.79354389108755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1.580304769277574</v>
      </c>
      <c r="AV95" s="23">
        <f>EXP(-LN(2)/25)*AV94+(1-EXP(-LN(2)/25))/(LN(2)/25)*Calculateur!AQ95*Calculateur!AS95*VLOOKUP('Données projet'!$B$9,Paramètres!$A$1:$I$88,3,0)*0.475*44/12</f>
        <v>2.4669177869793701</v>
      </c>
      <c r="AW95" s="23">
        <f>EXP(-LN(2)/2)*AW94+(1-EXP(-LN(2)/2))/(LN(2)/2)*AQ95*AT95*VLOOKUP('Données projet'!$B$9,Paramètres!$A$1:$I$88,3,0)*0.475*44/12</f>
        <v>6.7836092528085264E-9</v>
      </c>
      <c r="AX95" s="23">
        <f t="shared" si="62"/>
        <v>4.0472225630405534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9.8000000000000007</v>
      </c>
      <c r="BD95" s="13">
        <f>IF(A95&lt;'Données projet'!$A$88,$BA$205^A95,IF(A95='Données projet'!$A$88,'Données projet'!$B$88,BD94+BC95-BL94))</f>
        <v>380.59999999999974</v>
      </c>
      <c r="BE95" s="14">
        <f>BD95*VLOOKUP('Données projet'!$B$11,Paramètres!$A$1:$I$88,3,0)*VLOOKUP('Données projet'!$B$11,Paramètres!$A$1:$I$88,5,0)</f>
        <v>332.49215999999984</v>
      </c>
      <c r="BF95" s="14">
        <f t="shared" si="99"/>
        <v>77.946769060775495</v>
      </c>
      <c r="BG95" s="22">
        <f t="shared" si="63"/>
        <v>714.8478014475171</v>
      </c>
      <c r="BH95" s="62">
        <f t="shared" si="64"/>
        <v>1008.1811347808505</v>
      </c>
      <c r="BI95" s="62">
        <f ca="1">AVERAGE(OFFSET($BH$3,0,0,'Données projet'!$E$11+1,1))-AVERAGE(OFFSET($H$3,0,0,'Données projet'!$E$11+1,1))</f>
        <v>348.65374983303883</v>
      </c>
      <c r="BJ95" s="62">
        <f t="shared" si="65"/>
        <v>312.05848669315151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-5.6843418860808015E-14</v>
      </c>
      <c r="BZ95" s="14">
        <f>BY95*VLOOKUP('Données projet'!$B$12,Paramètres!$A$1:$I$88,3,0)*VLOOKUP('Données projet'!$B$12,Paramètres!$A$1:$I$88,5,0)</f>
        <v>-4.1677594708744434E-14</v>
      </c>
      <c r="CA95" s="14" t="e">
        <f t="shared" si="100"/>
        <v>#NUM!</v>
      </c>
      <c r="CB95" s="22" t="e">
        <f t="shared" si="67"/>
        <v>#NUM!</v>
      </c>
      <c r="CC95" s="62" t="e">
        <f t="shared" si="68"/>
        <v>#NUM!</v>
      </c>
      <c r="CD95" s="62">
        <f ca="1">AVERAGE(OFFSET($CC$3,0,0,'Données projet'!$E$12+1,1))-AVERAGE(OFFSET($H$3,0,0,'Données projet'!$E$12+1,1))</f>
        <v>264.06656596707364</v>
      </c>
      <c r="CE95" s="62">
        <f t="shared" si="69"/>
        <v>315.34415130230195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5.6843418860808015E-14</v>
      </c>
      <c r="CU95" s="18">
        <f>CT95*VLOOKUP('Données projet'!$B$13,Paramètres!$A$1:$I$88,3,0)*VLOOKUP('Données projet'!$B$13,Paramètres!$A$1:$I$88,5,0)</f>
        <v>3.3992364478763198E-14</v>
      </c>
      <c r="CV95" s="14">
        <f t="shared" si="101"/>
        <v>5.790027782444094E-13</v>
      </c>
      <c r="CW95" s="22">
        <f t="shared" si="71"/>
        <v>1.0676332069095257E-12</v>
      </c>
      <c r="CX95" s="62">
        <f t="shared" si="72"/>
        <v>293.33333333333439</v>
      </c>
      <c r="CY95" s="62">
        <f ca="1">AVERAGE(OFFSET($CX$3,0,0,'Données projet'!$E$13+1,1))-AVERAGE(OFFSET($H$3,0,0,'Données projet'!$E$13+1,1))</f>
        <v>162.29089122912319</v>
      </c>
      <c r="CZ95" s="62">
        <f t="shared" si="73"/>
        <v>253.15422514195427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3.0939092251329989</v>
      </c>
      <c r="DG95" s="23">
        <f>EXP(-LN(2)/25)*DG94+(1-EXP(-LN(2)/25))/(LN(2)/25)*Calculateur!DB95*Calculateur!DD95*VLOOKUP('Données projet'!$B$9,Paramètres!$A$1:$I$88,3,0)*0.475*44/12</f>
        <v>0.95144882707469358</v>
      </c>
      <c r="DH95" s="23">
        <f>EXP(-LN(2)/2)*DH94+(1-EXP(-LN(2)/2))/(LN(2)/2)*DB95*DE95*VLOOKUP('Données projet'!$B$9,Paramètres!$A$1:$I$88,3,0)*0.475*44/12</f>
        <v>1.0878319914477318E-9</v>
      </c>
      <c r="DI95" s="24">
        <f t="shared" si="74"/>
        <v>4.0453580532955247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-5.6843418860808015E-14</v>
      </c>
      <c r="DP95" s="18">
        <f>DO95*VLOOKUP('Données projet'!$B$14,Paramètres!$A$1:$I$88,3,0)*VLOOKUP('Données projet'!$B$14,Paramètres!$A$1:$I$88,5,0)</f>
        <v>-4.5224624045658861E-14</v>
      </c>
      <c r="DQ95" s="14" t="e">
        <f t="shared" si="102"/>
        <v>#NUM!</v>
      </c>
      <c r="DR95" s="22" t="e">
        <f t="shared" si="75"/>
        <v>#NUM!</v>
      </c>
      <c r="DS95" s="62" t="e">
        <f t="shared" si="76"/>
        <v>#NUM!</v>
      </c>
      <c r="DT95" s="62">
        <f ca="1">AVERAGE(OFFSET($DS$3,0,0,'Données projet'!$E$14+1,1))-AVERAGE(OFFSET($H$3,0,0,'Données projet'!$E$14+1,1))</f>
        <v>290.20755061064017</v>
      </c>
      <c r="DU95" s="62">
        <f t="shared" si="77"/>
        <v>343.54750327717181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25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9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7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15</v>
      </c>
      <c r="N96" s="14">
        <f>IF(A96&lt;'Données projet'!$A$36,$K$205^A96,IF(A96='Données projet'!$A$36,'Données projet'!$B$36,N95+M96-V95))</f>
        <v>749.99999999999989</v>
      </c>
      <c r="O96" s="14">
        <f>N96*VLOOKUP('Données projet'!$B$9,Paramètres!$A$1:$I$88,3,0)*VLOOKUP('Données projet'!$B$9,Paramètres!$A$1:$I$88,5,0)</f>
        <v>350.99999999999994</v>
      </c>
      <c r="P96" s="14">
        <f t="shared" si="97"/>
        <v>81.768387419963787</v>
      </c>
      <c r="Q96" s="22">
        <f t="shared" si="54"/>
        <v>753.73827475643691</v>
      </c>
      <c r="R96" s="62">
        <f t="shared" si="55"/>
        <v>1047.0716080897703</v>
      </c>
      <c r="S96" s="62">
        <f ca="1">AVERAGE(OFFSET($R$3,0,0,'Données projet'!$E$9+1,1))-AVERAGE(OFFSET($H$3,0,0,'Données projet'!$E$9+1,1))</f>
        <v>300.03481708703549</v>
      </c>
      <c r="T96" s="62">
        <f t="shared" si="56"/>
        <v>102.6350860969182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-2.2737367544323206E-13</v>
      </c>
      <c r="AJ96" s="14">
        <f>AI96*VLOOKUP('Données projet'!$B$10,Paramètres!$A$1:$I$88,3,0)*VLOOKUP('Données projet'!$B$10,Paramètres!$A$1:$I$88,5,0)</f>
        <v>-1.2710188457276673E-13</v>
      </c>
      <c r="AK96" s="14" t="e">
        <f t="shared" si="98"/>
        <v>#NUM!</v>
      </c>
      <c r="AL96" s="22" t="e">
        <f t="shared" si="59"/>
        <v>#NUM!</v>
      </c>
      <c r="AM96" s="62" t="e">
        <f t="shared" si="60"/>
        <v>#NUM!</v>
      </c>
      <c r="AN96" s="62">
        <f ca="1">AVERAGE(OFFSET($AM$3,0,0,'Données projet'!$E$10+1,1))-AVERAGE(OFFSET($H$3,0,0,'Données projet'!$E$10+1,1))</f>
        <v>328.27336939084597</v>
      </c>
      <c r="AO96" s="62">
        <f t="shared" si="61"/>
        <v>448.79354389108755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1.5493159566427737</v>
      </c>
      <c r="AV96" s="23">
        <f>EXP(-LN(2)/25)*AV95+(1-EXP(-LN(2)/25))/(LN(2)/25)*Calculateur!AQ96*Calculateur!AS96*VLOOKUP('Données projet'!$B$9,Paramètres!$A$1:$I$88,3,0)*0.475*44/12</f>
        <v>2.3994597903648511</v>
      </c>
      <c r="AW96" s="23">
        <f>EXP(-LN(2)/2)*AW95+(1-EXP(-LN(2)/2))/(LN(2)/2)*AQ96*AT96*VLOOKUP('Données projet'!$B$9,Paramètres!$A$1:$I$88,3,0)*0.475*44/12</f>
        <v>4.7967361035807178E-9</v>
      </c>
      <c r="AX96" s="23">
        <f t="shared" si="62"/>
        <v>3.9487757518043609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9.8000000000000007</v>
      </c>
      <c r="BD96" s="13">
        <f>IF(A96&lt;'Données projet'!$A$88,$BA$205^A96,IF(A96='Données projet'!$A$88,'Données projet'!$B$88,BD95+BC96-BL95))</f>
        <v>390.39999999999975</v>
      </c>
      <c r="BE96" s="14">
        <f>BD96*VLOOKUP('Données projet'!$B$11,Paramètres!$A$1:$I$88,3,0)*VLOOKUP('Données projet'!$B$11,Paramètres!$A$1:$I$88,5,0)</f>
        <v>341.05343999999985</v>
      </c>
      <c r="BF96" s="14">
        <f t="shared" si="99"/>
        <v>79.717554593592723</v>
      </c>
      <c r="BG96" s="22">
        <f t="shared" si="63"/>
        <v>732.84281558384043</v>
      </c>
      <c r="BH96" s="62">
        <f t="shared" si="64"/>
        <v>1026.1761489171738</v>
      </c>
      <c r="BI96" s="62">
        <f ca="1">AVERAGE(OFFSET($BH$3,0,0,'Données projet'!$E$11+1,1))-AVERAGE(OFFSET($H$3,0,0,'Données projet'!$E$11+1,1))</f>
        <v>348.65374983303883</v>
      </c>
      <c r="BJ96" s="62">
        <f t="shared" si="65"/>
        <v>312.05848669315151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-5.6843418860808015E-14</v>
      </c>
      <c r="BZ96" s="14">
        <f>BY96*VLOOKUP('Données projet'!$B$12,Paramètres!$A$1:$I$88,3,0)*VLOOKUP('Données projet'!$B$12,Paramètres!$A$1:$I$88,5,0)</f>
        <v>-4.1677594708744434E-14</v>
      </c>
      <c r="CA96" s="14" t="e">
        <f t="shared" si="100"/>
        <v>#NUM!</v>
      </c>
      <c r="CB96" s="22" t="e">
        <f t="shared" si="67"/>
        <v>#NUM!</v>
      </c>
      <c r="CC96" s="62" t="e">
        <f t="shared" si="68"/>
        <v>#NUM!</v>
      </c>
      <c r="CD96" s="62">
        <f ca="1">AVERAGE(OFFSET($CC$3,0,0,'Données projet'!$E$12+1,1))-AVERAGE(OFFSET($H$3,0,0,'Données projet'!$E$12+1,1))</f>
        <v>264.06656596707364</v>
      </c>
      <c r="CE96" s="62">
        <f t="shared" si="69"/>
        <v>315.34415130230195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5.6843418860808015E-14</v>
      </c>
      <c r="CU96" s="18">
        <f>CT96*VLOOKUP('Données projet'!$B$13,Paramètres!$A$1:$I$88,3,0)*VLOOKUP('Données projet'!$B$13,Paramètres!$A$1:$I$88,5,0)</f>
        <v>3.3992364478763198E-14</v>
      </c>
      <c r="CV96" s="14">
        <f t="shared" si="101"/>
        <v>5.790027782444094E-13</v>
      </c>
      <c r="CW96" s="22">
        <f t="shared" si="71"/>
        <v>1.0676332069095257E-12</v>
      </c>
      <c r="CX96" s="62">
        <f t="shared" si="72"/>
        <v>293.33333333333439</v>
      </c>
      <c r="CY96" s="62">
        <f ca="1">AVERAGE(OFFSET($CX$3,0,0,'Données projet'!$E$13+1,1))-AVERAGE(OFFSET($H$3,0,0,'Données projet'!$E$13+1,1))</f>
        <v>162.29089122912319</v>
      </c>
      <c r="CZ96" s="62">
        <f t="shared" si="73"/>
        <v>253.15422514195427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3.0332395523264326</v>
      </c>
      <c r="DG96" s="23">
        <f>EXP(-LN(2)/25)*DG95+(1-EXP(-LN(2)/25))/(LN(2)/25)*Calculateur!DB96*Calculateur!DD96*VLOOKUP('Données projet'!$B$9,Paramètres!$A$1:$I$88,3,0)*0.475*44/12</f>
        <v>0.92543140886381681</v>
      </c>
      <c r="DH96" s="23">
        <f>EXP(-LN(2)/2)*DH95+(1-EXP(-LN(2)/2))/(LN(2)/2)*DB96*DE96*VLOOKUP('Données projet'!$B$9,Paramètres!$A$1:$I$88,3,0)*0.475*44/12</f>
        <v>7.6921337794435757E-10</v>
      </c>
      <c r="DI96" s="24">
        <f t="shared" si="74"/>
        <v>3.9586709619594629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-5.6843418860808015E-14</v>
      </c>
      <c r="DP96" s="18">
        <f>DO96*VLOOKUP('Données projet'!$B$14,Paramètres!$A$1:$I$88,3,0)*VLOOKUP('Données projet'!$B$14,Paramètres!$A$1:$I$88,5,0)</f>
        <v>-4.5224624045658861E-14</v>
      </c>
      <c r="DQ96" s="14" t="e">
        <f t="shared" si="102"/>
        <v>#NUM!</v>
      </c>
      <c r="DR96" s="22" t="e">
        <f t="shared" si="75"/>
        <v>#NUM!</v>
      </c>
      <c r="DS96" s="62" t="e">
        <f t="shared" si="76"/>
        <v>#NUM!</v>
      </c>
      <c r="DT96" s="62">
        <f ca="1">AVERAGE(OFFSET($DS$3,0,0,'Données projet'!$E$14+1,1))-AVERAGE(OFFSET($H$3,0,0,'Données projet'!$E$14+1,1))</f>
        <v>290.20755061064017</v>
      </c>
      <c r="DU96" s="62">
        <f t="shared" si="77"/>
        <v>343.54750327717181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25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9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7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15</v>
      </c>
      <c r="N97" s="14">
        <f>IF(A97&lt;'Données projet'!$A$36,$K$205^A97,IF(A97='Données projet'!$A$36,'Données projet'!$B$36,N96+M97-V96))</f>
        <v>764.99999999999989</v>
      </c>
      <c r="O97" s="14">
        <f>N97*VLOOKUP('Données projet'!$B$9,Paramètres!$A$1:$I$88,3,0)*VLOOKUP('Données projet'!$B$9,Paramètres!$A$1:$I$88,5,0)</f>
        <v>358.02</v>
      </c>
      <c r="P97" s="14">
        <f t="shared" si="97"/>
        <v>83.211728757381735</v>
      </c>
      <c r="Q97" s="22">
        <f t="shared" si="54"/>
        <v>768.47859425243985</v>
      </c>
      <c r="R97" s="62">
        <f t="shared" si="55"/>
        <v>1061.8119275857732</v>
      </c>
      <c r="S97" s="62">
        <f ca="1">AVERAGE(OFFSET($R$3,0,0,'Données projet'!$E$9+1,1))-AVERAGE(OFFSET($H$3,0,0,'Données projet'!$E$9+1,1))</f>
        <v>300.03481708703549</v>
      </c>
      <c r="T97" s="62">
        <f t="shared" si="56"/>
        <v>102.6350860969182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-2.2737367544323206E-13</v>
      </c>
      <c r="AJ97" s="14">
        <f>AI97*VLOOKUP('Données projet'!$B$10,Paramètres!$A$1:$I$88,3,0)*VLOOKUP('Données projet'!$B$10,Paramètres!$A$1:$I$88,5,0)</f>
        <v>-1.2710188457276673E-13</v>
      </c>
      <c r="AK97" s="14" t="e">
        <f t="shared" si="98"/>
        <v>#NUM!</v>
      </c>
      <c r="AL97" s="22" t="e">
        <f t="shared" si="59"/>
        <v>#NUM!</v>
      </c>
      <c r="AM97" s="62" t="e">
        <f t="shared" si="60"/>
        <v>#NUM!</v>
      </c>
      <c r="AN97" s="62">
        <f ca="1">AVERAGE(OFFSET($AM$3,0,0,'Données projet'!$E$10+1,1))-AVERAGE(OFFSET($H$3,0,0,'Données projet'!$E$10+1,1))</f>
        <v>328.27336939084597</v>
      </c>
      <c r="AO97" s="62">
        <f t="shared" si="61"/>
        <v>448.79354389108755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1.5189348157224325</v>
      </c>
      <c r="AV97" s="23">
        <f>EXP(-LN(2)/25)*AV96+(1-EXP(-LN(2)/25))/(LN(2)/25)*Calculateur!AQ97*Calculateur!AS97*VLOOKUP('Données projet'!$B$9,Paramètres!$A$1:$I$88,3,0)*0.475*44/12</f>
        <v>2.333846436215218</v>
      </c>
      <c r="AW97" s="23">
        <f>EXP(-LN(2)/2)*AW96+(1-EXP(-LN(2)/2))/(LN(2)/2)*AQ97*AT97*VLOOKUP('Données projet'!$B$9,Paramètres!$A$1:$I$88,3,0)*0.475*44/12</f>
        <v>3.3918046264042632E-9</v>
      </c>
      <c r="AX97" s="23">
        <f t="shared" si="62"/>
        <v>3.8527812553294551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9.8000000000000007</v>
      </c>
      <c r="BD97" s="13">
        <f>IF(A97&lt;'Données projet'!$A$88,$BA$205^A97,IF(A97='Données projet'!$A$88,'Données projet'!$B$88,BD96+BC97-BL96))</f>
        <v>400.19999999999976</v>
      </c>
      <c r="BE97" s="14">
        <f>BD97*VLOOKUP('Données projet'!$B$11,Paramètres!$A$1:$I$88,3,0)*VLOOKUP('Données projet'!$B$11,Paramètres!$A$1:$I$88,5,0)</f>
        <v>349.61471999999981</v>
      </c>
      <c r="BF97" s="14">
        <f t="shared" si="99"/>
        <v>81.483173000038505</v>
      </c>
      <c r="BG97" s="22">
        <f t="shared" si="63"/>
        <v>750.82883030840003</v>
      </c>
      <c r="BH97" s="62">
        <f t="shared" si="64"/>
        <v>1044.1621636417333</v>
      </c>
      <c r="BI97" s="62">
        <f ca="1">AVERAGE(OFFSET($BH$3,0,0,'Données projet'!$E$11+1,1))-AVERAGE(OFFSET($H$3,0,0,'Données projet'!$E$11+1,1))</f>
        <v>348.65374983303883</v>
      </c>
      <c r="BJ97" s="62">
        <f t="shared" si="65"/>
        <v>312.05848669315151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-5.6843418860808015E-14</v>
      </c>
      <c r="BZ97" s="14">
        <f>BY97*VLOOKUP('Données projet'!$B$12,Paramètres!$A$1:$I$88,3,0)*VLOOKUP('Données projet'!$B$12,Paramètres!$A$1:$I$88,5,0)</f>
        <v>-4.1677594708744434E-14</v>
      </c>
      <c r="CA97" s="14" t="e">
        <f t="shared" si="100"/>
        <v>#NUM!</v>
      </c>
      <c r="CB97" s="22" t="e">
        <f t="shared" si="67"/>
        <v>#NUM!</v>
      </c>
      <c r="CC97" s="62" t="e">
        <f t="shared" si="68"/>
        <v>#NUM!</v>
      </c>
      <c r="CD97" s="62">
        <f ca="1">AVERAGE(OFFSET($CC$3,0,0,'Données projet'!$E$12+1,1))-AVERAGE(OFFSET($H$3,0,0,'Données projet'!$E$12+1,1))</f>
        <v>264.06656596707364</v>
      </c>
      <c r="CE97" s="62">
        <f t="shared" si="69"/>
        <v>315.34415130230195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5.6843418860808015E-14</v>
      </c>
      <c r="CU97" s="18">
        <f>CT97*VLOOKUP('Données projet'!$B$13,Paramètres!$A$1:$I$88,3,0)*VLOOKUP('Données projet'!$B$13,Paramètres!$A$1:$I$88,5,0)</f>
        <v>3.3992364478763198E-14</v>
      </c>
      <c r="CV97" s="14">
        <f t="shared" si="101"/>
        <v>5.790027782444094E-13</v>
      </c>
      <c r="CW97" s="22">
        <f t="shared" si="71"/>
        <v>1.0676332069095257E-12</v>
      </c>
      <c r="CX97" s="62">
        <f t="shared" si="72"/>
        <v>293.33333333333439</v>
      </c>
      <c r="CY97" s="62">
        <f ca="1">AVERAGE(OFFSET($CX$3,0,0,'Données projet'!$E$13+1,1))-AVERAGE(OFFSET($H$3,0,0,'Données projet'!$E$13+1,1))</f>
        <v>162.29089122912319</v>
      </c>
      <c r="CZ97" s="62">
        <f t="shared" si="73"/>
        <v>253.15422514195427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2.9737595747987564</v>
      </c>
      <c r="DG97" s="23">
        <f>EXP(-LN(2)/25)*DG96+(1-EXP(-LN(2)/25))/(LN(2)/25)*Calculateur!DB97*Calculateur!DD97*VLOOKUP('Données projet'!$B$9,Paramètres!$A$1:$I$88,3,0)*0.475*44/12</f>
        <v>0.900125438322113</v>
      </c>
      <c r="DH97" s="23">
        <f>EXP(-LN(2)/2)*DH96+(1-EXP(-LN(2)/2))/(LN(2)/2)*DB97*DE97*VLOOKUP('Données projet'!$B$9,Paramètres!$A$1:$I$88,3,0)*0.475*44/12</f>
        <v>5.4391599572386592E-10</v>
      </c>
      <c r="DI97" s="24">
        <f t="shared" si="74"/>
        <v>3.8738850136647853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-5.6843418860808015E-14</v>
      </c>
      <c r="DP97" s="18">
        <f>DO97*VLOOKUP('Données projet'!$B$14,Paramètres!$A$1:$I$88,3,0)*VLOOKUP('Données projet'!$B$14,Paramètres!$A$1:$I$88,5,0)</f>
        <v>-4.5224624045658861E-14</v>
      </c>
      <c r="DQ97" s="14" t="e">
        <f t="shared" si="102"/>
        <v>#NUM!</v>
      </c>
      <c r="DR97" s="22" t="e">
        <f t="shared" si="75"/>
        <v>#NUM!</v>
      </c>
      <c r="DS97" s="62" t="e">
        <f t="shared" si="76"/>
        <v>#NUM!</v>
      </c>
      <c r="DT97" s="62">
        <f ca="1">AVERAGE(OFFSET($DS$3,0,0,'Données projet'!$E$14+1,1))-AVERAGE(OFFSET($H$3,0,0,'Données projet'!$E$14+1,1))</f>
        <v>290.20755061064017</v>
      </c>
      <c r="DU97" s="62">
        <f t="shared" si="77"/>
        <v>343.54750327717181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25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9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7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15</v>
      </c>
      <c r="N98" s="14">
        <f>IF(A98&lt;'Données projet'!$A$36,$K$205^A98,IF(A98='Données projet'!$A$36,'Données projet'!$B$36,N97+M98-V97))</f>
        <v>779.99999999999989</v>
      </c>
      <c r="O98" s="14">
        <f>N98*VLOOKUP('Données projet'!$B$9,Paramètres!$A$1:$I$88,3,0)*VLOOKUP('Données projet'!$B$9,Paramètres!$A$1:$I$88,5,0)</f>
        <v>365.03999999999996</v>
      </c>
      <c r="P98" s="14">
        <f t="shared" si="97"/>
        <v>84.651779413976413</v>
      </c>
      <c r="Q98" s="22">
        <f t="shared" si="54"/>
        <v>783.21318247934221</v>
      </c>
      <c r="R98" s="62">
        <f t="shared" si="55"/>
        <v>1076.5465158126756</v>
      </c>
      <c r="S98" s="62">
        <f ca="1">AVERAGE(OFFSET($R$3,0,0,'Données projet'!$E$9+1,1))-AVERAGE(OFFSET($H$3,0,0,'Données projet'!$E$9+1,1))</f>
        <v>300.03481708703549</v>
      </c>
      <c r="T98" s="62">
        <f t="shared" si="56"/>
        <v>102.6350860969182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-2.2737367544323206E-13</v>
      </c>
      <c r="AJ98" s="14">
        <f>AI98*VLOOKUP('Données projet'!$B$10,Paramètres!$A$1:$I$88,3,0)*VLOOKUP('Données projet'!$B$10,Paramètres!$A$1:$I$88,5,0)</f>
        <v>-1.2710188457276673E-13</v>
      </c>
      <c r="AK98" s="14" t="e">
        <f t="shared" si="98"/>
        <v>#NUM!</v>
      </c>
      <c r="AL98" s="22" t="e">
        <f t="shared" si="59"/>
        <v>#NUM!</v>
      </c>
      <c r="AM98" s="62" t="e">
        <f t="shared" si="60"/>
        <v>#NUM!</v>
      </c>
      <c r="AN98" s="62">
        <f ca="1">AVERAGE(OFFSET($AM$3,0,0,'Données projet'!$E$10+1,1))-AVERAGE(OFFSET($H$3,0,0,'Données projet'!$E$10+1,1))</f>
        <v>328.27336939084597</v>
      </c>
      <c r="AO98" s="62">
        <f t="shared" si="61"/>
        <v>448.79354389108755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1.4891494304448729</v>
      </c>
      <c r="AV98" s="23">
        <f>EXP(-LN(2)/25)*AV97+(1-EXP(-LN(2)/25))/(LN(2)/25)*Calculateur!AQ98*Calculateur!AS98*VLOOKUP('Données projet'!$B$9,Paramètres!$A$1:$I$88,3,0)*0.475*44/12</f>
        <v>2.270027282685263</v>
      </c>
      <c r="AW98" s="23">
        <f>EXP(-LN(2)/2)*AW97+(1-EXP(-LN(2)/2))/(LN(2)/2)*AQ98*AT98*VLOOKUP('Données projet'!$B$9,Paramètres!$A$1:$I$88,3,0)*0.475*44/12</f>
        <v>2.3983680517903589E-9</v>
      </c>
      <c r="AX98" s="23">
        <f t="shared" si="62"/>
        <v>3.7591767155285041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410</v>
      </c>
      <c r="BB98" s="13">
        <f>VLOOKUP(A98,'Données projet'!$A$87:$I$107,9,0)</f>
        <v>9.8000000000000007</v>
      </c>
      <c r="BC98" s="13">
        <f t="array" ref="BC98">INDEX(BB:BB,MIN(IF(ISNUMBER(BB98:BB294),ROW(BB98:BB294),"")))</f>
        <v>9.8000000000000007</v>
      </c>
      <c r="BD98" s="13">
        <f>IF(A98&lt;'Données projet'!$A$88,$BA$205^A98,IF(A98='Données projet'!$A$88,'Données projet'!$B$88,BD97+BC98-BL97))</f>
        <v>409.99999999999977</v>
      </c>
      <c r="BE98" s="14">
        <f>BD98*VLOOKUP('Données projet'!$B$11,Paramètres!$A$1:$I$88,3,0)*VLOOKUP('Données projet'!$B$11,Paramètres!$A$1:$I$88,5,0)</f>
        <v>358.17599999999982</v>
      </c>
      <c r="BF98" s="14">
        <f t="shared" si="99"/>
        <v>83.243765367078566</v>
      </c>
      <c r="BG98" s="22">
        <f t="shared" si="63"/>
        <v>768.80609134766155</v>
      </c>
      <c r="BH98" s="62">
        <f t="shared" si="64"/>
        <v>1062.1394246809948</v>
      </c>
      <c r="BI98" s="62">
        <f ca="1">AVERAGE(OFFSET($BH$3,0,0,'Données projet'!$E$11+1,1))-AVERAGE(OFFSET($H$3,0,0,'Données projet'!$E$11+1,1))</f>
        <v>348.65374983303883</v>
      </c>
      <c r="BJ98" s="62">
        <f t="shared" si="65"/>
        <v>312.05848669315151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-5.6843418860808015E-14</v>
      </c>
      <c r="BZ98" s="14">
        <f>BY98*VLOOKUP('Données projet'!$B$12,Paramètres!$A$1:$I$88,3,0)*VLOOKUP('Données projet'!$B$12,Paramètres!$A$1:$I$88,5,0)</f>
        <v>-4.1677594708744434E-14</v>
      </c>
      <c r="CA98" s="14" t="e">
        <f t="shared" si="100"/>
        <v>#NUM!</v>
      </c>
      <c r="CB98" s="22" t="e">
        <f t="shared" si="67"/>
        <v>#NUM!</v>
      </c>
      <c r="CC98" s="62" t="e">
        <f t="shared" si="68"/>
        <v>#NUM!</v>
      </c>
      <c r="CD98" s="62">
        <f ca="1">AVERAGE(OFFSET($CC$3,0,0,'Données projet'!$E$12+1,1))-AVERAGE(OFFSET($H$3,0,0,'Données projet'!$E$12+1,1))</f>
        <v>264.06656596707364</v>
      </c>
      <c r="CE98" s="62">
        <f t="shared" si="69"/>
        <v>315.34415130230195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5.6843418860808015E-14</v>
      </c>
      <c r="CU98" s="18">
        <f>CT98*VLOOKUP('Données projet'!$B$13,Paramètres!$A$1:$I$88,3,0)*VLOOKUP('Données projet'!$B$13,Paramètres!$A$1:$I$88,5,0)</f>
        <v>3.3992364478763198E-14</v>
      </c>
      <c r="CV98" s="14">
        <f t="shared" si="101"/>
        <v>5.790027782444094E-13</v>
      </c>
      <c r="CW98" s="22">
        <f t="shared" si="71"/>
        <v>1.0676332069095257E-12</v>
      </c>
      <c r="CX98" s="62">
        <f t="shared" si="72"/>
        <v>293.33333333333439</v>
      </c>
      <c r="CY98" s="62">
        <f ca="1">AVERAGE(OFFSET($CX$3,0,0,'Données projet'!$E$13+1,1))-AVERAGE(OFFSET($H$3,0,0,'Données projet'!$E$13+1,1))</f>
        <v>162.29089122912319</v>
      </c>
      <c r="CZ98" s="62">
        <f t="shared" si="73"/>
        <v>253.15422514195427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2.915445963351194</v>
      </c>
      <c r="DG98" s="23">
        <f>EXP(-LN(2)/25)*DG97+(1-EXP(-LN(2)/25))/(LN(2)/25)*Calculateur!DB98*Calculateur!DD98*VLOOKUP('Données projet'!$B$9,Paramètres!$A$1:$I$88,3,0)*0.475*44/12</f>
        <v>0.87551146087565523</v>
      </c>
      <c r="DH98" s="23">
        <f>EXP(-LN(2)/2)*DH97+(1-EXP(-LN(2)/2))/(LN(2)/2)*DB98*DE98*VLOOKUP('Données projet'!$B$9,Paramètres!$A$1:$I$88,3,0)*0.475*44/12</f>
        <v>3.8460668897217879E-10</v>
      </c>
      <c r="DI98" s="24">
        <f t="shared" si="74"/>
        <v>3.7909574246114559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-5.6843418860808015E-14</v>
      </c>
      <c r="DP98" s="18">
        <f>DO98*VLOOKUP('Données projet'!$B$14,Paramètres!$A$1:$I$88,3,0)*VLOOKUP('Données projet'!$B$14,Paramètres!$A$1:$I$88,5,0)</f>
        <v>-4.5224624045658861E-14</v>
      </c>
      <c r="DQ98" s="14" t="e">
        <f t="shared" si="102"/>
        <v>#NUM!</v>
      </c>
      <c r="DR98" s="22" t="e">
        <f t="shared" si="75"/>
        <v>#NUM!</v>
      </c>
      <c r="DS98" s="62" t="e">
        <f t="shared" si="76"/>
        <v>#NUM!</v>
      </c>
      <c r="DT98" s="62">
        <f ca="1">AVERAGE(OFFSET($DS$3,0,0,'Données projet'!$E$14+1,1))-AVERAGE(OFFSET($H$3,0,0,'Données projet'!$E$14+1,1))</f>
        <v>290.20755061064017</v>
      </c>
      <c r="DU98" s="62">
        <f t="shared" si="77"/>
        <v>343.54750327717181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25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9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7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15</v>
      </c>
      <c r="N99" s="14">
        <f>IF(A99&lt;'Données projet'!$A$36,$K$205^A99,IF(A99='Données projet'!$A$36,'Données projet'!$B$36,N98+M99-V98))</f>
        <v>794.99999999999989</v>
      </c>
      <c r="O99" s="14">
        <f>N99*VLOOKUP('Données projet'!$B$9,Paramètres!$A$1:$I$88,3,0)*VLOOKUP('Données projet'!$B$9,Paramètres!$A$1:$I$88,5,0)</f>
        <v>372.05999999999995</v>
      </c>
      <c r="P99" s="14">
        <f t="shared" si="97"/>
        <v>86.08860996789744</v>
      </c>
      <c r="Q99" s="22">
        <f t="shared" ref="Q99:Q130" si="107">(O99+P99)*0.475*44/12</f>
        <v>797.94216236075465</v>
      </c>
      <c r="R99" s="62">
        <f t="shared" si="55"/>
        <v>1091.275495694088</v>
      </c>
      <c r="S99" s="62">
        <f ca="1">AVERAGE(OFFSET($R$3,0,0,'Données projet'!$E$9+1,1))-AVERAGE(OFFSET($H$3,0,0,'Données projet'!$E$9+1,1))</f>
        <v>300.03481708703549</v>
      </c>
      <c r="T99" s="62">
        <f t="shared" si="56"/>
        <v>102.6350860969182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-2.2737367544323206E-13</v>
      </c>
      <c r="AJ99" s="14">
        <f>AI99*VLOOKUP('Données projet'!$B$10,Paramètres!$A$1:$I$88,3,0)*VLOOKUP('Données projet'!$B$10,Paramètres!$A$1:$I$88,5,0)</f>
        <v>-1.2710188457276673E-13</v>
      </c>
      <c r="AK99" s="14" t="e">
        <f t="shared" si="98"/>
        <v>#NUM!</v>
      </c>
      <c r="AL99" s="22" t="e">
        <f t="shared" si="59"/>
        <v>#NUM!</v>
      </c>
      <c r="AM99" s="62" t="e">
        <f t="shared" si="60"/>
        <v>#NUM!</v>
      </c>
      <c r="AN99" s="62">
        <f ca="1">AVERAGE(OFFSET($AM$3,0,0,'Données projet'!$E$10+1,1))-AVERAGE(OFFSET($H$3,0,0,'Données projet'!$E$10+1,1))</f>
        <v>328.27336939084597</v>
      </c>
      <c r="AO99" s="62">
        <f t="shared" si="61"/>
        <v>448.79354389108755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1.4599481184053151</v>
      </c>
      <c r="AV99" s="23">
        <f>EXP(-LN(2)/25)*AV98+(1-EXP(-LN(2)/25))/(LN(2)/25)*Calculateur!AQ99*Calculateur!AS99*VLOOKUP('Données projet'!$B$9,Paramètres!$A$1:$I$88,3,0)*0.475*44/12</f>
        <v>2.207953267264688</v>
      </c>
      <c r="AW99" s="23">
        <f>EXP(-LN(2)/2)*AW98+(1-EXP(-LN(2)/2))/(LN(2)/2)*AQ99*AT99*VLOOKUP('Données projet'!$B$9,Paramètres!$A$1:$I$88,3,0)*0.475*44/12</f>
        <v>1.6959023132021316E-9</v>
      </c>
      <c r="AX99" s="23">
        <f t="shared" si="62"/>
        <v>3.6679013873659057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10</v>
      </c>
      <c r="BD99" s="13">
        <f>IF(A99&lt;'Données projet'!$A$88,$BA$205^A99,IF(A99='Données projet'!$A$88,'Données projet'!$B$88,BD98+BC99-BL98))</f>
        <v>419.99999999999977</v>
      </c>
      <c r="BE99" s="14">
        <f>BD99*VLOOKUP('Données projet'!$B$11,Paramètres!$A$1:$I$88,3,0)*VLOOKUP('Données projet'!$B$11,Paramètres!$A$1:$I$88,5,0)</f>
        <v>366.91199999999986</v>
      </c>
      <c r="BF99" s="14">
        <f t="shared" si="99"/>
        <v>85.035246236330153</v>
      </c>
      <c r="BG99" s="22">
        <f t="shared" si="63"/>
        <v>787.14145386160806</v>
      </c>
      <c r="BH99" s="62">
        <f t="shared" si="64"/>
        <v>1080.4747871949414</v>
      </c>
      <c r="BI99" s="62">
        <f ca="1">AVERAGE(OFFSET($BH$3,0,0,'Données projet'!$E$11+1,1))-AVERAGE(OFFSET($H$3,0,0,'Données projet'!$E$11+1,1))</f>
        <v>348.65374983303883</v>
      </c>
      <c r="BJ99" s="62">
        <f t="shared" si="65"/>
        <v>312.05848669315151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-5.6843418860808015E-14</v>
      </c>
      <c r="BZ99" s="14">
        <f>BY99*VLOOKUP('Données projet'!$B$12,Paramètres!$A$1:$I$88,3,0)*VLOOKUP('Données projet'!$B$12,Paramètres!$A$1:$I$88,5,0)</f>
        <v>-4.1677594708744434E-14</v>
      </c>
      <c r="CA99" s="14" t="e">
        <f t="shared" si="100"/>
        <v>#NUM!</v>
      </c>
      <c r="CB99" s="22" t="e">
        <f t="shared" si="67"/>
        <v>#NUM!</v>
      </c>
      <c r="CC99" s="62" t="e">
        <f t="shared" si="68"/>
        <v>#NUM!</v>
      </c>
      <c r="CD99" s="62">
        <f ca="1">AVERAGE(OFFSET($CC$3,0,0,'Données projet'!$E$12+1,1))-AVERAGE(OFFSET($H$3,0,0,'Données projet'!$E$12+1,1))</f>
        <v>264.06656596707364</v>
      </c>
      <c r="CE99" s="62">
        <f t="shared" si="69"/>
        <v>315.34415130230195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5.6843418860808015E-14</v>
      </c>
      <c r="CU99" s="18">
        <f>CT99*VLOOKUP('Données projet'!$B$13,Paramètres!$A$1:$I$88,3,0)*VLOOKUP('Données projet'!$B$13,Paramètres!$A$1:$I$88,5,0)</f>
        <v>3.3992364478763198E-14</v>
      </c>
      <c r="CV99" s="14">
        <f t="shared" si="101"/>
        <v>5.790027782444094E-13</v>
      </c>
      <c r="CW99" s="22">
        <f t="shared" si="71"/>
        <v>1.0676332069095257E-12</v>
      </c>
      <c r="CX99" s="62">
        <f t="shared" si="72"/>
        <v>293.33333333333439</v>
      </c>
      <c r="CY99" s="62">
        <f ca="1">AVERAGE(OFFSET($CX$3,0,0,'Données projet'!$E$13+1,1))-AVERAGE(OFFSET($H$3,0,0,'Données projet'!$E$13+1,1))</f>
        <v>162.29089122912319</v>
      </c>
      <c r="CZ99" s="62">
        <f t="shared" si="73"/>
        <v>253.15422514195427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2.8582758462563276</v>
      </c>
      <c r="DG99" s="23">
        <f>EXP(-LN(2)/25)*DG98+(1-EXP(-LN(2)/25))/(LN(2)/25)*Calculateur!DB99*Calculateur!DD99*VLOOKUP('Données projet'!$B$9,Paramètres!$A$1:$I$88,3,0)*0.475*44/12</f>
        <v>0.85157055393686376</v>
      </c>
      <c r="DH99" s="23">
        <f>EXP(-LN(2)/2)*DH98+(1-EXP(-LN(2)/2))/(LN(2)/2)*DB99*DE99*VLOOKUP('Données projet'!$B$9,Paramètres!$A$1:$I$88,3,0)*0.475*44/12</f>
        <v>2.7195799786193296E-10</v>
      </c>
      <c r="DI99" s="24">
        <f t="shared" si="74"/>
        <v>3.7098464004651492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-5.6843418860808015E-14</v>
      </c>
      <c r="DP99" s="18">
        <f>DO99*VLOOKUP('Données projet'!$B$14,Paramètres!$A$1:$I$88,3,0)*VLOOKUP('Données projet'!$B$14,Paramètres!$A$1:$I$88,5,0)</f>
        <v>-4.5224624045658861E-14</v>
      </c>
      <c r="DQ99" s="14" t="e">
        <f t="shared" si="102"/>
        <v>#NUM!</v>
      </c>
      <c r="DR99" s="22" t="e">
        <f t="shared" si="75"/>
        <v>#NUM!</v>
      </c>
      <c r="DS99" s="62" t="e">
        <f t="shared" si="76"/>
        <v>#NUM!</v>
      </c>
      <c r="DT99" s="62">
        <f ca="1">AVERAGE(OFFSET($DS$3,0,0,'Données projet'!$E$14+1,1))-AVERAGE(OFFSET($H$3,0,0,'Données projet'!$E$14+1,1))</f>
        <v>290.20755061064017</v>
      </c>
      <c r="DU99" s="62">
        <f t="shared" si="77"/>
        <v>343.54750327717181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25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9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7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15</v>
      </c>
      <c r="N100" s="14">
        <f>IF(A100&lt;'Données projet'!$A$36,$K$205^A100,IF(A100='Données projet'!$A$36,'Données projet'!$B$36,N99+M100-V99))</f>
        <v>809.99999999999989</v>
      </c>
      <c r="O100" s="14">
        <f>N100*VLOOKUP('Données projet'!$B$9,Paramètres!$A$1:$I$88,3,0)*VLOOKUP('Données projet'!$B$9,Paramètres!$A$1:$I$88,5,0)</f>
        <v>379.08</v>
      </c>
      <c r="P100" s="14">
        <f t="shared" si="97"/>
        <v>87.522288181554913</v>
      </c>
      <c r="Q100" s="22">
        <f t="shared" si="107"/>
        <v>812.66565191620805</v>
      </c>
      <c r="R100" s="62">
        <f t="shared" si="55"/>
        <v>1105.9989852495414</v>
      </c>
      <c r="S100" s="62">
        <f ca="1">AVERAGE(OFFSET($R$3,0,0,'Données projet'!$E$9+1,1))-AVERAGE(OFFSET($H$3,0,0,'Données projet'!$E$9+1,1))</f>
        <v>300.03481708703549</v>
      </c>
      <c r="T100" s="62">
        <f t="shared" si="56"/>
        <v>102.6350860969182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-2.2737367544323206E-13</v>
      </c>
      <c r="AJ100" s="14">
        <f>AI100*VLOOKUP('Données projet'!$B$10,Paramètres!$A$1:$I$88,3,0)*VLOOKUP('Données projet'!$B$10,Paramètres!$A$1:$I$88,5,0)</f>
        <v>-1.2710188457276673E-13</v>
      </c>
      <c r="AK100" s="14" t="e">
        <f t="shared" si="98"/>
        <v>#NUM!</v>
      </c>
      <c r="AL100" s="22" t="e">
        <f t="shared" si="59"/>
        <v>#NUM!</v>
      </c>
      <c r="AM100" s="62" t="e">
        <f t="shared" si="60"/>
        <v>#NUM!</v>
      </c>
      <c r="AN100" s="62">
        <f ca="1">AVERAGE(OFFSET($AM$3,0,0,'Données projet'!$E$10+1,1))-AVERAGE(OFFSET($H$3,0,0,'Données projet'!$E$10+1,1))</f>
        <v>328.27336939084597</v>
      </c>
      <c r="AO100" s="62">
        <f t="shared" si="61"/>
        <v>448.79354389108755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1.4313194262838116</v>
      </c>
      <c r="AV100" s="23">
        <f>EXP(-LN(2)/25)*AV99+(1-EXP(-LN(2)/25))/(LN(2)/25)*Calculateur!AQ100*Calculateur!AS100*VLOOKUP('Données projet'!$B$9,Paramètres!$A$1:$I$88,3,0)*0.475*44/12</f>
        <v>2.1475766690601192</v>
      </c>
      <c r="AW100" s="23">
        <f>EXP(-LN(2)/2)*AW99+(1-EXP(-LN(2)/2))/(LN(2)/2)*AQ100*AT100*VLOOKUP('Données projet'!$B$9,Paramètres!$A$1:$I$88,3,0)*0.475*44/12</f>
        <v>1.1991840258951794E-9</v>
      </c>
      <c r="AX100" s="23">
        <f t="shared" si="62"/>
        <v>3.5788960965431147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10</v>
      </c>
      <c r="BD100" s="13">
        <f>IF(A100&lt;'Données projet'!$A$88,$BA$205^A100,IF(A100='Données projet'!$A$88,'Données projet'!$B$88,BD99+BC100-BL99))</f>
        <v>429.99999999999977</v>
      </c>
      <c r="BE100" s="14">
        <f>BD100*VLOOKUP('Données projet'!$B$11,Paramètres!$A$1:$I$88,3,0)*VLOOKUP('Données projet'!$B$11,Paramètres!$A$1:$I$88,5,0)</f>
        <v>375.64799999999985</v>
      </c>
      <c r="BF100" s="14">
        <f t="shared" si="99"/>
        <v>86.821768522835853</v>
      </c>
      <c r="BG100" s="22">
        <f t="shared" si="63"/>
        <v>805.46818017727207</v>
      </c>
      <c r="BH100" s="62">
        <f t="shared" si="64"/>
        <v>1098.8015135106054</v>
      </c>
      <c r="BI100" s="62">
        <f ca="1">AVERAGE(OFFSET($BH$3,0,0,'Données projet'!$E$11+1,1))-AVERAGE(OFFSET($H$3,0,0,'Données projet'!$E$11+1,1))</f>
        <v>348.65374983303883</v>
      </c>
      <c r="BJ100" s="62">
        <f t="shared" si="65"/>
        <v>312.05848669315151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-5.6843418860808015E-14</v>
      </c>
      <c r="BZ100" s="14">
        <f>BY100*VLOOKUP('Données projet'!$B$12,Paramètres!$A$1:$I$88,3,0)*VLOOKUP('Données projet'!$B$12,Paramètres!$A$1:$I$88,5,0)</f>
        <v>-4.1677594708744434E-14</v>
      </c>
      <c r="CA100" s="14" t="e">
        <f t="shared" si="100"/>
        <v>#NUM!</v>
      </c>
      <c r="CB100" s="22" t="e">
        <f t="shared" si="67"/>
        <v>#NUM!</v>
      </c>
      <c r="CC100" s="62" t="e">
        <f t="shared" si="68"/>
        <v>#NUM!</v>
      </c>
      <c r="CD100" s="62">
        <f ca="1">AVERAGE(OFFSET($CC$3,0,0,'Données projet'!$E$12+1,1))-AVERAGE(OFFSET($H$3,0,0,'Données projet'!$E$12+1,1))</f>
        <v>264.06656596707364</v>
      </c>
      <c r="CE100" s="62">
        <f t="shared" si="69"/>
        <v>315.34415130230195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5.6843418860808015E-14</v>
      </c>
      <c r="CU100" s="18">
        <f>CT100*VLOOKUP('Données projet'!$B$13,Paramètres!$A$1:$I$88,3,0)*VLOOKUP('Données projet'!$B$13,Paramètres!$A$1:$I$88,5,0)</f>
        <v>3.3992364478763198E-14</v>
      </c>
      <c r="CV100" s="14">
        <f t="shared" si="101"/>
        <v>5.790027782444094E-13</v>
      </c>
      <c r="CW100" s="22">
        <f t="shared" si="71"/>
        <v>1.0676332069095257E-12</v>
      </c>
      <c r="CX100" s="62">
        <f t="shared" si="72"/>
        <v>293.33333333333439</v>
      </c>
      <c r="CY100" s="62">
        <f ca="1">AVERAGE(OFFSET($CX$3,0,0,'Données projet'!$E$13+1,1))-AVERAGE(OFFSET($H$3,0,0,'Données projet'!$E$13+1,1))</f>
        <v>162.29089122912319</v>
      </c>
      <c r="CZ100" s="62">
        <f t="shared" si="73"/>
        <v>253.15422514195427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2.8022268002873632</v>
      </c>
      <c r="DG100" s="23">
        <f>EXP(-LN(2)/25)*DG99+(1-EXP(-LN(2)/25))/(LN(2)/25)*Calculateur!DB100*Calculateur!DD100*VLOOKUP('Données projet'!$B$9,Paramètres!$A$1:$I$88,3,0)*0.475*44/12</f>
        <v>0.82828431235731104</v>
      </c>
      <c r="DH100" s="23">
        <f>EXP(-LN(2)/2)*DH99+(1-EXP(-LN(2)/2))/(LN(2)/2)*DB100*DE100*VLOOKUP('Données projet'!$B$9,Paramètres!$A$1:$I$88,3,0)*0.475*44/12</f>
        <v>1.9230334448608939E-10</v>
      </c>
      <c r="DI100" s="24">
        <f t="shared" si="74"/>
        <v>3.6305111128369778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-5.6843418860808015E-14</v>
      </c>
      <c r="DP100" s="18">
        <f>DO100*VLOOKUP('Données projet'!$B$14,Paramètres!$A$1:$I$88,3,0)*VLOOKUP('Données projet'!$B$14,Paramètres!$A$1:$I$88,5,0)</f>
        <v>-4.5224624045658861E-14</v>
      </c>
      <c r="DQ100" s="14" t="e">
        <f t="shared" si="102"/>
        <v>#NUM!</v>
      </c>
      <c r="DR100" s="22" t="e">
        <f t="shared" si="75"/>
        <v>#NUM!</v>
      </c>
      <c r="DS100" s="62" t="e">
        <f t="shared" si="76"/>
        <v>#NUM!</v>
      </c>
      <c r="DT100" s="62">
        <f ca="1">AVERAGE(OFFSET($DS$3,0,0,'Données projet'!$E$14+1,1))-AVERAGE(OFFSET($H$3,0,0,'Données projet'!$E$14+1,1))</f>
        <v>290.20755061064017</v>
      </c>
      <c r="DU100" s="62">
        <f t="shared" si="77"/>
        <v>343.54750327717181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25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9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7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15</v>
      </c>
      <c r="N101" s="14">
        <f>IF(A101&lt;'Données projet'!$A$36,$K$205^A101,IF(A101='Données projet'!$A$36,'Données projet'!$B$36,N100+M101-V100))</f>
        <v>824.99999999999989</v>
      </c>
      <c r="O101" s="14">
        <f>N101*VLOOKUP('Données projet'!$B$9,Paramètres!$A$1:$I$88,3,0)*VLOOKUP('Données projet'!$B$9,Paramètres!$A$1:$I$88,5,0)</f>
        <v>386.09999999999997</v>
      </c>
      <c r="P101" s="14">
        <f t="shared" si="97"/>
        <v>88.952879163979915</v>
      </c>
      <c r="Q101" s="22">
        <f t="shared" si="107"/>
        <v>827.38376454393153</v>
      </c>
      <c r="R101" s="62">
        <f t="shared" si="55"/>
        <v>1120.7170978772649</v>
      </c>
      <c r="S101" s="62">
        <f ca="1">AVERAGE(OFFSET($R$3,0,0,'Données projet'!$E$9+1,1))-AVERAGE(OFFSET($H$3,0,0,'Données projet'!$E$9+1,1))</f>
        <v>300.03481708703549</v>
      </c>
      <c r="T101" s="62">
        <f t="shared" si="56"/>
        <v>102.6350860969182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-2.2737367544323206E-13</v>
      </c>
      <c r="AJ101" s="14">
        <f>AI101*VLOOKUP('Données projet'!$B$10,Paramètres!$A$1:$I$88,3,0)*VLOOKUP('Données projet'!$B$10,Paramètres!$A$1:$I$88,5,0)</f>
        <v>-1.2710188457276673E-13</v>
      </c>
      <c r="AK101" s="14" t="e">
        <f t="shared" si="98"/>
        <v>#NUM!</v>
      </c>
      <c r="AL101" s="22" t="e">
        <f t="shared" si="59"/>
        <v>#NUM!</v>
      </c>
      <c r="AM101" s="62" t="e">
        <f t="shared" si="60"/>
        <v>#NUM!</v>
      </c>
      <c r="AN101" s="62">
        <f ca="1">AVERAGE(OFFSET($AM$3,0,0,'Données projet'!$E$10+1,1))-AVERAGE(OFFSET($H$3,0,0,'Données projet'!$E$10+1,1))</f>
        <v>328.27336939084597</v>
      </c>
      <c r="AO101" s="62">
        <f t="shared" si="61"/>
        <v>448.79354389108755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1.4032521253530326</v>
      </c>
      <c r="AV101" s="23">
        <f>EXP(-LN(2)/25)*AV100+(1-EXP(-LN(2)/25))/(LN(2)/25)*Calculateur!AQ101*Calculateur!AS101*VLOOKUP('Données projet'!$B$9,Paramètres!$A$1:$I$88,3,0)*0.475*44/12</f>
        <v>2.0888510721085214</v>
      </c>
      <c r="AW101" s="23">
        <f>EXP(-LN(2)/2)*AW100+(1-EXP(-LN(2)/2))/(LN(2)/2)*AQ101*AT101*VLOOKUP('Données projet'!$B$9,Paramètres!$A$1:$I$88,3,0)*0.475*44/12</f>
        <v>8.479511566010658E-10</v>
      </c>
      <c r="AX101" s="23">
        <f t="shared" si="62"/>
        <v>3.492103198309505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10</v>
      </c>
      <c r="BD101" s="13">
        <f>IF(A101&lt;'Données projet'!$A$88,$BA$205^A101,IF(A101='Données projet'!$A$88,'Données projet'!$B$88,BD100+BC101-BL100))</f>
        <v>439.99999999999977</v>
      </c>
      <c r="BE101" s="14">
        <f>BD101*VLOOKUP('Données projet'!$B$11,Paramètres!$A$1:$I$88,3,0)*VLOOKUP('Données projet'!$B$11,Paramètres!$A$1:$I$88,5,0)</f>
        <v>384.38399999999984</v>
      </c>
      <c r="BF101" s="14">
        <f t="shared" si="99"/>
        <v>88.603460814581439</v>
      </c>
      <c r="BG101" s="22">
        <f t="shared" si="63"/>
        <v>823.78649425206231</v>
      </c>
      <c r="BH101" s="62">
        <f t="shared" si="64"/>
        <v>1117.1198275853956</v>
      </c>
      <c r="BI101" s="62">
        <f ca="1">AVERAGE(OFFSET($BH$3,0,0,'Données projet'!$E$11+1,1))-AVERAGE(OFFSET($H$3,0,0,'Données projet'!$E$11+1,1))</f>
        <v>348.65374983303883</v>
      </c>
      <c r="BJ101" s="62">
        <f t="shared" si="65"/>
        <v>312.05848669315151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-5.6843418860808015E-14</v>
      </c>
      <c r="BZ101" s="14">
        <f>BY101*VLOOKUP('Données projet'!$B$12,Paramètres!$A$1:$I$88,3,0)*VLOOKUP('Données projet'!$B$12,Paramètres!$A$1:$I$88,5,0)</f>
        <v>-4.1677594708744434E-14</v>
      </c>
      <c r="CA101" s="14" t="e">
        <f t="shared" si="100"/>
        <v>#NUM!</v>
      </c>
      <c r="CB101" s="22" t="e">
        <f t="shared" si="67"/>
        <v>#NUM!</v>
      </c>
      <c r="CC101" s="62" t="e">
        <f t="shared" si="68"/>
        <v>#NUM!</v>
      </c>
      <c r="CD101" s="62">
        <f ca="1">AVERAGE(OFFSET($CC$3,0,0,'Données projet'!$E$12+1,1))-AVERAGE(OFFSET($H$3,0,0,'Données projet'!$E$12+1,1))</f>
        <v>264.06656596707364</v>
      </c>
      <c r="CE101" s="62">
        <f t="shared" si="69"/>
        <v>315.34415130230195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5.6843418860808015E-14</v>
      </c>
      <c r="CU101" s="18">
        <f>CT101*VLOOKUP('Données projet'!$B$13,Paramètres!$A$1:$I$88,3,0)*VLOOKUP('Données projet'!$B$13,Paramètres!$A$1:$I$88,5,0)</f>
        <v>3.3992364478763198E-14</v>
      </c>
      <c r="CV101" s="14">
        <f t="shared" si="101"/>
        <v>5.790027782444094E-13</v>
      </c>
      <c r="CW101" s="22">
        <f t="shared" si="71"/>
        <v>1.0676332069095257E-12</v>
      </c>
      <c r="CX101" s="62">
        <f t="shared" si="72"/>
        <v>293.33333333333439</v>
      </c>
      <c r="CY101" s="62">
        <f ca="1">AVERAGE(OFFSET($CX$3,0,0,'Données projet'!$E$13+1,1))-AVERAGE(OFFSET($H$3,0,0,'Données projet'!$E$13+1,1))</f>
        <v>162.29089122912319</v>
      </c>
      <c r="CZ101" s="62">
        <f t="shared" si="73"/>
        <v>253.15422514195427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2.7472768419233078</v>
      </c>
      <c r="DG101" s="23">
        <f>EXP(-LN(2)/25)*DG100+(1-EXP(-LN(2)/25))/(LN(2)/25)*Calculateur!DB101*Calculateur!DD101*VLOOKUP('Données projet'!$B$9,Paramètres!$A$1:$I$88,3,0)*0.475*44/12</f>
        <v>0.8056348342783215</v>
      </c>
      <c r="DH101" s="23">
        <f>EXP(-LN(2)/2)*DH100+(1-EXP(-LN(2)/2))/(LN(2)/2)*DB101*DE101*VLOOKUP('Données projet'!$B$9,Paramètres!$A$1:$I$88,3,0)*0.475*44/12</f>
        <v>1.3597899893096648E-10</v>
      </c>
      <c r="DI101" s="24">
        <f t="shared" si="74"/>
        <v>3.5529116763376081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-5.6843418860808015E-14</v>
      </c>
      <c r="DP101" s="18">
        <f>DO101*VLOOKUP('Données projet'!$B$14,Paramètres!$A$1:$I$88,3,0)*VLOOKUP('Données projet'!$B$14,Paramètres!$A$1:$I$88,5,0)</f>
        <v>-4.5224624045658861E-14</v>
      </c>
      <c r="DQ101" s="14" t="e">
        <f t="shared" si="102"/>
        <v>#NUM!</v>
      </c>
      <c r="DR101" s="22" t="e">
        <f t="shared" si="75"/>
        <v>#NUM!</v>
      </c>
      <c r="DS101" s="62" t="e">
        <f t="shared" si="76"/>
        <v>#NUM!</v>
      </c>
      <c r="DT101" s="62">
        <f ca="1">AVERAGE(OFFSET($DS$3,0,0,'Données projet'!$E$14+1,1))-AVERAGE(OFFSET($H$3,0,0,'Données projet'!$E$14+1,1))</f>
        <v>290.20755061064017</v>
      </c>
      <c r="DU101" s="62">
        <f t="shared" si="77"/>
        <v>343.54750327717181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25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9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7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15</v>
      </c>
      <c r="N102" s="14">
        <f>IF(A102&lt;'Données projet'!$A$36,$K$205^A102,IF(A102='Données projet'!$A$36,'Données projet'!$B$36,N101+M102-V101))</f>
        <v>839.99999999999989</v>
      </c>
      <c r="O102" s="14">
        <f>N102*VLOOKUP('Données projet'!$B$9,Paramètres!$A$1:$I$88,3,0)*VLOOKUP('Données projet'!$B$9,Paramètres!$A$1:$I$88,5,0)</f>
        <v>393.11999999999989</v>
      </c>
      <c r="P102" s="14">
        <f t="shared" si="97"/>
        <v>90.380445521044919</v>
      </c>
      <c r="Q102" s="22">
        <f t="shared" si="107"/>
        <v>842.09660928248638</v>
      </c>
      <c r="R102" s="62">
        <f t="shared" si="55"/>
        <v>1135.4299426158198</v>
      </c>
      <c r="S102" s="62">
        <f ca="1">AVERAGE(OFFSET($R$3,0,0,'Données projet'!$E$9+1,1))-AVERAGE(OFFSET($H$3,0,0,'Données projet'!$E$9+1,1))</f>
        <v>300.03481708703549</v>
      </c>
      <c r="T102" s="62">
        <f t="shared" si="56"/>
        <v>102.6350860969182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-2.2737367544323206E-13</v>
      </c>
      <c r="AJ102" s="14">
        <f>AI102*VLOOKUP('Données projet'!$B$10,Paramètres!$A$1:$I$88,3,0)*VLOOKUP('Données projet'!$B$10,Paramètres!$A$1:$I$88,5,0)</f>
        <v>-1.2710188457276673E-13</v>
      </c>
      <c r="AK102" s="14" t="e">
        <f t="shared" si="98"/>
        <v>#NUM!</v>
      </c>
      <c r="AL102" s="22" t="e">
        <f t="shared" si="59"/>
        <v>#NUM!</v>
      </c>
      <c r="AM102" s="62" t="e">
        <f t="shared" si="60"/>
        <v>#NUM!</v>
      </c>
      <c r="AN102" s="62">
        <f ca="1">AVERAGE(OFFSET($AM$3,0,0,'Données projet'!$E$10+1,1))-AVERAGE(OFFSET($H$3,0,0,'Données projet'!$E$10+1,1))</f>
        <v>328.27336939084597</v>
      </c>
      <c r="AO102" s="62">
        <f t="shared" si="61"/>
        <v>448.79354389108755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1.3757352070741431</v>
      </c>
      <c r="AV102" s="23">
        <f>EXP(-LN(2)/25)*AV101+(1-EXP(-LN(2)/25))/(LN(2)/25)*Calculateur!AQ102*Calculateur!AS102*VLOOKUP('Données projet'!$B$9,Paramètres!$A$1:$I$88,3,0)*0.475*44/12</f>
        <v>2.0317313296938102</v>
      </c>
      <c r="AW102" s="23">
        <f>EXP(-LN(2)/2)*AW101+(1-EXP(-LN(2)/2))/(LN(2)/2)*AQ102*AT102*VLOOKUP('Données projet'!$B$9,Paramètres!$A$1:$I$88,3,0)*0.475*44/12</f>
        <v>5.9959201294758972E-10</v>
      </c>
      <c r="AX102" s="23">
        <f t="shared" si="62"/>
        <v>3.407466537367545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10</v>
      </c>
      <c r="BD102" s="13">
        <f>IF(A102&lt;'Données projet'!$A$88,$BA$205^A102,IF(A102='Données projet'!$A$88,'Données projet'!$B$88,BD101+BC102-BL101))</f>
        <v>449.99999999999977</v>
      </c>
      <c r="BE102" s="14">
        <f>BD102*VLOOKUP('Données projet'!$B$11,Paramètres!$A$1:$I$88,3,0)*VLOOKUP('Données projet'!$B$11,Paramètres!$A$1:$I$88,5,0)</f>
        <v>393.11999999999983</v>
      </c>
      <c r="BF102" s="14">
        <f t="shared" si="99"/>
        <v>90.380445521044919</v>
      </c>
      <c r="BG102" s="22">
        <f t="shared" si="63"/>
        <v>842.09660928248638</v>
      </c>
      <c r="BH102" s="62">
        <f t="shared" si="64"/>
        <v>1135.4299426158198</v>
      </c>
      <c r="BI102" s="62">
        <f ca="1">AVERAGE(OFFSET($BH$3,0,0,'Données projet'!$E$11+1,1))-AVERAGE(OFFSET($H$3,0,0,'Données projet'!$E$11+1,1))</f>
        <v>348.65374983303883</v>
      </c>
      <c r="BJ102" s="62">
        <f t="shared" si="65"/>
        <v>312.05848669315151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-5.6843418860808015E-14</v>
      </c>
      <c r="BZ102" s="14">
        <f>BY102*VLOOKUP('Données projet'!$B$12,Paramètres!$A$1:$I$88,3,0)*VLOOKUP('Données projet'!$B$12,Paramètres!$A$1:$I$88,5,0)</f>
        <v>-4.1677594708744434E-14</v>
      </c>
      <c r="CA102" s="14" t="e">
        <f t="shared" si="100"/>
        <v>#NUM!</v>
      </c>
      <c r="CB102" s="22" t="e">
        <f t="shared" si="67"/>
        <v>#NUM!</v>
      </c>
      <c r="CC102" s="62" t="e">
        <f t="shared" si="68"/>
        <v>#NUM!</v>
      </c>
      <c r="CD102" s="62">
        <f ca="1">AVERAGE(OFFSET($CC$3,0,0,'Données projet'!$E$12+1,1))-AVERAGE(OFFSET($H$3,0,0,'Données projet'!$E$12+1,1))</f>
        <v>264.06656596707364</v>
      </c>
      <c r="CE102" s="62">
        <f t="shared" si="69"/>
        <v>315.34415130230195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5.6843418860808015E-14</v>
      </c>
      <c r="CU102" s="18">
        <f>CT102*VLOOKUP('Données projet'!$B$13,Paramètres!$A$1:$I$88,3,0)*VLOOKUP('Données projet'!$B$13,Paramètres!$A$1:$I$88,5,0)</f>
        <v>3.3992364478763198E-14</v>
      </c>
      <c r="CV102" s="14">
        <f t="shared" si="101"/>
        <v>5.790027782444094E-13</v>
      </c>
      <c r="CW102" s="22">
        <f t="shared" si="71"/>
        <v>1.0676332069095257E-12</v>
      </c>
      <c r="CX102" s="62">
        <f t="shared" si="72"/>
        <v>293.33333333333439</v>
      </c>
      <c r="CY102" s="62">
        <f ca="1">AVERAGE(OFFSET($CX$3,0,0,'Données projet'!$E$13+1,1))-AVERAGE(OFFSET($H$3,0,0,'Données projet'!$E$13+1,1))</f>
        <v>162.29089122912319</v>
      </c>
      <c r="CZ102" s="62">
        <f t="shared" si="73"/>
        <v>253.15422514195427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2.6934044187266064</v>
      </c>
      <c r="DG102" s="23">
        <f>EXP(-LN(2)/25)*DG101+(1-EXP(-LN(2)/25))/(LN(2)/25)*Calculateur!DB102*Calculateur!DD102*VLOOKUP('Données projet'!$B$9,Paramètres!$A$1:$I$88,3,0)*0.475*44/12</f>
        <v>0.7836047073684862</v>
      </c>
      <c r="DH102" s="23">
        <f>EXP(-LN(2)/2)*DH101+(1-EXP(-LN(2)/2))/(LN(2)/2)*DB102*DE102*VLOOKUP('Données projet'!$B$9,Paramètres!$A$1:$I$88,3,0)*0.475*44/12</f>
        <v>9.6151672243044697E-11</v>
      </c>
      <c r="DI102" s="24">
        <f t="shared" si="74"/>
        <v>3.4770091261912439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-5.6843418860808015E-14</v>
      </c>
      <c r="DP102" s="18">
        <f>DO102*VLOOKUP('Données projet'!$B$14,Paramètres!$A$1:$I$88,3,0)*VLOOKUP('Données projet'!$B$14,Paramètres!$A$1:$I$88,5,0)</f>
        <v>-4.5224624045658861E-14</v>
      </c>
      <c r="DQ102" s="14" t="e">
        <f t="shared" si="102"/>
        <v>#NUM!</v>
      </c>
      <c r="DR102" s="22" t="e">
        <f t="shared" si="75"/>
        <v>#NUM!</v>
      </c>
      <c r="DS102" s="62" t="e">
        <f t="shared" si="76"/>
        <v>#NUM!</v>
      </c>
      <c r="DT102" s="62">
        <f ca="1">AVERAGE(OFFSET($DS$3,0,0,'Données projet'!$E$14+1,1))-AVERAGE(OFFSET($H$3,0,0,'Données projet'!$E$14+1,1))</f>
        <v>290.20755061064017</v>
      </c>
      <c r="DU102" s="62">
        <f t="shared" si="77"/>
        <v>343.54750327717181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25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9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7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855</v>
      </c>
      <c r="L103" s="13">
        <f>VLOOKUP(A103,'Données projet'!$A$35:$I$55,9,0)</f>
        <v>15</v>
      </c>
      <c r="M103" s="13">
        <f t="array" ref="M103">INDEX(L:L,MIN(IF(ISNUMBER(L103:L299),ROW(L103:L299),"")))</f>
        <v>15</v>
      </c>
      <c r="N103" s="14">
        <f>IF(A103&lt;'Données projet'!$A$36,$K$205^A103,IF(A103='Données projet'!$A$36,'Données projet'!$B$36,N102+M103-V102))</f>
        <v>854.99999999999989</v>
      </c>
      <c r="O103" s="14">
        <f>N103*VLOOKUP('Données projet'!$B$9,Paramètres!$A$1:$I$88,3,0)*VLOOKUP('Données projet'!$B$9,Paramètres!$A$1:$I$88,5,0)</f>
        <v>400.13999999999993</v>
      </c>
      <c r="P103" s="14">
        <f t="shared" si="97"/>
        <v>91.805047494648534</v>
      </c>
      <c r="Q103" s="22">
        <f t="shared" si="107"/>
        <v>856.80429105317944</v>
      </c>
      <c r="R103" s="62">
        <f t="shared" si="55"/>
        <v>1150.1376243865127</v>
      </c>
      <c r="S103" s="62">
        <f ca="1">AVERAGE(OFFSET($R$3,0,0,'Données projet'!$E$9+1,1))-AVERAGE(OFFSET($H$3,0,0,'Données projet'!$E$9+1,1))</f>
        <v>300.03481708703549</v>
      </c>
      <c r="T103" s="62">
        <f t="shared" si="56"/>
        <v>102.6350860969182</v>
      </c>
      <c r="U103" s="16">
        <f>IF(ISNA(VLOOKUP(A103,'Données projet'!$A$35:$I$55,3,0)),0,VLOOKUP(A103,'Données projet'!$A$35:$I$55,3,0))</f>
        <v>7</v>
      </c>
      <c r="V103" s="16">
        <f>IF(ISNA(VLOOKUP(A103,'Données projet'!$A$35:$I$55,4,0)),0,VLOOKUP(A103,'Données projet'!$A$35:$I$55,4,0))</f>
        <v>855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-2.2737367544323206E-13</v>
      </c>
      <c r="AJ103" s="14">
        <f>AI103*VLOOKUP('Données projet'!$B$10,Paramètres!$A$1:$I$88,3,0)*VLOOKUP('Données projet'!$B$10,Paramètres!$A$1:$I$88,5,0)</f>
        <v>-1.2710188457276673E-13</v>
      </c>
      <c r="AK103" s="14" t="e">
        <f t="shared" si="98"/>
        <v>#NUM!</v>
      </c>
      <c r="AL103" s="22" t="e">
        <f t="shared" si="59"/>
        <v>#NUM!</v>
      </c>
      <c r="AM103" s="62" t="e">
        <f t="shared" si="60"/>
        <v>#NUM!</v>
      </c>
      <c r="AN103" s="62">
        <f ca="1">AVERAGE(OFFSET($AM$3,0,0,'Données projet'!$E$10+1,1))-AVERAGE(OFFSET($H$3,0,0,'Données projet'!$E$10+1,1))</f>
        <v>328.27336939084597</v>
      </c>
      <c r="AO103" s="62">
        <f t="shared" si="61"/>
        <v>448.79354389108755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1.3487578787790397</v>
      </c>
      <c r="AV103" s="23">
        <f>EXP(-LN(2)/25)*AV102+(1-EXP(-LN(2)/25))/(LN(2)/25)*Calculateur!AQ103*Calculateur!AS103*VLOOKUP('Données projet'!$B$9,Paramètres!$A$1:$I$88,3,0)*0.475*44/12</f>
        <v>1.976173529639226</v>
      </c>
      <c r="AW103" s="23">
        <f>EXP(-LN(2)/2)*AW102+(1-EXP(-LN(2)/2))/(LN(2)/2)*AQ103*AT103*VLOOKUP('Données projet'!$B$9,Paramètres!$A$1:$I$88,3,0)*0.475*44/12</f>
        <v>4.239755783005329E-10</v>
      </c>
      <c r="AX103" s="23">
        <f t="shared" si="62"/>
        <v>3.3249314088422413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460</v>
      </c>
      <c r="BB103" s="13">
        <f>VLOOKUP(A103,'Données projet'!$A$87:$I$107,9,0)</f>
        <v>10</v>
      </c>
      <c r="BC103" s="13">
        <f t="array" ref="BC103">INDEX(BB:BB,MIN(IF(ISNUMBER(BB103:BB299),ROW(BB103:BB299),"")))</f>
        <v>10</v>
      </c>
      <c r="BD103" s="13">
        <f>IF(A103&lt;'Données projet'!$A$88,$BA$205^A103,IF(A103='Données projet'!$A$88,'Données projet'!$B$88,BD102+BC103-BL102))</f>
        <v>459.99999999999977</v>
      </c>
      <c r="BE103" s="14">
        <f>BD103*VLOOKUP('Données projet'!$B$11,Paramètres!$A$1:$I$88,3,0)*VLOOKUP('Données projet'!$B$11,Paramètres!$A$1:$I$88,5,0)</f>
        <v>401.85599999999988</v>
      </c>
      <c r="BF103" s="14">
        <f t="shared" si="99"/>
        <v>92.152839300666628</v>
      </c>
      <c r="BG103" s="22">
        <f t="shared" si="63"/>
        <v>860.39872844866079</v>
      </c>
      <c r="BH103" s="62">
        <f t="shared" si="64"/>
        <v>1153.7320617819942</v>
      </c>
      <c r="BI103" s="62">
        <f ca="1">AVERAGE(OFFSET($BH$3,0,0,'Données projet'!$E$11+1,1))-AVERAGE(OFFSET($H$3,0,0,'Données projet'!$E$11+1,1))</f>
        <v>348.65374983303883</v>
      </c>
      <c r="BJ103" s="62">
        <f t="shared" si="65"/>
        <v>312.05848669315151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460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-5.6843418860808015E-14</v>
      </c>
      <c r="BZ103" s="14">
        <f>BY103*VLOOKUP('Données projet'!$B$12,Paramètres!$A$1:$I$88,3,0)*VLOOKUP('Données projet'!$B$12,Paramètres!$A$1:$I$88,5,0)</f>
        <v>-4.1677594708744434E-14</v>
      </c>
      <c r="CA103" s="14" t="e">
        <f t="shared" si="100"/>
        <v>#NUM!</v>
      </c>
      <c r="CB103" s="22" t="e">
        <f t="shared" si="67"/>
        <v>#NUM!</v>
      </c>
      <c r="CC103" s="62" t="e">
        <f t="shared" si="68"/>
        <v>#NUM!</v>
      </c>
      <c r="CD103" s="62">
        <f ca="1">AVERAGE(OFFSET($CC$3,0,0,'Données projet'!$E$12+1,1))-AVERAGE(OFFSET($H$3,0,0,'Données projet'!$E$12+1,1))</f>
        <v>264.06656596707364</v>
      </c>
      <c r="CE103" s="62">
        <f t="shared" si="69"/>
        <v>315.34415130230195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5.6843418860808015E-14</v>
      </c>
      <c r="CU103" s="18">
        <f>CT103*VLOOKUP('Données projet'!$B$13,Paramètres!$A$1:$I$88,3,0)*VLOOKUP('Données projet'!$B$13,Paramètres!$A$1:$I$88,5,0)</f>
        <v>3.3992364478763198E-14</v>
      </c>
      <c r="CV103" s="14">
        <f t="shared" si="101"/>
        <v>5.790027782444094E-13</v>
      </c>
      <c r="CW103" s="22">
        <f t="shared" si="71"/>
        <v>1.0676332069095257E-12</v>
      </c>
      <c r="CX103" s="62">
        <f t="shared" si="72"/>
        <v>293.33333333333439</v>
      </c>
      <c r="CY103" s="62">
        <f ca="1">AVERAGE(OFFSET($CX$3,0,0,'Données projet'!$E$13+1,1))-AVERAGE(OFFSET($H$3,0,0,'Données projet'!$E$13+1,1))</f>
        <v>162.29089122912319</v>
      </c>
      <c r="CZ103" s="62">
        <f t="shared" si="73"/>
        <v>253.15422514195427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2.6405884008898588</v>
      </c>
      <c r="DG103" s="23">
        <f>EXP(-LN(2)/25)*DG102+(1-EXP(-LN(2)/25))/(LN(2)/25)*Calculateur!DB103*Calculateur!DD103*VLOOKUP('Données projet'!$B$9,Paramètres!$A$1:$I$88,3,0)*0.475*44/12</f>
        <v>0.76217699543751438</v>
      </c>
      <c r="DH103" s="23">
        <f>EXP(-LN(2)/2)*DH102+(1-EXP(-LN(2)/2))/(LN(2)/2)*DB103*DE103*VLOOKUP('Données projet'!$B$9,Paramètres!$A$1:$I$88,3,0)*0.475*44/12</f>
        <v>6.7989499465483241E-11</v>
      </c>
      <c r="DI103" s="24">
        <f t="shared" si="74"/>
        <v>3.4027653963953628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-5.6843418860808015E-14</v>
      </c>
      <c r="DP103" s="18">
        <f>DO103*VLOOKUP('Données projet'!$B$14,Paramètres!$A$1:$I$88,3,0)*VLOOKUP('Données projet'!$B$14,Paramètres!$A$1:$I$88,5,0)</f>
        <v>-4.5224624045658861E-14</v>
      </c>
      <c r="DQ103" s="14" t="e">
        <f t="shared" si="102"/>
        <v>#NUM!</v>
      </c>
      <c r="DR103" s="22" t="e">
        <f t="shared" si="75"/>
        <v>#NUM!</v>
      </c>
      <c r="DS103" s="62" t="e">
        <f t="shared" si="76"/>
        <v>#NUM!</v>
      </c>
      <c r="DT103" s="62">
        <f ca="1">AVERAGE(OFFSET($DS$3,0,0,'Données projet'!$E$14+1,1))-AVERAGE(OFFSET($H$3,0,0,'Données projet'!$E$14+1,1))</f>
        <v>290.20755061064017</v>
      </c>
      <c r="DU103" s="62">
        <f t="shared" si="77"/>
        <v>343.54750327717181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25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9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7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-1.1368683772161603E-13</v>
      </c>
      <c r="O104" s="14">
        <f>N104*VLOOKUP('Données projet'!$B$9,Paramètres!$A$1:$I$88,3,0)*VLOOKUP('Données projet'!$B$9,Paramètres!$A$1:$I$88,5,0)</f>
        <v>-5.3205440053716299E-14</v>
      </c>
      <c r="P104" s="14" t="e">
        <f t="shared" si="9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300.03481708703549</v>
      </c>
      <c r="T104" s="62">
        <f t="shared" si="56"/>
        <v>102.6350860969182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-2.2737367544323206E-13</v>
      </c>
      <c r="AJ104" s="14">
        <f>AI104*VLOOKUP('Données projet'!$B$10,Paramètres!$A$1:$I$88,3,0)*VLOOKUP('Données projet'!$B$10,Paramètres!$A$1:$I$88,5,0)</f>
        <v>-1.2710188457276673E-13</v>
      </c>
      <c r="AK104" s="14" t="e">
        <f t="shared" si="98"/>
        <v>#NUM!</v>
      </c>
      <c r="AL104" s="22" t="e">
        <f t="shared" si="59"/>
        <v>#NUM!</v>
      </c>
      <c r="AM104" s="62" t="e">
        <f t="shared" si="60"/>
        <v>#NUM!</v>
      </c>
      <c r="AN104" s="62">
        <f ca="1">AVERAGE(OFFSET($AM$3,0,0,'Données projet'!$E$10+1,1))-AVERAGE(OFFSET($H$3,0,0,'Données projet'!$E$10+1,1))</f>
        <v>328.27336939084597</v>
      </c>
      <c r="AO104" s="62">
        <f t="shared" si="61"/>
        <v>448.79354389108755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1.3223095594372578</v>
      </c>
      <c r="AV104" s="23">
        <f>EXP(-LN(2)/25)*AV103+(1-EXP(-LN(2)/25))/(LN(2)/25)*Calculateur!AQ104*Calculateur!AS104*VLOOKUP('Données projet'!$B$9,Paramètres!$A$1:$I$88,3,0)*0.475*44/12</f>
        <v>1.9221349605487921</v>
      </c>
      <c r="AW104" s="23">
        <f>EXP(-LN(2)/2)*AW103+(1-EXP(-LN(2)/2))/(LN(2)/2)*AQ104*AT104*VLOOKUP('Données projet'!$B$9,Paramètres!$A$1:$I$88,3,0)*0.475*44/12</f>
        <v>2.9979600647379486E-10</v>
      </c>
      <c r="AX104" s="23">
        <f t="shared" si="62"/>
        <v>3.2444445202858461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-2.2737367544323206E-13</v>
      </c>
      <c r="BE104" s="14">
        <f>BD104*VLOOKUP('Données projet'!$B$11,Paramètres!$A$1:$I$88,3,0)*VLOOKUP('Données projet'!$B$11,Paramètres!$A$1:$I$88,5,0)</f>
        <v>-1.9863364286720756E-13</v>
      </c>
      <c r="BF104" s="14" t="e">
        <f t="shared" si="99"/>
        <v>#NUM!</v>
      </c>
      <c r="BG104" s="22" t="e">
        <f t="shared" si="63"/>
        <v>#NUM!</v>
      </c>
      <c r="BH104" s="62" t="e">
        <f t="shared" si="64"/>
        <v>#NUM!</v>
      </c>
      <c r="BI104" s="62">
        <f ca="1">AVERAGE(OFFSET($BH$3,0,0,'Données projet'!$E$11+1,1))-AVERAGE(OFFSET($H$3,0,0,'Données projet'!$E$11+1,1))</f>
        <v>348.65374983303883</v>
      </c>
      <c r="BJ104" s="62">
        <f t="shared" si="65"/>
        <v>312.05848669315151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-5.6843418860808015E-14</v>
      </c>
      <c r="BZ104" s="14">
        <f>BY104*VLOOKUP('Données projet'!$B$12,Paramètres!$A$1:$I$88,3,0)*VLOOKUP('Données projet'!$B$12,Paramètres!$A$1:$I$88,5,0)</f>
        <v>-4.1677594708744434E-14</v>
      </c>
      <c r="CA104" s="14" t="e">
        <f t="shared" si="100"/>
        <v>#NUM!</v>
      </c>
      <c r="CB104" s="22" t="e">
        <f t="shared" si="67"/>
        <v>#NUM!</v>
      </c>
      <c r="CC104" s="62" t="e">
        <f t="shared" si="68"/>
        <v>#NUM!</v>
      </c>
      <c r="CD104" s="62">
        <f ca="1">AVERAGE(OFFSET($CC$3,0,0,'Données projet'!$E$12+1,1))-AVERAGE(OFFSET($H$3,0,0,'Données projet'!$E$12+1,1))</f>
        <v>264.06656596707364</v>
      </c>
      <c r="CE104" s="62">
        <f t="shared" si="69"/>
        <v>315.34415130230195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5.6843418860808015E-14</v>
      </c>
      <c r="CU104" s="18">
        <f>CT104*VLOOKUP('Données projet'!$B$13,Paramètres!$A$1:$I$88,3,0)*VLOOKUP('Données projet'!$B$13,Paramètres!$A$1:$I$88,5,0)</f>
        <v>3.3992364478763198E-14</v>
      </c>
      <c r="CV104" s="14">
        <f t="shared" si="101"/>
        <v>5.790027782444094E-13</v>
      </c>
      <c r="CW104" s="22">
        <f t="shared" si="71"/>
        <v>1.0676332069095257E-12</v>
      </c>
      <c r="CX104" s="62">
        <f t="shared" si="72"/>
        <v>293.33333333333439</v>
      </c>
      <c r="CY104" s="62">
        <f ca="1">AVERAGE(OFFSET($CX$3,0,0,'Données projet'!$E$13+1,1))-AVERAGE(OFFSET($H$3,0,0,'Données projet'!$E$13+1,1))</f>
        <v>162.29089122912319</v>
      </c>
      <c r="CZ104" s="62">
        <f t="shared" si="73"/>
        <v>253.15422514195427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2.5888080729482996</v>
      </c>
      <c r="DG104" s="23">
        <f>EXP(-LN(2)/25)*DG103+(1-EXP(-LN(2)/25))/(LN(2)/25)*Calculateur!DB104*Calculateur!DD104*VLOOKUP('Données projet'!$B$9,Paramètres!$A$1:$I$88,3,0)*0.475*44/12</f>
        <v>0.7413352254161294</v>
      </c>
      <c r="DH104" s="23">
        <f>EXP(-LN(2)/2)*DH103+(1-EXP(-LN(2)/2))/(LN(2)/2)*DB104*DE104*VLOOKUP('Données projet'!$B$9,Paramètres!$A$1:$I$88,3,0)*0.475*44/12</f>
        <v>4.8075836121522348E-11</v>
      </c>
      <c r="DI104" s="24">
        <f t="shared" si="74"/>
        <v>3.3301432984125046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-5.6843418860808015E-14</v>
      </c>
      <c r="DP104" s="18">
        <f>DO104*VLOOKUP('Données projet'!$B$14,Paramètres!$A$1:$I$88,3,0)*VLOOKUP('Données projet'!$B$14,Paramètres!$A$1:$I$88,5,0)</f>
        <v>-4.5224624045658861E-14</v>
      </c>
      <c r="DQ104" s="14" t="e">
        <f t="shared" si="102"/>
        <v>#NUM!</v>
      </c>
      <c r="DR104" s="22" t="e">
        <f t="shared" si="75"/>
        <v>#NUM!</v>
      </c>
      <c r="DS104" s="62" t="e">
        <f t="shared" si="76"/>
        <v>#NUM!</v>
      </c>
      <c r="DT104" s="62">
        <f ca="1">AVERAGE(OFFSET($DS$3,0,0,'Données projet'!$E$14+1,1))-AVERAGE(OFFSET($H$3,0,0,'Données projet'!$E$14+1,1))</f>
        <v>290.20755061064017</v>
      </c>
      <c r="DU104" s="62">
        <f t="shared" si="77"/>
        <v>343.54750327717181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25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9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7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-1.1368683772161603E-13</v>
      </c>
      <c r="O105" s="14">
        <f>N105*VLOOKUP('Données projet'!$B$9,Paramètres!$A$1:$I$88,3,0)*VLOOKUP('Données projet'!$B$9,Paramètres!$A$1:$I$88,5,0)</f>
        <v>-5.3205440053716299E-14</v>
      </c>
      <c r="P105" s="14" t="e">
        <f t="shared" si="9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300.03481708703549</v>
      </c>
      <c r="T105" s="62">
        <f t="shared" si="56"/>
        <v>102.6350860969182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-2.2737367544323206E-13</v>
      </c>
      <c r="AJ105" s="14">
        <f>AI105*VLOOKUP('Données projet'!$B$10,Paramètres!$A$1:$I$88,3,0)*VLOOKUP('Données projet'!$B$10,Paramètres!$A$1:$I$88,5,0)</f>
        <v>-1.2710188457276673E-13</v>
      </c>
      <c r="AK105" s="14" t="e">
        <f t="shared" si="98"/>
        <v>#NUM!</v>
      </c>
      <c r="AL105" s="22" t="e">
        <f t="shared" si="59"/>
        <v>#NUM!</v>
      </c>
      <c r="AM105" s="62" t="e">
        <f t="shared" si="60"/>
        <v>#NUM!</v>
      </c>
      <c r="AN105" s="62">
        <f ca="1">AVERAGE(OFFSET($AM$3,0,0,'Données projet'!$E$10+1,1))-AVERAGE(OFFSET($H$3,0,0,'Données projet'!$E$10+1,1))</f>
        <v>328.27336939084597</v>
      </c>
      <c r="AO105" s="62">
        <f t="shared" si="61"/>
        <v>448.79354389108755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1.2963798755058864</v>
      </c>
      <c r="AV105" s="23">
        <f>EXP(-LN(2)/25)*AV104+(1-EXP(-LN(2)/25))/(LN(2)/25)*Calculateur!AQ105*Calculateur!AS105*VLOOKUP('Données projet'!$B$9,Paramètres!$A$1:$I$88,3,0)*0.475*44/12</f>
        <v>1.8695740789719009</v>
      </c>
      <c r="AW105" s="23">
        <f>EXP(-LN(2)/2)*AW104+(1-EXP(-LN(2)/2))/(LN(2)/2)*AQ105*AT105*VLOOKUP('Données projet'!$B$9,Paramètres!$A$1:$I$88,3,0)*0.475*44/12</f>
        <v>2.1198778915026645E-10</v>
      </c>
      <c r="AX105" s="23">
        <f t="shared" si="62"/>
        <v>3.1659539546897753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-2.2737367544323206E-13</v>
      </c>
      <c r="BE105" s="14">
        <f>BD105*VLOOKUP('Données projet'!$B$11,Paramètres!$A$1:$I$88,3,0)*VLOOKUP('Données projet'!$B$11,Paramètres!$A$1:$I$88,5,0)</f>
        <v>-1.9863364286720756E-13</v>
      </c>
      <c r="BF105" s="14" t="e">
        <f t="shared" si="99"/>
        <v>#NUM!</v>
      </c>
      <c r="BG105" s="22" t="e">
        <f t="shared" si="63"/>
        <v>#NUM!</v>
      </c>
      <c r="BH105" s="62" t="e">
        <f t="shared" si="64"/>
        <v>#NUM!</v>
      </c>
      <c r="BI105" s="62">
        <f ca="1">AVERAGE(OFFSET($BH$3,0,0,'Données projet'!$E$11+1,1))-AVERAGE(OFFSET($H$3,0,0,'Données projet'!$E$11+1,1))</f>
        <v>348.65374983303883</v>
      </c>
      <c r="BJ105" s="62">
        <f t="shared" si="65"/>
        <v>312.05848669315151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-5.6843418860808015E-14</v>
      </c>
      <c r="BZ105" s="14">
        <f>BY105*VLOOKUP('Données projet'!$B$12,Paramètres!$A$1:$I$88,3,0)*VLOOKUP('Données projet'!$B$12,Paramètres!$A$1:$I$88,5,0)</f>
        <v>-4.1677594708744434E-14</v>
      </c>
      <c r="CA105" s="14" t="e">
        <f t="shared" si="100"/>
        <v>#NUM!</v>
      </c>
      <c r="CB105" s="22" t="e">
        <f t="shared" si="67"/>
        <v>#NUM!</v>
      </c>
      <c r="CC105" s="62" t="e">
        <f t="shared" si="68"/>
        <v>#NUM!</v>
      </c>
      <c r="CD105" s="62">
        <f ca="1">AVERAGE(OFFSET($CC$3,0,0,'Données projet'!$E$12+1,1))-AVERAGE(OFFSET($H$3,0,0,'Données projet'!$E$12+1,1))</f>
        <v>264.06656596707364</v>
      </c>
      <c r="CE105" s="62">
        <f t="shared" si="69"/>
        <v>315.34415130230195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5.6843418860808015E-14</v>
      </c>
      <c r="CU105" s="18">
        <f>CT105*VLOOKUP('Données projet'!$B$13,Paramètres!$A$1:$I$88,3,0)*VLOOKUP('Données projet'!$B$13,Paramètres!$A$1:$I$88,5,0)</f>
        <v>3.3992364478763198E-14</v>
      </c>
      <c r="CV105" s="14">
        <f t="shared" si="101"/>
        <v>5.790027782444094E-13</v>
      </c>
      <c r="CW105" s="22">
        <f t="shared" si="71"/>
        <v>1.0676332069095257E-12</v>
      </c>
      <c r="CX105" s="62">
        <f t="shared" si="72"/>
        <v>293.33333333333439</v>
      </c>
      <c r="CY105" s="62">
        <f ca="1">AVERAGE(OFFSET($CX$3,0,0,'Données projet'!$E$13+1,1))-AVERAGE(OFFSET($H$3,0,0,'Données projet'!$E$13+1,1))</f>
        <v>162.29089122912319</v>
      </c>
      <c r="CZ105" s="62">
        <f t="shared" si="73"/>
        <v>253.15422514195427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2.5380431256547928</v>
      </c>
      <c r="DG105" s="23">
        <f>EXP(-LN(2)/25)*DG104+(1-EXP(-LN(2)/25))/(LN(2)/25)*Calculateur!DB105*Calculateur!DD105*VLOOKUP('Données projet'!$B$9,Paramètres!$A$1:$I$88,3,0)*0.475*44/12</f>
        <v>0.72106337469200021</v>
      </c>
      <c r="DH105" s="23">
        <f>EXP(-LN(2)/2)*DH104+(1-EXP(-LN(2)/2))/(LN(2)/2)*DB105*DE105*VLOOKUP('Données projet'!$B$9,Paramètres!$A$1:$I$88,3,0)*0.475*44/12</f>
        <v>3.399474973274162E-11</v>
      </c>
      <c r="DI105" s="24">
        <f t="shared" si="74"/>
        <v>3.2591065003807875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-5.6843418860808015E-14</v>
      </c>
      <c r="DP105" s="18">
        <f>DO105*VLOOKUP('Données projet'!$B$14,Paramètres!$A$1:$I$88,3,0)*VLOOKUP('Données projet'!$B$14,Paramètres!$A$1:$I$88,5,0)</f>
        <v>-4.5224624045658861E-14</v>
      </c>
      <c r="DQ105" s="14" t="e">
        <f t="shared" si="102"/>
        <v>#NUM!</v>
      </c>
      <c r="DR105" s="22" t="e">
        <f t="shared" si="75"/>
        <v>#NUM!</v>
      </c>
      <c r="DS105" s="62" t="e">
        <f t="shared" si="76"/>
        <v>#NUM!</v>
      </c>
      <c r="DT105" s="62">
        <f ca="1">AVERAGE(OFFSET($DS$3,0,0,'Données projet'!$E$14+1,1))-AVERAGE(OFFSET($H$3,0,0,'Données projet'!$E$14+1,1))</f>
        <v>290.20755061064017</v>
      </c>
      <c r="DU105" s="62">
        <f t="shared" si="77"/>
        <v>343.54750327717181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25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9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7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-1.1368683772161603E-13</v>
      </c>
      <c r="O106" s="14">
        <f>N106*VLOOKUP('Données projet'!$B$9,Paramètres!$A$1:$I$88,3,0)*VLOOKUP('Données projet'!$B$9,Paramètres!$A$1:$I$88,5,0)</f>
        <v>-5.3205440053716299E-14</v>
      </c>
      <c r="P106" s="14" t="e">
        <f t="shared" si="9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300.03481708703549</v>
      </c>
      <c r="T106" s="62">
        <f t="shared" si="56"/>
        <v>102.6350860969182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-2.2737367544323206E-13</v>
      </c>
      <c r="AJ106" s="14">
        <f>AI106*VLOOKUP('Données projet'!$B$10,Paramètres!$A$1:$I$88,3,0)*VLOOKUP('Données projet'!$B$10,Paramètres!$A$1:$I$88,5,0)</f>
        <v>-1.2710188457276673E-13</v>
      </c>
      <c r="AK106" s="14" t="e">
        <f t="shared" si="98"/>
        <v>#NUM!</v>
      </c>
      <c r="AL106" s="22" t="e">
        <f t="shared" si="59"/>
        <v>#NUM!</v>
      </c>
      <c r="AM106" s="62" t="e">
        <f t="shared" si="60"/>
        <v>#NUM!</v>
      </c>
      <c r="AN106" s="62">
        <f ca="1">AVERAGE(OFFSET($AM$3,0,0,'Données projet'!$E$10+1,1))-AVERAGE(OFFSET($H$3,0,0,'Données projet'!$E$10+1,1))</f>
        <v>328.27336939084597</v>
      </c>
      <c r="AO106" s="62">
        <f t="shared" si="61"/>
        <v>448.79354389108755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1.2709586568608635</v>
      </c>
      <c r="AV106" s="23">
        <f>EXP(-LN(2)/25)*AV105+(1-EXP(-LN(2)/25))/(LN(2)/25)*Calculateur!AQ106*Calculateur!AS106*VLOOKUP('Données projet'!$B$9,Paramètres!$A$1:$I$88,3,0)*0.475*44/12</f>
        <v>1.8184504774657864</v>
      </c>
      <c r="AW106" s="23">
        <f>EXP(-LN(2)/2)*AW105+(1-EXP(-LN(2)/2))/(LN(2)/2)*AQ106*AT106*VLOOKUP('Données projet'!$B$9,Paramètres!$A$1:$I$88,3,0)*0.475*44/12</f>
        <v>1.4989800323689743E-10</v>
      </c>
      <c r="AX106" s="23">
        <f t="shared" si="62"/>
        <v>3.089409134476548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-2.2737367544323206E-13</v>
      </c>
      <c r="BE106" s="14">
        <f>BD106*VLOOKUP('Données projet'!$B$11,Paramètres!$A$1:$I$88,3,0)*VLOOKUP('Données projet'!$B$11,Paramètres!$A$1:$I$88,5,0)</f>
        <v>-1.9863364286720756E-13</v>
      </c>
      <c r="BF106" s="14" t="e">
        <f t="shared" si="99"/>
        <v>#NUM!</v>
      </c>
      <c r="BG106" s="22" t="e">
        <f t="shared" si="63"/>
        <v>#NUM!</v>
      </c>
      <c r="BH106" s="62" t="e">
        <f t="shared" si="64"/>
        <v>#NUM!</v>
      </c>
      <c r="BI106" s="62">
        <f ca="1">AVERAGE(OFFSET($BH$3,0,0,'Données projet'!$E$11+1,1))-AVERAGE(OFFSET($H$3,0,0,'Données projet'!$E$11+1,1))</f>
        <v>348.65374983303883</v>
      </c>
      <c r="BJ106" s="62">
        <f t="shared" si="65"/>
        <v>312.05848669315151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-5.6843418860808015E-14</v>
      </c>
      <c r="BZ106" s="14">
        <f>BY106*VLOOKUP('Données projet'!$B$12,Paramètres!$A$1:$I$88,3,0)*VLOOKUP('Données projet'!$B$12,Paramètres!$A$1:$I$88,5,0)</f>
        <v>-4.1677594708744434E-14</v>
      </c>
      <c r="CA106" s="14" t="e">
        <f t="shared" si="100"/>
        <v>#NUM!</v>
      </c>
      <c r="CB106" s="22" t="e">
        <f t="shared" si="67"/>
        <v>#NUM!</v>
      </c>
      <c r="CC106" s="62" t="e">
        <f t="shared" si="68"/>
        <v>#NUM!</v>
      </c>
      <c r="CD106" s="62">
        <f ca="1">AVERAGE(OFFSET($CC$3,0,0,'Données projet'!$E$12+1,1))-AVERAGE(OFFSET($H$3,0,0,'Données projet'!$E$12+1,1))</f>
        <v>264.06656596707364</v>
      </c>
      <c r="CE106" s="62">
        <f t="shared" si="69"/>
        <v>315.34415130230195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5.6843418860808015E-14</v>
      </c>
      <c r="CU106" s="18">
        <f>CT106*VLOOKUP('Données projet'!$B$13,Paramètres!$A$1:$I$88,3,0)*VLOOKUP('Données projet'!$B$13,Paramètres!$A$1:$I$88,5,0)</f>
        <v>3.3992364478763198E-14</v>
      </c>
      <c r="CV106" s="14">
        <f t="shared" si="101"/>
        <v>5.790027782444094E-13</v>
      </c>
      <c r="CW106" s="22">
        <f t="shared" si="71"/>
        <v>1.0676332069095257E-12</v>
      </c>
      <c r="CX106" s="62">
        <f t="shared" si="72"/>
        <v>293.33333333333439</v>
      </c>
      <c r="CY106" s="62">
        <f ca="1">AVERAGE(OFFSET($CX$3,0,0,'Données projet'!$E$13+1,1))-AVERAGE(OFFSET($H$3,0,0,'Données projet'!$E$13+1,1))</f>
        <v>162.29089122912319</v>
      </c>
      <c r="CZ106" s="62">
        <f t="shared" si="73"/>
        <v>253.15422514195427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2.4882736480141516</v>
      </c>
      <c r="DG106" s="23">
        <f>EXP(-LN(2)/25)*DG105+(1-EXP(-LN(2)/25))/(LN(2)/25)*Calculateur!DB106*Calculateur!DD106*VLOOKUP('Données projet'!$B$9,Paramètres!$A$1:$I$88,3,0)*0.475*44/12</f>
        <v>0.70134585879197264</v>
      </c>
      <c r="DH106" s="23">
        <f>EXP(-LN(2)/2)*DH105+(1-EXP(-LN(2)/2))/(LN(2)/2)*DB106*DE106*VLOOKUP('Données projet'!$B$9,Paramètres!$A$1:$I$88,3,0)*0.475*44/12</f>
        <v>2.4037918060761174E-11</v>
      </c>
      <c r="DI106" s="24">
        <f t="shared" si="74"/>
        <v>3.1896195068301623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-5.6843418860808015E-14</v>
      </c>
      <c r="DP106" s="18">
        <f>DO106*VLOOKUP('Données projet'!$B$14,Paramètres!$A$1:$I$88,3,0)*VLOOKUP('Données projet'!$B$14,Paramètres!$A$1:$I$88,5,0)</f>
        <v>-4.5224624045658861E-14</v>
      </c>
      <c r="DQ106" s="14" t="e">
        <f t="shared" si="102"/>
        <v>#NUM!</v>
      </c>
      <c r="DR106" s="22" t="e">
        <f t="shared" si="75"/>
        <v>#NUM!</v>
      </c>
      <c r="DS106" s="62" t="e">
        <f t="shared" si="76"/>
        <v>#NUM!</v>
      </c>
      <c r="DT106" s="62">
        <f ca="1">AVERAGE(OFFSET($DS$3,0,0,'Données projet'!$E$14+1,1))-AVERAGE(OFFSET($H$3,0,0,'Données projet'!$E$14+1,1))</f>
        <v>290.20755061064017</v>
      </c>
      <c r="DU106" s="62">
        <f t="shared" si="77"/>
        <v>343.54750327717181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25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9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7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-1.1368683772161603E-13</v>
      </c>
      <c r="O107" s="14">
        <f>N107*VLOOKUP('Données projet'!$B$9,Paramètres!$A$1:$I$88,3,0)*VLOOKUP('Données projet'!$B$9,Paramètres!$A$1:$I$88,5,0)</f>
        <v>-5.3205440053716299E-14</v>
      </c>
      <c r="P107" s="14" t="e">
        <f t="shared" si="9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300.03481708703549</v>
      </c>
      <c r="T107" s="62">
        <f t="shared" si="56"/>
        <v>102.6350860969182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-2.2737367544323206E-13</v>
      </c>
      <c r="AJ107" s="14">
        <f>AI107*VLOOKUP('Données projet'!$B$10,Paramètres!$A$1:$I$88,3,0)*VLOOKUP('Données projet'!$B$10,Paramètres!$A$1:$I$88,5,0)</f>
        <v>-1.2710188457276673E-13</v>
      </c>
      <c r="AK107" s="14" t="e">
        <f t="shared" si="98"/>
        <v>#NUM!</v>
      </c>
      <c r="AL107" s="22" t="e">
        <f t="shared" si="59"/>
        <v>#NUM!</v>
      </c>
      <c r="AM107" s="62" t="e">
        <f t="shared" si="60"/>
        <v>#NUM!</v>
      </c>
      <c r="AN107" s="62">
        <f ca="1">AVERAGE(OFFSET($AM$3,0,0,'Données projet'!$E$10+1,1))-AVERAGE(OFFSET($H$3,0,0,'Données projet'!$E$10+1,1))</f>
        <v>328.27336939084597</v>
      </c>
      <c r="AO107" s="62">
        <f t="shared" si="61"/>
        <v>448.79354389108755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1.2460359328080572</v>
      </c>
      <c r="AV107" s="23">
        <f>EXP(-LN(2)/25)*AV106+(1-EXP(-LN(2)/25))/(LN(2)/25)*Calculateur!AQ107*Calculateur!AS107*VLOOKUP('Données projet'!$B$9,Paramètres!$A$1:$I$88,3,0)*0.475*44/12</f>
        <v>1.76872485353133</v>
      </c>
      <c r="AW107" s="23">
        <f>EXP(-LN(2)/2)*AW106+(1-EXP(-LN(2)/2))/(LN(2)/2)*AQ107*AT107*VLOOKUP('Données projet'!$B$9,Paramètres!$A$1:$I$88,3,0)*0.475*44/12</f>
        <v>1.0599389457513323E-10</v>
      </c>
      <c r="AX107" s="23">
        <f t="shared" si="62"/>
        <v>3.0147607864453811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-2.2737367544323206E-13</v>
      </c>
      <c r="BE107" s="14">
        <f>BD107*VLOOKUP('Données projet'!$B$11,Paramètres!$A$1:$I$88,3,0)*VLOOKUP('Données projet'!$B$11,Paramètres!$A$1:$I$88,5,0)</f>
        <v>-1.9863364286720756E-13</v>
      </c>
      <c r="BF107" s="14" t="e">
        <f t="shared" si="99"/>
        <v>#NUM!</v>
      </c>
      <c r="BG107" s="22" t="e">
        <f t="shared" si="63"/>
        <v>#NUM!</v>
      </c>
      <c r="BH107" s="62" t="e">
        <f t="shared" si="64"/>
        <v>#NUM!</v>
      </c>
      <c r="BI107" s="62">
        <f ca="1">AVERAGE(OFFSET($BH$3,0,0,'Données projet'!$E$11+1,1))-AVERAGE(OFFSET($H$3,0,0,'Données projet'!$E$11+1,1))</f>
        <v>348.65374983303883</v>
      </c>
      <c r="BJ107" s="62">
        <f t="shared" si="65"/>
        <v>312.05848669315151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-5.6843418860808015E-14</v>
      </c>
      <c r="BZ107" s="14">
        <f>BY107*VLOOKUP('Données projet'!$B$12,Paramètres!$A$1:$I$88,3,0)*VLOOKUP('Données projet'!$B$12,Paramètres!$A$1:$I$88,5,0)</f>
        <v>-4.1677594708744434E-14</v>
      </c>
      <c r="CA107" s="14" t="e">
        <f t="shared" si="100"/>
        <v>#NUM!</v>
      </c>
      <c r="CB107" s="22" t="e">
        <f t="shared" si="67"/>
        <v>#NUM!</v>
      </c>
      <c r="CC107" s="62" t="e">
        <f t="shared" si="68"/>
        <v>#NUM!</v>
      </c>
      <c r="CD107" s="62">
        <f ca="1">AVERAGE(OFFSET($CC$3,0,0,'Données projet'!$E$12+1,1))-AVERAGE(OFFSET($H$3,0,0,'Données projet'!$E$12+1,1))</f>
        <v>264.06656596707364</v>
      </c>
      <c r="CE107" s="62">
        <f t="shared" si="69"/>
        <v>315.34415130230195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5.6843418860808015E-14</v>
      </c>
      <c r="CU107" s="18">
        <f>CT107*VLOOKUP('Données projet'!$B$13,Paramètres!$A$1:$I$88,3,0)*VLOOKUP('Données projet'!$B$13,Paramètres!$A$1:$I$88,5,0)</f>
        <v>3.3992364478763198E-14</v>
      </c>
      <c r="CV107" s="14">
        <f t="shared" si="101"/>
        <v>5.790027782444094E-13</v>
      </c>
      <c r="CW107" s="22">
        <f t="shared" si="71"/>
        <v>1.0676332069095257E-12</v>
      </c>
      <c r="CX107" s="62">
        <f t="shared" si="72"/>
        <v>293.33333333333439</v>
      </c>
      <c r="CY107" s="62">
        <f ca="1">AVERAGE(OFFSET($CX$3,0,0,'Données projet'!$E$13+1,1))-AVERAGE(OFFSET($H$3,0,0,'Données projet'!$E$13+1,1))</f>
        <v>162.29089122912319</v>
      </c>
      <c r="CZ107" s="62">
        <f t="shared" si="73"/>
        <v>253.15422514195427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2.4394801194736591</v>
      </c>
      <c r="DG107" s="23">
        <f>EXP(-LN(2)/25)*DG106+(1-EXP(-LN(2)/25))/(LN(2)/25)*Calculateur!DB107*Calculateur!DD107*VLOOKUP('Données projet'!$B$9,Paramètres!$A$1:$I$88,3,0)*0.475*44/12</f>
        <v>0.68216751940113041</v>
      </c>
      <c r="DH107" s="23">
        <f>EXP(-LN(2)/2)*DH106+(1-EXP(-LN(2)/2))/(LN(2)/2)*DB107*DE107*VLOOKUP('Données projet'!$B$9,Paramètres!$A$1:$I$88,3,0)*0.475*44/12</f>
        <v>1.699737486637081E-11</v>
      </c>
      <c r="DI107" s="24">
        <f t="shared" si="74"/>
        <v>3.1216476388917869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-5.6843418860808015E-14</v>
      </c>
      <c r="DP107" s="18">
        <f>DO107*VLOOKUP('Données projet'!$B$14,Paramètres!$A$1:$I$88,3,0)*VLOOKUP('Données projet'!$B$14,Paramètres!$A$1:$I$88,5,0)</f>
        <v>-4.5224624045658861E-14</v>
      </c>
      <c r="DQ107" s="14" t="e">
        <f t="shared" si="102"/>
        <v>#NUM!</v>
      </c>
      <c r="DR107" s="22" t="e">
        <f t="shared" si="75"/>
        <v>#NUM!</v>
      </c>
      <c r="DS107" s="62" t="e">
        <f t="shared" si="76"/>
        <v>#NUM!</v>
      </c>
      <c r="DT107" s="62">
        <f ca="1">AVERAGE(OFFSET($DS$3,0,0,'Données projet'!$E$14+1,1))-AVERAGE(OFFSET($H$3,0,0,'Données projet'!$E$14+1,1))</f>
        <v>290.20755061064017</v>
      </c>
      <c r="DU107" s="62">
        <f t="shared" si="77"/>
        <v>343.54750327717181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25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9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7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-1.1368683772161603E-13</v>
      </c>
      <c r="O108" s="14">
        <f>N108*VLOOKUP('Données projet'!$B$9,Paramètres!$A$1:$I$88,3,0)*VLOOKUP('Données projet'!$B$9,Paramètres!$A$1:$I$88,5,0)</f>
        <v>-5.3205440053716299E-14</v>
      </c>
      <c r="P108" s="14" t="e">
        <f t="shared" si="9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300.03481708703549</v>
      </c>
      <c r="T108" s="62">
        <f t="shared" si="56"/>
        <v>102.6350860969182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-2.2737367544323206E-13</v>
      </c>
      <c r="AJ108" s="14">
        <f>AI108*VLOOKUP('Données projet'!$B$10,Paramètres!$A$1:$I$88,3,0)*VLOOKUP('Données projet'!$B$10,Paramètres!$A$1:$I$88,5,0)</f>
        <v>-1.2710188457276673E-13</v>
      </c>
      <c r="AK108" s="14" t="e">
        <f t="shared" si="98"/>
        <v>#NUM!</v>
      </c>
      <c r="AL108" s="22" t="e">
        <f t="shared" si="59"/>
        <v>#NUM!</v>
      </c>
      <c r="AM108" s="62" t="e">
        <f t="shared" si="60"/>
        <v>#NUM!</v>
      </c>
      <c r="AN108" s="62">
        <f ca="1">AVERAGE(OFFSET($AM$3,0,0,'Données projet'!$E$10+1,1))-AVERAGE(OFFSET($H$3,0,0,'Données projet'!$E$10+1,1))</f>
        <v>328.27336939084597</v>
      </c>
      <c r="AO108" s="62">
        <f t="shared" si="61"/>
        <v>448.79354389108755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1.2216019281725659</v>
      </c>
      <c r="AV108" s="23">
        <f>EXP(-LN(2)/25)*AV107+(1-EXP(-LN(2)/25))/(LN(2)/25)*Calculateur!AQ108*Calculateur!AS108*VLOOKUP('Données projet'!$B$9,Paramètres!$A$1:$I$88,3,0)*0.475*44/12</f>
        <v>1.7203589793983183</v>
      </c>
      <c r="AW108" s="23">
        <f>EXP(-LN(2)/2)*AW107+(1-EXP(-LN(2)/2))/(LN(2)/2)*AQ108*AT108*VLOOKUP('Données projet'!$B$9,Paramètres!$A$1:$I$88,3,0)*0.475*44/12</f>
        <v>7.4949001618448715E-11</v>
      </c>
      <c r="AX108" s="23">
        <f t="shared" si="62"/>
        <v>2.9419609076458331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-2.2737367544323206E-13</v>
      </c>
      <c r="BE108" s="14">
        <f>BD108*VLOOKUP('Données projet'!$B$11,Paramètres!$A$1:$I$88,3,0)*VLOOKUP('Données projet'!$B$11,Paramètres!$A$1:$I$88,5,0)</f>
        <v>-1.9863364286720756E-13</v>
      </c>
      <c r="BF108" s="14" t="e">
        <f t="shared" si="99"/>
        <v>#NUM!</v>
      </c>
      <c r="BG108" s="22" t="e">
        <f t="shared" si="63"/>
        <v>#NUM!</v>
      </c>
      <c r="BH108" s="62" t="e">
        <f t="shared" si="64"/>
        <v>#NUM!</v>
      </c>
      <c r="BI108" s="62">
        <f ca="1">AVERAGE(OFFSET($BH$3,0,0,'Données projet'!$E$11+1,1))-AVERAGE(OFFSET($H$3,0,0,'Données projet'!$E$11+1,1))</f>
        <v>348.65374983303883</v>
      </c>
      <c r="BJ108" s="62">
        <f t="shared" si="65"/>
        <v>312.05848669315151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-5.6843418860808015E-14</v>
      </c>
      <c r="BZ108" s="14">
        <f>BY108*VLOOKUP('Données projet'!$B$12,Paramètres!$A$1:$I$88,3,0)*VLOOKUP('Données projet'!$B$12,Paramètres!$A$1:$I$88,5,0)</f>
        <v>-4.1677594708744434E-14</v>
      </c>
      <c r="CA108" s="14" t="e">
        <f t="shared" si="100"/>
        <v>#NUM!</v>
      </c>
      <c r="CB108" s="22" t="e">
        <f t="shared" si="67"/>
        <v>#NUM!</v>
      </c>
      <c r="CC108" s="62" t="e">
        <f t="shared" si="68"/>
        <v>#NUM!</v>
      </c>
      <c r="CD108" s="62">
        <f ca="1">AVERAGE(OFFSET($CC$3,0,0,'Données projet'!$E$12+1,1))-AVERAGE(OFFSET($H$3,0,0,'Données projet'!$E$12+1,1))</f>
        <v>264.06656596707364</v>
      </c>
      <c r="CE108" s="62">
        <f t="shared" si="69"/>
        <v>315.34415130230195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5.6843418860808015E-14</v>
      </c>
      <c r="CU108" s="18">
        <f>CT108*VLOOKUP('Données projet'!$B$13,Paramètres!$A$1:$I$88,3,0)*VLOOKUP('Données projet'!$B$13,Paramètres!$A$1:$I$88,5,0)</f>
        <v>3.3992364478763198E-14</v>
      </c>
      <c r="CV108" s="14">
        <f t="shared" si="101"/>
        <v>5.790027782444094E-13</v>
      </c>
      <c r="CW108" s="22">
        <f t="shared" si="71"/>
        <v>1.0676332069095257E-12</v>
      </c>
      <c r="CX108" s="62">
        <f t="shared" si="72"/>
        <v>293.33333333333439</v>
      </c>
      <c r="CY108" s="62">
        <f ca="1">AVERAGE(OFFSET($CX$3,0,0,'Données projet'!$E$13+1,1))-AVERAGE(OFFSET($H$3,0,0,'Données projet'!$E$13+1,1))</f>
        <v>162.29089122912319</v>
      </c>
      <c r="CZ108" s="62">
        <f t="shared" si="73"/>
        <v>253.15422514195427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2.3916434022667321</v>
      </c>
      <c r="DG108" s="23">
        <f>EXP(-LN(2)/25)*DG107+(1-EXP(-LN(2)/25))/(LN(2)/25)*Calculateur!DB108*Calculateur!DD108*VLOOKUP('Données projet'!$B$9,Paramètres!$A$1:$I$88,3,0)*0.475*44/12</f>
        <v>0.66351361270947573</v>
      </c>
      <c r="DH108" s="23">
        <f>EXP(-LN(2)/2)*DH107+(1-EXP(-LN(2)/2))/(LN(2)/2)*DB108*DE108*VLOOKUP('Données projet'!$B$9,Paramètres!$A$1:$I$88,3,0)*0.475*44/12</f>
        <v>1.2018959030380587E-11</v>
      </c>
      <c r="DI108" s="24">
        <f t="shared" si="74"/>
        <v>3.0551570149882266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-5.6843418860808015E-14</v>
      </c>
      <c r="DP108" s="18">
        <f>DO108*VLOOKUP('Données projet'!$B$14,Paramètres!$A$1:$I$88,3,0)*VLOOKUP('Données projet'!$B$14,Paramètres!$A$1:$I$88,5,0)</f>
        <v>-4.5224624045658861E-14</v>
      </c>
      <c r="DQ108" s="14" t="e">
        <f t="shared" si="102"/>
        <v>#NUM!</v>
      </c>
      <c r="DR108" s="22" t="e">
        <f t="shared" si="75"/>
        <v>#NUM!</v>
      </c>
      <c r="DS108" s="62" t="e">
        <f t="shared" si="76"/>
        <v>#NUM!</v>
      </c>
      <c r="DT108" s="62">
        <f ca="1">AVERAGE(OFFSET($DS$3,0,0,'Données projet'!$E$14+1,1))-AVERAGE(OFFSET($H$3,0,0,'Données projet'!$E$14+1,1))</f>
        <v>290.20755061064017</v>
      </c>
      <c r="DU108" s="62">
        <f t="shared" si="77"/>
        <v>343.54750327717181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25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9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7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-1.1368683772161603E-13</v>
      </c>
      <c r="O109" s="14">
        <f>N109*VLOOKUP('Données projet'!$B$9,Paramètres!$A$1:$I$88,3,0)*VLOOKUP('Données projet'!$B$9,Paramètres!$A$1:$I$88,5,0)</f>
        <v>-5.3205440053716299E-14</v>
      </c>
      <c r="P109" s="14" t="e">
        <f t="shared" si="9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300.03481708703549</v>
      </c>
      <c r="T109" s="62">
        <f t="shared" si="56"/>
        <v>102.6350860969182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-2.2737367544323206E-13</v>
      </c>
      <c r="AJ109" s="14">
        <f>AI109*VLOOKUP('Données projet'!$B$10,Paramètres!$A$1:$I$88,3,0)*VLOOKUP('Données projet'!$B$10,Paramètres!$A$1:$I$88,5,0)</f>
        <v>-1.2710188457276673E-13</v>
      </c>
      <c r="AK109" s="14" t="e">
        <f t="shared" si="98"/>
        <v>#NUM!</v>
      </c>
      <c r="AL109" s="22" t="e">
        <f t="shared" si="59"/>
        <v>#NUM!</v>
      </c>
      <c r="AM109" s="62" t="e">
        <f t="shared" si="60"/>
        <v>#NUM!</v>
      </c>
      <c r="AN109" s="62">
        <f ca="1">AVERAGE(OFFSET($AM$3,0,0,'Données projet'!$E$10+1,1))-AVERAGE(OFFSET($H$3,0,0,'Données projet'!$E$10+1,1))</f>
        <v>328.27336939084597</v>
      </c>
      <c r="AO109" s="62">
        <f t="shared" si="61"/>
        <v>448.79354389108755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1.1976470594647051</v>
      </c>
      <c r="AV109" s="23">
        <f>EXP(-LN(2)/25)*AV108+(1-EXP(-LN(2)/25))/(LN(2)/25)*Calculateur!AQ109*Calculateur!AS109*VLOOKUP('Données projet'!$B$9,Paramètres!$A$1:$I$88,3,0)*0.475*44/12</f>
        <v>1.6733156726369245</v>
      </c>
      <c r="AW109" s="23">
        <f>EXP(-LN(2)/2)*AW108+(1-EXP(-LN(2)/2))/(LN(2)/2)*AQ109*AT109*VLOOKUP('Données projet'!$B$9,Paramètres!$A$1:$I$88,3,0)*0.475*44/12</f>
        <v>5.2996947287566613E-11</v>
      </c>
      <c r="AX109" s="23">
        <f t="shared" si="62"/>
        <v>2.8709627321546267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-2.2737367544323206E-13</v>
      </c>
      <c r="BE109" s="14">
        <f>BD109*VLOOKUP('Données projet'!$B$11,Paramètres!$A$1:$I$88,3,0)*VLOOKUP('Données projet'!$B$11,Paramètres!$A$1:$I$88,5,0)</f>
        <v>-1.9863364286720756E-13</v>
      </c>
      <c r="BF109" s="14" t="e">
        <f t="shared" si="99"/>
        <v>#NUM!</v>
      </c>
      <c r="BG109" s="22" t="e">
        <f t="shared" si="63"/>
        <v>#NUM!</v>
      </c>
      <c r="BH109" s="62" t="e">
        <f t="shared" si="64"/>
        <v>#NUM!</v>
      </c>
      <c r="BI109" s="62">
        <f ca="1">AVERAGE(OFFSET($BH$3,0,0,'Données projet'!$E$11+1,1))-AVERAGE(OFFSET($H$3,0,0,'Données projet'!$E$11+1,1))</f>
        <v>348.65374983303883</v>
      </c>
      <c r="BJ109" s="62">
        <f t="shared" si="65"/>
        <v>312.05848669315151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-5.6843418860808015E-14</v>
      </c>
      <c r="BZ109" s="14">
        <f>BY109*VLOOKUP('Données projet'!$B$12,Paramètres!$A$1:$I$88,3,0)*VLOOKUP('Données projet'!$B$12,Paramètres!$A$1:$I$88,5,0)</f>
        <v>-4.1677594708744434E-14</v>
      </c>
      <c r="CA109" s="14" t="e">
        <f t="shared" si="100"/>
        <v>#NUM!</v>
      </c>
      <c r="CB109" s="22" t="e">
        <f t="shared" si="67"/>
        <v>#NUM!</v>
      </c>
      <c r="CC109" s="62" t="e">
        <f t="shared" si="68"/>
        <v>#NUM!</v>
      </c>
      <c r="CD109" s="62">
        <f ca="1">AVERAGE(OFFSET($CC$3,0,0,'Données projet'!$E$12+1,1))-AVERAGE(OFFSET($H$3,0,0,'Données projet'!$E$12+1,1))</f>
        <v>264.06656596707364</v>
      </c>
      <c r="CE109" s="62">
        <f t="shared" si="69"/>
        <v>315.34415130230195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5.6843418860808015E-14</v>
      </c>
      <c r="CU109" s="18">
        <f>CT109*VLOOKUP('Données projet'!$B$13,Paramètres!$A$1:$I$88,3,0)*VLOOKUP('Données projet'!$B$13,Paramètres!$A$1:$I$88,5,0)</f>
        <v>3.3992364478763198E-14</v>
      </c>
      <c r="CV109" s="14">
        <f t="shared" si="101"/>
        <v>5.790027782444094E-13</v>
      </c>
      <c r="CW109" s="22">
        <f t="shared" si="71"/>
        <v>1.0676332069095257E-12</v>
      </c>
      <c r="CX109" s="62">
        <f t="shared" si="72"/>
        <v>293.33333333333439</v>
      </c>
      <c r="CY109" s="62">
        <f ca="1">AVERAGE(OFFSET($CX$3,0,0,'Données projet'!$E$13+1,1))-AVERAGE(OFFSET($H$3,0,0,'Données projet'!$E$13+1,1))</f>
        <v>162.29089122912319</v>
      </c>
      <c r="CZ109" s="62">
        <f t="shared" si="73"/>
        <v>253.15422514195427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2.3447447339067162</v>
      </c>
      <c r="DG109" s="23">
        <f>EXP(-LN(2)/25)*DG108+(1-EXP(-LN(2)/25))/(LN(2)/25)*Calculateur!DB109*Calculateur!DD109*VLOOKUP('Données projet'!$B$9,Paramètres!$A$1:$I$88,3,0)*0.475*44/12</f>
        <v>0.64536979807727068</v>
      </c>
      <c r="DH109" s="23">
        <f>EXP(-LN(2)/2)*DH108+(1-EXP(-LN(2)/2))/(LN(2)/2)*DB109*DE109*VLOOKUP('Données projet'!$B$9,Paramètres!$A$1:$I$88,3,0)*0.475*44/12</f>
        <v>8.4986874331854051E-12</v>
      </c>
      <c r="DI109" s="24">
        <f t="shared" si="74"/>
        <v>2.9901145319924853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-5.6843418860808015E-14</v>
      </c>
      <c r="DP109" s="18">
        <f>DO109*VLOOKUP('Données projet'!$B$14,Paramètres!$A$1:$I$88,3,0)*VLOOKUP('Données projet'!$B$14,Paramètres!$A$1:$I$88,5,0)</f>
        <v>-4.5224624045658861E-14</v>
      </c>
      <c r="DQ109" s="14" t="e">
        <f t="shared" si="102"/>
        <v>#NUM!</v>
      </c>
      <c r="DR109" s="22" t="e">
        <f t="shared" si="75"/>
        <v>#NUM!</v>
      </c>
      <c r="DS109" s="62" t="e">
        <f t="shared" si="76"/>
        <v>#NUM!</v>
      </c>
      <c r="DT109" s="62">
        <f ca="1">AVERAGE(OFFSET($DS$3,0,0,'Données projet'!$E$14+1,1))-AVERAGE(OFFSET($H$3,0,0,'Données projet'!$E$14+1,1))</f>
        <v>290.20755061064017</v>
      </c>
      <c r="DU109" s="62">
        <f t="shared" si="77"/>
        <v>343.54750327717181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25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9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7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-1.1368683772161603E-13</v>
      </c>
      <c r="O110" s="14">
        <f>N110*VLOOKUP('Données projet'!$B$9,Paramètres!$A$1:$I$88,3,0)*VLOOKUP('Données projet'!$B$9,Paramètres!$A$1:$I$88,5,0)</f>
        <v>-5.3205440053716299E-14</v>
      </c>
      <c r="P110" s="14" t="e">
        <f t="shared" si="9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300.03481708703549</v>
      </c>
      <c r="T110" s="62">
        <f t="shared" si="56"/>
        <v>102.6350860969182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-2.2737367544323206E-13</v>
      </c>
      <c r="AJ110" s="14">
        <f>AI110*VLOOKUP('Données projet'!$B$10,Paramètres!$A$1:$I$88,3,0)*VLOOKUP('Données projet'!$B$10,Paramètres!$A$1:$I$88,5,0)</f>
        <v>-1.2710188457276673E-13</v>
      </c>
      <c r="AK110" s="14" t="e">
        <f t="shared" si="98"/>
        <v>#NUM!</v>
      </c>
      <c r="AL110" s="22" t="e">
        <f t="shared" si="59"/>
        <v>#NUM!</v>
      </c>
      <c r="AM110" s="62" t="e">
        <f t="shared" si="60"/>
        <v>#NUM!</v>
      </c>
      <c r="AN110" s="62">
        <f ca="1">AVERAGE(OFFSET($AM$3,0,0,'Données projet'!$E$10+1,1))-AVERAGE(OFFSET($H$3,0,0,'Données projet'!$E$10+1,1))</f>
        <v>328.27336939084597</v>
      </c>
      <c r="AO110" s="62">
        <f t="shared" si="61"/>
        <v>448.79354389108755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1.1741619311211784</v>
      </c>
      <c r="AV110" s="23">
        <f>EXP(-LN(2)/25)*AV109+(1-EXP(-LN(2)/25))/(LN(2)/25)*Calculateur!AQ110*Calculateur!AS110*VLOOKUP('Données projet'!$B$9,Paramètres!$A$1:$I$88,3,0)*0.475*44/12</f>
        <v>1.6275587675728209</v>
      </c>
      <c r="AW110" s="23">
        <f>EXP(-LN(2)/2)*AW109+(1-EXP(-LN(2)/2))/(LN(2)/2)*AQ110*AT110*VLOOKUP('Données projet'!$B$9,Paramètres!$A$1:$I$88,3,0)*0.475*44/12</f>
        <v>3.7474500809224357E-11</v>
      </c>
      <c r="AX110" s="23">
        <f t="shared" si="62"/>
        <v>2.8017206987314736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-2.2737367544323206E-13</v>
      </c>
      <c r="BE110" s="14">
        <f>BD110*VLOOKUP('Données projet'!$B$11,Paramètres!$A$1:$I$88,3,0)*VLOOKUP('Données projet'!$B$11,Paramètres!$A$1:$I$88,5,0)</f>
        <v>-1.9863364286720756E-13</v>
      </c>
      <c r="BF110" s="14" t="e">
        <f t="shared" si="99"/>
        <v>#NUM!</v>
      </c>
      <c r="BG110" s="22" t="e">
        <f t="shared" si="63"/>
        <v>#NUM!</v>
      </c>
      <c r="BH110" s="62" t="e">
        <f t="shared" si="64"/>
        <v>#NUM!</v>
      </c>
      <c r="BI110" s="62">
        <f ca="1">AVERAGE(OFFSET($BH$3,0,0,'Données projet'!$E$11+1,1))-AVERAGE(OFFSET($H$3,0,0,'Données projet'!$E$11+1,1))</f>
        <v>348.65374983303883</v>
      </c>
      <c r="BJ110" s="62">
        <f t="shared" si="65"/>
        <v>312.05848669315151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-5.6843418860808015E-14</v>
      </c>
      <c r="BZ110" s="14">
        <f>BY110*VLOOKUP('Données projet'!$B$12,Paramètres!$A$1:$I$88,3,0)*VLOOKUP('Données projet'!$B$12,Paramètres!$A$1:$I$88,5,0)</f>
        <v>-4.1677594708744434E-14</v>
      </c>
      <c r="CA110" s="14" t="e">
        <f t="shared" si="100"/>
        <v>#NUM!</v>
      </c>
      <c r="CB110" s="22" t="e">
        <f t="shared" si="67"/>
        <v>#NUM!</v>
      </c>
      <c r="CC110" s="62" t="e">
        <f t="shared" si="68"/>
        <v>#NUM!</v>
      </c>
      <c r="CD110" s="62">
        <f ca="1">AVERAGE(OFFSET($CC$3,0,0,'Données projet'!$E$12+1,1))-AVERAGE(OFFSET($H$3,0,0,'Données projet'!$E$12+1,1))</f>
        <v>264.06656596707364</v>
      </c>
      <c r="CE110" s="62">
        <f t="shared" si="69"/>
        <v>315.34415130230195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5.6843418860808015E-14</v>
      </c>
      <c r="CU110" s="18">
        <f>CT110*VLOOKUP('Données projet'!$B$13,Paramètres!$A$1:$I$88,3,0)*VLOOKUP('Données projet'!$B$13,Paramètres!$A$1:$I$88,5,0)</f>
        <v>3.3992364478763198E-14</v>
      </c>
      <c r="CV110" s="14">
        <f t="shared" si="101"/>
        <v>5.790027782444094E-13</v>
      </c>
      <c r="CW110" s="22">
        <f t="shared" si="71"/>
        <v>1.0676332069095257E-12</v>
      </c>
      <c r="CX110" s="62">
        <f t="shared" si="72"/>
        <v>293.33333333333439</v>
      </c>
      <c r="CY110" s="62">
        <f ca="1">AVERAGE(OFFSET($CX$3,0,0,'Données projet'!$E$13+1,1))-AVERAGE(OFFSET($H$3,0,0,'Données projet'!$E$13+1,1))</f>
        <v>162.29089122912319</v>
      </c>
      <c r="CZ110" s="62">
        <f t="shared" si="73"/>
        <v>253.15422514195427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2.2987657198278773</v>
      </c>
      <c r="DG110" s="23">
        <f>EXP(-LN(2)/25)*DG109+(1-EXP(-LN(2)/25))/(LN(2)/25)*Calculateur!DB110*Calculateur!DD110*VLOOKUP('Données projet'!$B$9,Paramètres!$A$1:$I$88,3,0)*0.475*44/12</f>
        <v>0.62772212701032504</v>
      </c>
      <c r="DH110" s="23">
        <f>EXP(-LN(2)/2)*DH109+(1-EXP(-LN(2)/2))/(LN(2)/2)*DB110*DE110*VLOOKUP('Données projet'!$B$9,Paramètres!$A$1:$I$88,3,0)*0.475*44/12</f>
        <v>6.0094795151902935E-12</v>
      </c>
      <c r="DI110" s="24">
        <f t="shared" si="74"/>
        <v>2.9264878468442115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-5.6843418860808015E-14</v>
      </c>
      <c r="DP110" s="18">
        <f>DO110*VLOOKUP('Données projet'!$B$14,Paramètres!$A$1:$I$88,3,0)*VLOOKUP('Données projet'!$B$14,Paramètres!$A$1:$I$88,5,0)</f>
        <v>-4.5224624045658861E-14</v>
      </c>
      <c r="DQ110" s="14" t="e">
        <f t="shared" si="102"/>
        <v>#NUM!</v>
      </c>
      <c r="DR110" s="22" t="e">
        <f t="shared" si="75"/>
        <v>#NUM!</v>
      </c>
      <c r="DS110" s="62" t="e">
        <f t="shared" si="76"/>
        <v>#NUM!</v>
      </c>
      <c r="DT110" s="62">
        <f ca="1">AVERAGE(OFFSET($DS$3,0,0,'Données projet'!$E$14+1,1))-AVERAGE(OFFSET($H$3,0,0,'Données projet'!$E$14+1,1))</f>
        <v>290.20755061064017</v>
      </c>
      <c r="DU110" s="62">
        <f t="shared" si="77"/>
        <v>343.54750327717181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25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9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7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-1.1368683772161603E-13</v>
      </c>
      <c r="O111" s="14">
        <f>N111*VLOOKUP('Données projet'!$B$9,Paramètres!$A$1:$I$88,3,0)*VLOOKUP('Données projet'!$B$9,Paramètres!$A$1:$I$88,5,0)</f>
        <v>-5.3205440053716299E-14</v>
      </c>
      <c r="P111" s="14" t="e">
        <f t="shared" si="9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300.03481708703549</v>
      </c>
      <c r="T111" s="62">
        <f t="shared" si="56"/>
        <v>102.6350860969182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-2.2737367544323206E-13</v>
      </c>
      <c r="AJ111" s="14">
        <f>AI111*VLOOKUP('Données projet'!$B$10,Paramètres!$A$1:$I$88,3,0)*VLOOKUP('Données projet'!$B$10,Paramètres!$A$1:$I$88,5,0)</f>
        <v>-1.2710188457276673E-13</v>
      </c>
      <c r="AK111" s="14" t="e">
        <f t="shared" si="98"/>
        <v>#NUM!</v>
      </c>
      <c r="AL111" s="22" t="e">
        <f t="shared" si="59"/>
        <v>#NUM!</v>
      </c>
      <c r="AM111" s="62" t="e">
        <f t="shared" si="60"/>
        <v>#NUM!</v>
      </c>
      <c r="AN111" s="62">
        <f ca="1">AVERAGE(OFFSET($AM$3,0,0,'Données projet'!$E$10+1,1))-AVERAGE(OFFSET($H$3,0,0,'Données projet'!$E$10+1,1))</f>
        <v>328.27336939084597</v>
      </c>
      <c r="AO111" s="62">
        <f t="shared" si="61"/>
        <v>448.79354389108755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1.1511373318199543</v>
      </c>
      <c r="AV111" s="23">
        <f>EXP(-LN(2)/25)*AV110+(1-EXP(-LN(2)/25))/(LN(2)/25)*Calculateur!AQ111*Calculateur!AS111*VLOOKUP('Données projet'!$B$9,Paramètres!$A$1:$I$88,3,0)*0.475*44/12</f>
        <v>1.5830530874839464</v>
      </c>
      <c r="AW111" s="23">
        <f>EXP(-LN(2)/2)*AW110+(1-EXP(-LN(2)/2))/(LN(2)/2)*AQ111*AT111*VLOOKUP('Données projet'!$B$9,Paramètres!$A$1:$I$88,3,0)*0.475*44/12</f>
        <v>2.6498473643783306E-11</v>
      </c>
      <c r="AX111" s="23">
        <f t="shared" si="62"/>
        <v>2.7341904193303992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-2.2737367544323206E-13</v>
      </c>
      <c r="BE111" s="14">
        <f>BD111*VLOOKUP('Données projet'!$B$11,Paramètres!$A$1:$I$88,3,0)*VLOOKUP('Données projet'!$B$11,Paramètres!$A$1:$I$88,5,0)</f>
        <v>-1.9863364286720756E-13</v>
      </c>
      <c r="BF111" s="14" t="e">
        <f t="shared" si="99"/>
        <v>#NUM!</v>
      </c>
      <c r="BG111" s="22" t="e">
        <f t="shared" si="63"/>
        <v>#NUM!</v>
      </c>
      <c r="BH111" s="62" t="e">
        <f t="shared" si="64"/>
        <v>#NUM!</v>
      </c>
      <c r="BI111" s="62">
        <f ca="1">AVERAGE(OFFSET($BH$3,0,0,'Données projet'!$E$11+1,1))-AVERAGE(OFFSET($H$3,0,0,'Données projet'!$E$11+1,1))</f>
        <v>348.65374983303883</v>
      </c>
      <c r="BJ111" s="62">
        <f t="shared" si="65"/>
        <v>312.05848669315151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-5.6843418860808015E-14</v>
      </c>
      <c r="BZ111" s="14">
        <f>BY111*VLOOKUP('Données projet'!$B$12,Paramètres!$A$1:$I$88,3,0)*VLOOKUP('Données projet'!$B$12,Paramètres!$A$1:$I$88,5,0)</f>
        <v>-4.1677594708744434E-14</v>
      </c>
      <c r="CA111" s="14" t="e">
        <f t="shared" si="100"/>
        <v>#NUM!</v>
      </c>
      <c r="CB111" s="22" t="e">
        <f t="shared" si="67"/>
        <v>#NUM!</v>
      </c>
      <c r="CC111" s="62" t="e">
        <f t="shared" si="68"/>
        <v>#NUM!</v>
      </c>
      <c r="CD111" s="62">
        <f ca="1">AVERAGE(OFFSET($CC$3,0,0,'Données projet'!$E$12+1,1))-AVERAGE(OFFSET($H$3,0,0,'Données projet'!$E$12+1,1))</f>
        <v>264.06656596707364</v>
      </c>
      <c r="CE111" s="62">
        <f t="shared" si="69"/>
        <v>315.34415130230195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5.6843418860808015E-14</v>
      </c>
      <c r="CU111" s="18">
        <f>CT111*VLOOKUP('Données projet'!$B$13,Paramètres!$A$1:$I$88,3,0)*VLOOKUP('Données projet'!$B$13,Paramètres!$A$1:$I$88,5,0)</f>
        <v>3.3992364478763198E-14</v>
      </c>
      <c r="CV111" s="14">
        <f t="shared" si="101"/>
        <v>5.790027782444094E-13</v>
      </c>
      <c r="CW111" s="22">
        <f t="shared" si="71"/>
        <v>1.0676332069095257E-12</v>
      </c>
      <c r="CX111" s="62">
        <f t="shared" si="72"/>
        <v>293.33333333333439</v>
      </c>
      <c r="CY111" s="62">
        <f ca="1">AVERAGE(OFFSET($CX$3,0,0,'Données projet'!$E$13+1,1))-AVERAGE(OFFSET($H$3,0,0,'Données projet'!$E$13+1,1))</f>
        <v>162.29089122912319</v>
      </c>
      <c r="CZ111" s="62">
        <f t="shared" si="73"/>
        <v>253.15422514195427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2.2536883261706948</v>
      </c>
      <c r="DG111" s="23">
        <f>EXP(-LN(2)/25)*DG110+(1-EXP(-LN(2)/25))/(LN(2)/25)*Calculateur!DB111*Calculateur!DD111*VLOOKUP('Données projet'!$B$9,Paramètres!$A$1:$I$88,3,0)*0.475*44/12</f>
        <v>0.61055703243675574</v>
      </c>
      <c r="DH111" s="23">
        <f>EXP(-LN(2)/2)*DH110+(1-EXP(-LN(2)/2))/(LN(2)/2)*DB111*DE111*VLOOKUP('Données projet'!$B$9,Paramètres!$A$1:$I$88,3,0)*0.475*44/12</f>
        <v>4.2493437165927025E-12</v>
      </c>
      <c r="DI111" s="24">
        <f t="shared" si="74"/>
        <v>2.8642453586117003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-5.6843418860808015E-14</v>
      </c>
      <c r="DP111" s="18">
        <f>DO111*VLOOKUP('Données projet'!$B$14,Paramètres!$A$1:$I$88,3,0)*VLOOKUP('Données projet'!$B$14,Paramètres!$A$1:$I$88,5,0)</f>
        <v>-4.5224624045658861E-14</v>
      </c>
      <c r="DQ111" s="14" t="e">
        <f t="shared" si="102"/>
        <v>#NUM!</v>
      </c>
      <c r="DR111" s="22" t="e">
        <f t="shared" si="75"/>
        <v>#NUM!</v>
      </c>
      <c r="DS111" s="62" t="e">
        <f t="shared" si="76"/>
        <v>#NUM!</v>
      </c>
      <c r="DT111" s="62">
        <f ca="1">AVERAGE(OFFSET($DS$3,0,0,'Données projet'!$E$14+1,1))-AVERAGE(OFFSET($H$3,0,0,'Données projet'!$E$14+1,1))</f>
        <v>290.20755061064017</v>
      </c>
      <c r="DU111" s="62">
        <f t="shared" si="77"/>
        <v>343.54750327717181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25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9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7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-1.1368683772161603E-13</v>
      </c>
      <c r="O112" s="14">
        <f>N112*VLOOKUP('Données projet'!$B$9,Paramètres!$A$1:$I$88,3,0)*VLOOKUP('Données projet'!$B$9,Paramètres!$A$1:$I$88,5,0)</f>
        <v>-5.3205440053716299E-14</v>
      </c>
      <c r="P112" s="14" t="e">
        <f t="shared" si="9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300.03481708703549</v>
      </c>
      <c r="T112" s="62">
        <f t="shared" si="56"/>
        <v>102.6350860969182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-2.2737367544323206E-13</v>
      </c>
      <c r="AJ112" s="14">
        <f>AI112*VLOOKUP('Données projet'!$B$10,Paramètres!$A$1:$I$88,3,0)*VLOOKUP('Données projet'!$B$10,Paramètres!$A$1:$I$88,5,0)</f>
        <v>-1.2710188457276673E-13</v>
      </c>
      <c r="AK112" s="14" t="e">
        <f t="shared" si="98"/>
        <v>#NUM!</v>
      </c>
      <c r="AL112" s="22" t="e">
        <f t="shared" si="59"/>
        <v>#NUM!</v>
      </c>
      <c r="AM112" s="62" t="e">
        <f t="shared" si="60"/>
        <v>#NUM!</v>
      </c>
      <c r="AN112" s="62">
        <f ca="1">AVERAGE(OFFSET($AM$3,0,0,'Données projet'!$E$10+1,1))-AVERAGE(OFFSET($H$3,0,0,'Données projet'!$E$10+1,1))</f>
        <v>328.27336939084597</v>
      </c>
      <c r="AO112" s="62">
        <f t="shared" si="61"/>
        <v>448.79354389108755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1.1285642308674084</v>
      </c>
      <c r="AV112" s="23">
        <f>EXP(-LN(2)/25)*AV111+(1-EXP(-LN(2)/25))/(LN(2)/25)*Calculateur!AQ112*Calculateur!AS112*VLOOKUP('Données projet'!$B$9,Paramètres!$A$1:$I$88,3,0)*0.475*44/12</f>
        <v>1.539764417557554</v>
      </c>
      <c r="AW112" s="23">
        <f>EXP(-LN(2)/2)*AW111+(1-EXP(-LN(2)/2))/(LN(2)/2)*AQ112*AT112*VLOOKUP('Données projet'!$B$9,Paramètres!$A$1:$I$88,3,0)*0.475*44/12</f>
        <v>1.8737250404612179E-11</v>
      </c>
      <c r="AX112" s="23">
        <f t="shared" si="62"/>
        <v>2.6683286484436999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-2.2737367544323206E-13</v>
      </c>
      <c r="BE112" s="14">
        <f>BD112*VLOOKUP('Données projet'!$B$11,Paramètres!$A$1:$I$88,3,0)*VLOOKUP('Données projet'!$B$11,Paramètres!$A$1:$I$88,5,0)</f>
        <v>-1.9863364286720756E-13</v>
      </c>
      <c r="BF112" s="14" t="e">
        <f t="shared" si="99"/>
        <v>#NUM!</v>
      </c>
      <c r="BG112" s="22" t="e">
        <f t="shared" si="63"/>
        <v>#NUM!</v>
      </c>
      <c r="BH112" s="62" t="e">
        <f t="shared" si="64"/>
        <v>#NUM!</v>
      </c>
      <c r="BI112" s="62">
        <f ca="1">AVERAGE(OFFSET($BH$3,0,0,'Données projet'!$E$11+1,1))-AVERAGE(OFFSET($H$3,0,0,'Données projet'!$E$11+1,1))</f>
        <v>348.65374983303883</v>
      </c>
      <c r="BJ112" s="62">
        <f t="shared" si="65"/>
        <v>312.05848669315151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-5.6843418860808015E-14</v>
      </c>
      <c r="BZ112" s="14">
        <f>BY112*VLOOKUP('Données projet'!$B$12,Paramètres!$A$1:$I$88,3,0)*VLOOKUP('Données projet'!$B$12,Paramètres!$A$1:$I$88,5,0)</f>
        <v>-4.1677594708744434E-14</v>
      </c>
      <c r="CA112" s="14" t="e">
        <f t="shared" si="100"/>
        <v>#NUM!</v>
      </c>
      <c r="CB112" s="22" t="e">
        <f t="shared" si="67"/>
        <v>#NUM!</v>
      </c>
      <c r="CC112" s="62" t="e">
        <f t="shared" si="68"/>
        <v>#NUM!</v>
      </c>
      <c r="CD112" s="62">
        <f ca="1">AVERAGE(OFFSET($CC$3,0,0,'Données projet'!$E$12+1,1))-AVERAGE(OFFSET($H$3,0,0,'Données projet'!$E$12+1,1))</f>
        <v>264.06656596707364</v>
      </c>
      <c r="CE112" s="62">
        <f t="shared" si="69"/>
        <v>315.34415130230195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5.6843418860808015E-14</v>
      </c>
      <c r="CU112" s="18">
        <f>CT112*VLOOKUP('Données projet'!$B$13,Paramètres!$A$1:$I$88,3,0)*VLOOKUP('Données projet'!$B$13,Paramètres!$A$1:$I$88,5,0)</f>
        <v>3.3992364478763198E-14</v>
      </c>
      <c r="CV112" s="14">
        <f t="shared" si="101"/>
        <v>5.790027782444094E-13</v>
      </c>
      <c r="CW112" s="22">
        <f t="shared" si="71"/>
        <v>1.0676332069095257E-12</v>
      </c>
      <c r="CX112" s="62">
        <f t="shared" si="72"/>
        <v>293.33333333333439</v>
      </c>
      <c r="CY112" s="62">
        <f ca="1">AVERAGE(OFFSET($CX$3,0,0,'Données projet'!$E$13+1,1))-AVERAGE(OFFSET($H$3,0,0,'Données projet'!$E$13+1,1))</f>
        <v>162.29089122912319</v>
      </c>
      <c r="CZ112" s="62">
        <f t="shared" si="73"/>
        <v>253.15422514195427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2.2094948727086345</v>
      </c>
      <c r="DG112" s="23">
        <f>EXP(-LN(2)/25)*DG111+(1-EXP(-LN(2)/25))/(LN(2)/25)*Calculateur!DB112*Calculateur!DD112*VLOOKUP('Données projet'!$B$9,Paramètres!$A$1:$I$88,3,0)*0.475*44/12</f>
        <v>0.59386131827697375</v>
      </c>
      <c r="DH112" s="23">
        <f>EXP(-LN(2)/2)*DH111+(1-EXP(-LN(2)/2))/(LN(2)/2)*DB112*DE112*VLOOKUP('Données projet'!$B$9,Paramètres!$A$1:$I$88,3,0)*0.475*44/12</f>
        <v>3.0047397575951468E-12</v>
      </c>
      <c r="DI112" s="24">
        <f t="shared" si="74"/>
        <v>2.8033561909886129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-5.6843418860808015E-14</v>
      </c>
      <c r="DP112" s="18">
        <f>DO112*VLOOKUP('Données projet'!$B$14,Paramètres!$A$1:$I$88,3,0)*VLOOKUP('Données projet'!$B$14,Paramètres!$A$1:$I$88,5,0)</f>
        <v>-4.5224624045658861E-14</v>
      </c>
      <c r="DQ112" s="14" t="e">
        <f t="shared" si="102"/>
        <v>#NUM!</v>
      </c>
      <c r="DR112" s="22" t="e">
        <f t="shared" si="75"/>
        <v>#NUM!</v>
      </c>
      <c r="DS112" s="62" t="e">
        <f t="shared" si="76"/>
        <v>#NUM!</v>
      </c>
      <c r="DT112" s="62">
        <f ca="1">AVERAGE(OFFSET($DS$3,0,0,'Données projet'!$E$14+1,1))-AVERAGE(OFFSET($H$3,0,0,'Données projet'!$E$14+1,1))</f>
        <v>290.20755061064017</v>
      </c>
      <c r="DU112" s="62">
        <f t="shared" si="77"/>
        <v>343.54750327717181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25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9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7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-1.1368683772161603E-13</v>
      </c>
      <c r="O113" s="14">
        <f>N113*VLOOKUP('Données projet'!$B$9,Paramètres!$A$1:$I$88,3,0)*VLOOKUP('Données projet'!$B$9,Paramètres!$A$1:$I$88,5,0)</f>
        <v>-5.3205440053716299E-14</v>
      </c>
      <c r="P113" s="14" t="e">
        <f t="shared" si="9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300.03481708703549</v>
      </c>
      <c r="T113" s="62">
        <f t="shared" si="56"/>
        <v>102.6350860969182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-2.2737367544323206E-13</v>
      </c>
      <c r="AJ113" s="14">
        <f>AI113*VLOOKUP('Données projet'!$B$10,Paramètres!$A$1:$I$88,3,0)*VLOOKUP('Données projet'!$B$10,Paramètres!$A$1:$I$88,5,0)</f>
        <v>-1.2710188457276673E-13</v>
      </c>
      <c r="AK113" s="14" t="e">
        <f t="shared" si="98"/>
        <v>#NUM!</v>
      </c>
      <c r="AL113" s="22" t="e">
        <f t="shared" si="59"/>
        <v>#NUM!</v>
      </c>
      <c r="AM113" s="62" t="e">
        <f t="shared" si="60"/>
        <v>#NUM!</v>
      </c>
      <c r="AN113" s="62">
        <f ca="1">AVERAGE(OFFSET($AM$3,0,0,'Données projet'!$E$10+1,1))-AVERAGE(OFFSET($H$3,0,0,'Données projet'!$E$10+1,1))</f>
        <v>328.27336939084597</v>
      </c>
      <c r="AO113" s="62">
        <f t="shared" si="61"/>
        <v>448.79354389108755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1.1064337746563098</v>
      </c>
      <c r="AV113" s="23">
        <f>EXP(-LN(2)/25)*AV112+(1-EXP(-LN(2)/25))/(LN(2)/25)*Calculateur!AQ113*Calculateur!AS113*VLOOKUP('Données projet'!$B$9,Paramètres!$A$1:$I$88,3,0)*0.475*44/12</f>
        <v>1.4976594785867512</v>
      </c>
      <c r="AW113" s="23">
        <f>EXP(-LN(2)/2)*AW112+(1-EXP(-LN(2)/2))/(LN(2)/2)*AQ113*AT113*VLOOKUP('Données projet'!$B$9,Paramètres!$A$1:$I$88,3,0)*0.475*44/12</f>
        <v>1.3249236821891653E-11</v>
      </c>
      <c r="AX113" s="23">
        <f t="shared" si="62"/>
        <v>2.6040932532563104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-2.2737367544323206E-13</v>
      </c>
      <c r="BE113" s="14">
        <f>BD113*VLOOKUP('Données projet'!$B$11,Paramètres!$A$1:$I$88,3,0)*VLOOKUP('Données projet'!$B$11,Paramètres!$A$1:$I$88,5,0)</f>
        <v>-1.9863364286720756E-13</v>
      </c>
      <c r="BF113" s="14" t="e">
        <f t="shared" si="99"/>
        <v>#NUM!</v>
      </c>
      <c r="BG113" s="22" t="e">
        <f t="shared" si="63"/>
        <v>#NUM!</v>
      </c>
      <c r="BH113" s="62" t="e">
        <f t="shared" si="64"/>
        <v>#NUM!</v>
      </c>
      <c r="BI113" s="62">
        <f ca="1">AVERAGE(OFFSET($BH$3,0,0,'Données projet'!$E$11+1,1))-AVERAGE(OFFSET($H$3,0,0,'Données projet'!$E$11+1,1))</f>
        <v>348.65374983303883</v>
      </c>
      <c r="BJ113" s="62">
        <f t="shared" si="65"/>
        <v>312.05848669315151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-5.6843418860808015E-14</v>
      </c>
      <c r="BZ113" s="14">
        <f>BY113*VLOOKUP('Données projet'!$B$12,Paramètres!$A$1:$I$88,3,0)*VLOOKUP('Données projet'!$B$12,Paramètres!$A$1:$I$88,5,0)</f>
        <v>-4.1677594708744434E-14</v>
      </c>
      <c r="CA113" s="14" t="e">
        <f t="shared" si="100"/>
        <v>#NUM!</v>
      </c>
      <c r="CB113" s="22" t="e">
        <f t="shared" si="67"/>
        <v>#NUM!</v>
      </c>
      <c r="CC113" s="62" t="e">
        <f t="shared" si="68"/>
        <v>#NUM!</v>
      </c>
      <c r="CD113" s="62">
        <f ca="1">AVERAGE(OFFSET($CC$3,0,0,'Données projet'!$E$12+1,1))-AVERAGE(OFFSET($H$3,0,0,'Données projet'!$E$12+1,1))</f>
        <v>264.06656596707364</v>
      </c>
      <c r="CE113" s="62">
        <f t="shared" si="69"/>
        <v>315.34415130230195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5.6843418860808015E-14</v>
      </c>
      <c r="CU113" s="18">
        <f>CT113*VLOOKUP('Données projet'!$B$13,Paramètres!$A$1:$I$88,3,0)*VLOOKUP('Données projet'!$B$13,Paramètres!$A$1:$I$88,5,0)</f>
        <v>3.3992364478763198E-14</v>
      </c>
      <c r="CV113" s="14">
        <f t="shared" si="101"/>
        <v>5.790027782444094E-13</v>
      </c>
      <c r="CW113" s="22">
        <f t="shared" si="71"/>
        <v>1.0676332069095257E-12</v>
      </c>
      <c r="CX113" s="62">
        <f t="shared" si="72"/>
        <v>293.33333333333439</v>
      </c>
      <c r="CY113" s="62">
        <f ca="1">AVERAGE(OFFSET($CX$3,0,0,'Données projet'!$E$13+1,1))-AVERAGE(OFFSET($H$3,0,0,'Données projet'!$E$13+1,1))</f>
        <v>162.29089122912319</v>
      </c>
      <c r="CZ113" s="62">
        <f t="shared" si="73"/>
        <v>253.15422514195427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2.1661680259136205</v>
      </c>
      <c r="DG113" s="23">
        <f>EXP(-LN(2)/25)*DG112+(1-EXP(-LN(2)/25))/(LN(2)/25)*Calculateur!DB113*Calculateur!DD113*VLOOKUP('Données projet'!$B$9,Paramètres!$A$1:$I$88,3,0)*0.475*44/12</f>
        <v>0.57762214929888045</v>
      </c>
      <c r="DH113" s="23">
        <f>EXP(-LN(2)/2)*DH112+(1-EXP(-LN(2)/2))/(LN(2)/2)*DB113*DE113*VLOOKUP('Données projet'!$B$9,Paramètres!$A$1:$I$88,3,0)*0.475*44/12</f>
        <v>2.1246718582963513E-12</v>
      </c>
      <c r="DI113" s="24">
        <f t="shared" si="74"/>
        <v>2.7437901752146256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-5.6843418860808015E-14</v>
      </c>
      <c r="DP113" s="18">
        <f>DO113*VLOOKUP('Données projet'!$B$14,Paramètres!$A$1:$I$88,3,0)*VLOOKUP('Données projet'!$B$14,Paramètres!$A$1:$I$88,5,0)</f>
        <v>-4.5224624045658861E-14</v>
      </c>
      <c r="DQ113" s="14" t="e">
        <f t="shared" si="102"/>
        <v>#NUM!</v>
      </c>
      <c r="DR113" s="22" t="e">
        <f t="shared" si="75"/>
        <v>#NUM!</v>
      </c>
      <c r="DS113" s="62" t="e">
        <f t="shared" si="76"/>
        <v>#NUM!</v>
      </c>
      <c r="DT113" s="62">
        <f ca="1">AVERAGE(OFFSET($DS$3,0,0,'Données projet'!$E$14+1,1))-AVERAGE(OFFSET($H$3,0,0,'Données projet'!$E$14+1,1))</f>
        <v>290.20755061064017</v>
      </c>
      <c r="DU113" s="62">
        <f t="shared" si="77"/>
        <v>343.54750327717181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25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9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7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-1.1368683772161603E-13</v>
      </c>
      <c r="O114" s="14">
        <f>N114*VLOOKUP('Données projet'!$B$9,Paramètres!$A$1:$I$88,3,0)*VLOOKUP('Données projet'!$B$9,Paramètres!$A$1:$I$88,5,0)</f>
        <v>-5.3205440053716299E-14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300.03481708703549</v>
      </c>
      <c r="T114" s="62">
        <f t="shared" si="56"/>
        <v>102.6350860969182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-2.2737367544323206E-13</v>
      </c>
      <c r="AJ114" s="14">
        <f>AI114*VLOOKUP('Données projet'!$B$10,Paramètres!$A$1:$I$88,3,0)*VLOOKUP('Données projet'!$B$10,Paramètres!$A$1:$I$88,5,0)</f>
        <v>-1.2710188457276673E-13</v>
      </c>
      <c r="AK114" s="14" t="e">
        <f t="shared" si="98"/>
        <v>#NUM!</v>
      </c>
      <c r="AL114" s="22" t="e">
        <f t="shared" si="59"/>
        <v>#NUM!</v>
      </c>
      <c r="AM114" s="62" t="e">
        <f t="shared" si="60"/>
        <v>#NUM!</v>
      </c>
      <c r="AN114" s="62">
        <f ca="1">AVERAGE(OFFSET($AM$3,0,0,'Données projet'!$E$10+1,1))-AVERAGE(OFFSET($H$3,0,0,'Données projet'!$E$10+1,1))</f>
        <v>328.27336939084597</v>
      </c>
      <c r="AO114" s="62">
        <f t="shared" si="61"/>
        <v>448.79354389108755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1.0847372831932653</v>
      </c>
      <c r="AV114" s="23">
        <f>EXP(-LN(2)/25)*AV113+(1-EXP(-LN(2)/25))/(LN(2)/25)*Calculateur!AQ114*Calculateur!AS114*VLOOKUP('Données projet'!$B$9,Paramètres!$A$1:$I$88,3,0)*0.475*44/12</f>
        <v>1.4567059013863075</v>
      </c>
      <c r="AW114" s="23">
        <f>EXP(-LN(2)/2)*AW113+(1-EXP(-LN(2)/2))/(LN(2)/2)*AQ114*AT114*VLOOKUP('Données projet'!$B$9,Paramètres!$A$1:$I$88,3,0)*0.475*44/12</f>
        <v>9.3686252023060894E-12</v>
      </c>
      <c r="AX114" s="23">
        <f t="shared" si="62"/>
        <v>2.5414431845889416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-2.2737367544323206E-13</v>
      </c>
      <c r="BE114" s="14">
        <f>BD114*VLOOKUP('Données projet'!$B$11,Paramètres!$A$1:$I$88,3,0)*VLOOKUP('Données projet'!$B$11,Paramètres!$A$1:$I$88,5,0)</f>
        <v>-1.9863364286720756E-13</v>
      </c>
      <c r="BF114" s="14" t="e">
        <f t="shared" si="99"/>
        <v>#NUM!</v>
      </c>
      <c r="BG114" s="22" t="e">
        <f t="shared" si="63"/>
        <v>#NUM!</v>
      </c>
      <c r="BH114" s="62" t="e">
        <f t="shared" si="64"/>
        <v>#NUM!</v>
      </c>
      <c r="BI114" s="62">
        <f ca="1">AVERAGE(OFFSET($BH$3,0,0,'Données projet'!$E$11+1,1))-AVERAGE(OFFSET($H$3,0,0,'Données projet'!$E$11+1,1))</f>
        <v>348.65374983303883</v>
      </c>
      <c r="BJ114" s="62">
        <f t="shared" si="65"/>
        <v>312.05848669315151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-5.6843418860808015E-14</v>
      </c>
      <c r="BZ114" s="14">
        <f>BY114*VLOOKUP('Données projet'!$B$12,Paramètres!$A$1:$I$88,3,0)*VLOOKUP('Données projet'!$B$12,Paramètres!$A$1:$I$88,5,0)</f>
        <v>-4.1677594708744434E-14</v>
      </c>
      <c r="CA114" s="14" t="e">
        <f t="shared" si="100"/>
        <v>#NUM!</v>
      </c>
      <c r="CB114" s="22" t="e">
        <f t="shared" si="67"/>
        <v>#NUM!</v>
      </c>
      <c r="CC114" s="62" t="e">
        <f t="shared" si="68"/>
        <v>#NUM!</v>
      </c>
      <c r="CD114" s="62">
        <f ca="1">AVERAGE(OFFSET($CC$3,0,0,'Données projet'!$E$12+1,1))-AVERAGE(OFFSET($H$3,0,0,'Données projet'!$E$12+1,1))</f>
        <v>264.06656596707364</v>
      </c>
      <c r="CE114" s="62">
        <f t="shared" si="69"/>
        <v>315.34415130230195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5.6843418860808015E-14</v>
      </c>
      <c r="CU114" s="18">
        <f>CT114*VLOOKUP('Données projet'!$B$13,Paramètres!$A$1:$I$88,3,0)*VLOOKUP('Données projet'!$B$13,Paramètres!$A$1:$I$88,5,0)</f>
        <v>3.3992364478763198E-14</v>
      </c>
      <c r="CV114" s="14">
        <f t="shared" si="101"/>
        <v>5.790027782444094E-13</v>
      </c>
      <c r="CW114" s="22">
        <f t="shared" si="71"/>
        <v>1.0676332069095257E-12</v>
      </c>
      <c r="CX114" s="62">
        <f t="shared" si="72"/>
        <v>293.33333333333439</v>
      </c>
      <c r="CY114" s="62">
        <f ca="1">AVERAGE(OFFSET($CX$3,0,0,'Données projet'!$E$13+1,1))-AVERAGE(OFFSET($H$3,0,0,'Données projet'!$E$13+1,1))</f>
        <v>162.29089122912319</v>
      </c>
      <c r="CZ114" s="62">
        <f t="shared" si="73"/>
        <v>253.15422514195427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2.1236907921574892</v>
      </c>
      <c r="DG114" s="23">
        <f>EXP(-LN(2)/25)*DG113+(1-EXP(-LN(2)/25))/(LN(2)/25)*Calculateur!DB114*Calculateur!DD114*VLOOKUP('Données projet'!$B$9,Paramètres!$A$1:$I$88,3,0)*0.475*44/12</f>
        <v>0.56182704125047389</v>
      </c>
      <c r="DH114" s="23">
        <f>EXP(-LN(2)/2)*DH113+(1-EXP(-LN(2)/2))/(LN(2)/2)*DB114*DE114*VLOOKUP('Données projet'!$B$9,Paramètres!$A$1:$I$88,3,0)*0.475*44/12</f>
        <v>1.5023698787975734E-12</v>
      </c>
      <c r="DI114" s="24">
        <f t="shared" si="74"/>
        <v>2.6855178334094654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-5.6843418860808015E-14</v>
      </c>
      <c r="DP114" s="18">
        <f>DO114*VLOOKUP('Données projet'!$B$14,Paramètres!$A$1:$I$88,3,0)*VLOOKUP('Données projet'!$B$14,Paramètres!$A$1:$I$88,5,0)</f>
        <v>-4.5224624045658861E-14</v>
      </c>
      <c r="DQ114" s="14" t="e">
        <f t="shared" si="102"/>
        <v>#NUM!</v>
      </c>
      <c r="DR114" s="22" t="e">
        <f t="shared" si="75"/>
        <v>#NUM!</v>
      </c>
      <c r="DS114" s="62" t="e">
        <f t="shared" si="76"/>
        <v>#NUM!</v>
      </c>
      <c r="DT114" s="62">
        <f ca="1">AVERAGE(OFFSET($DS$3,0,0,'Données projet'!$E$14+1,1))-AVERAGE(OFFSET($H$3,0,0,'Données projet'!$E$14+1,1))</f>
        <v>290.20755061064017</v>
      </c>
      <c r="DU114" s="62">
        <f t="shared" si="77"/>
        <v>343.54750327717181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25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9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7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-1.1368683772161603E-13</v>
      </c>
      <c r="O115" s="14">
        <f>N115*VLOOKUP('Données projet'!$B$9,Paramètres!$A$1:$I$88,3,0)*VLOOKUP('Données projet'!$B$9,Paramètres!$A$1:$I$88,5,0)</f>
        <v>-5.3205440053716299E-14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300.03481708703549</v>
      </c>
      <c r="T115" s="62">
        <f t="shared" si="56"/>
        <v>102.6350860969182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-2.2737367544323206E-13</v>
      </c>
      <c r="AJ115" s="14">
        <f>AI115*VLOOKUP('Données projet'!$B$10,Paramètres!$A$1:$I$88,3,0)*VLOOKUP('Données projet'!$B$10,Paramètres!$A$1:$I$88,5,0)</f>
        <v>-1.2710188457276673E-13</v>
      </c>
      <c r="AK115" s="14" t="e">
        <f t="shared" si="98"/>
        <v>#NUM!</v>
      </c>
      <c r="AL115" s="22" t="e">
        <f t="shared" si="59"/>
        <v>#NUM!</v>
      </c>
      <c r="AM115" s="62" t="e">
        <f t="shared" si="60"/>
        <v>#NUM!</v>
      </c>
      <c r="AN115" s="62">
        <f ca="1">AVERAGE(OFFSET($AM$3,0,0,'Données projet'!$E$10+1,1))-AVERAGE(OFFSET($H$3,0,0,'Données projet'!$E$10+1,1))</f>
        <v>328.27336939084597</v>
      </c>
      <c r="AO115" s="62">
        <f t="shared" si="61"/>
        <v>448.79354389108755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1.0634662466942582</v>
      </c>
      <c r="AV115" s="23">
        <f>EXP(-LN(2)/25)*AV114+(1-EXP(-LN(2)/25))/(LN(2)/25)*Calculateur!AQ115*Calculateur!AS115*VLOOKUP('Données projet'!$B$9,Paramètres!$A$1:$I$88,3,0)*0.475*44/12</f>
        <v>1.4168722019080648</v>
      </c>
      <c r="AW115" s="23">
        <f>EXP(-LN(2)/2)*AW114+(1-EXP(-LN(2)/2))/(LN(2)/2)*AQ115*AT115*VLOOKUP('Données projet'!$B$9,Paramètres!$A$1:$I$88,3,0)*0.475*44/12</f>
        <v>6.6246184109458266E-12</v>
      </c>
      <c r="AX115" s="23">
        <f t="shared" si="62"/>
        <v>2.4803384486089475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-2.2737367544323206E-13</v>
      </c>
      <c r="BE115" s="14">
        <f>BD115*VLOOKUP('Données projet'!$B$11,Paramètres!$A$1:$I$88,3,0)*VLOOKUP('Données projet'!$B$11,Paramètres!$A$1:$I$88,5,0)</f>
        <v>-1.9863364286720756E-13</v>
      </c>
      <c r="BF115" s="14" t="e">
        <f t="shared" si="99"/>
        <v>#NUM!</v>
      </c>
      <c r="BG115" s="22" t="e">
        <f t="shared" si="63"/>
        <v>#NUM!</v>
      </c>
      <c r="BH115" s="62" t="e">
        <f t="shared" si="64"/>
        <v>#NUM!</v>
      </c>
      <c r="BI115" s="62">
        <f ca="1">AVERAGE(OFFSET($BH$3,0,0,'Données projet'!$E$11+1,1))-AVERAGE(OFFSET($H$3,0,0,'Données projet'!$E$11+1,1))</f>
        <v>348.65374983303883</v>
      </c>
      <c r="BJ115" s="62">
        <f t="shared" si="65"/>
        <v>312.05848669315151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-5.6843418860808015E-14</v>
      </c>
      <c r="BZ115" s="14">
        <f>BY115*VLOOKUP('Données projet'!$B$12,Paramètres!$A$1:$I$88,3,0)*VLOOKUP('Données projet'!$B$12,Paramètres!$A$1:$I$88,5,0)</f>
        <v>-4.1677594708744434E-14</v>
      </c>
      <c r="CA115" s="14" t="e">
        <f t="shared" si="100"/>
        <v>#NUM!</v>
      </c>
      <c r="CB115" s="22" t="e">
        <f t="shared" si="67"/>
        <v>#NUM!</v>
      </c>
      <c r="CC115" s="62" t="e">
        <f t="shared" si="68"/>
        <v>#NUM!</v>
      </c>
      <c r="CD115" s="62">
        <f ca="1">AVERAGE(OFFSET($CC$3,0,0,'Données projet'!$E$12+1,1))-AVERAGE(OFFSET($H$3,0,0,'Données projet'!$E$12+1,1))</f>
        <v>264.06656596707364</v>
      </c>
      <c r="CE115" s="62">
        <f t="shared" si="69"/>
        <v>315.34415130230195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5.6843418860808015E-14</v>
      </c>
      <c r="CU115" s="18">
        <f>CT115*VLOOKUP('Données projet'!$B$13,Paramètres!$A$1:$I$88,3,0)*VLOOKUP('Données projet'!$B$13,Paramètres!$A$1:$I$88,5,0)</f>
        <v>3.3992364478763198E-14</v>
      </c>
      <c r="CV115" s="14">
        <f t="shared" si="101"/>
        <v>5.790027782444094E-13</v>
      </c>
      <c r="CW115" s="22">
        <f t="shared" si="71"/>
        <v>1.0676332069095257E-12</v>
      </c>
      <c r="CX115" s="62">
        <f t="shared" si="72"/>
        <v>293.33333333333439</v>
      </c>
      <c r="CY115" s="62">
        <f ca="1">AVERAGE(OFFSET($CX$3,0,0,'Données projet'!$E$13+1,1))-AVERAGE(OFFSET($H$3,0,0,'Données projet'!$E$13+1,1))</f>
        <v>162.29089122912319</v>
      </c>
      <c r="CZ115" s="62">
        <f t="shared" si="73"/>
        <v>253.15422514195427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2.0820465110467614</v>
      </c>
      <c r="DG115" s="23">
        <f>EXP(-LN(2)/25)*DG114+(1-EXP(-LN(2)/25))/(LN(2)/25)*Calculateur!DB115*Calculateur!DD115*VLOOKUP('Données projet'!$B$9,Paramètres!$A$1:$I$88,3,0)*0.475*44/12</f>
        <v>0.5464638512622797</v>
      </c>
      <c r="DH115" s="23">
        <f>EXP(-LN(2)/2)*DH114+(1-EXP(-LN(2)/2))/(LN(2)/2)*DB115*DE115*VLOOKUP('Données projet'!$B$9,Paramètres!$A$1:$I$88,3,0)*0.475*44/12</f>
        <v>1.0623359291481756E-12</v>
      </c>
      <c r="DI115" s="24">
        <f t="shared" si="74"/>
        <v>2.6285103623101032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-5.6843418860808015E-14</v>
      </c>
      <c r="DP115" s="18">
        <f>DO115*VLOOKUP('Données projet'!$B$14,Paramètres!$A$1:$I$88,3,0)*VLOOKUP('Données projet'!$B$14,Paramètres!$A$1:$I$88,5,0)</f>
        <v>-4.5224624045658861E-14</v>
      </c>
      <c r="DQ115" s="14" t="e">
        <f t="shared" si="102"/>
        <v>#NUM!</v>
      </c>
      <c r="DR115" s="22" t="e">
        <f t="shared" si="75"/>
        <v>#NUM!</v>
      </c>
      <c r="DS115" s="62" t="e">
        <f t="shared" si="76"/>
        <v>#NUM!</v>
      </c>
      <c r="DT115" s="62">
        <f ca="1">AVERAGE(OFFSET($DS$3,0,0,'Données projet'!$E$14+1,1))-AVERAGE(OFFSET($H$3,0,0,'Données projet'!$E$14+1,1))</f>
        <v>290.20755061064017</v>
      </c>
      <c r="DU115" s="62">
        <f t="shared" si="77"/>
        <v>343.54750327717181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25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9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7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-1.1368683772161603E-13</v>
      </c>
      <c r="O116" s="14">
        <f>N116*VLOOKUP('Données projet'!$B$9,Paramètres!$A$1:$I$88,3,0)*VLOOKUP('Données projet'!$B$9,Paramètres!$A$1:$I$88,5,0)</f>
        <v>-5.3205440053716299E-14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300.03481708703549</v>
      </c>
      <c r="T116" s="62">
        <f t="shared" si="56"/>
        <v>102.6350860969182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-2.2737367544323206E-13</v>
      </c>
      <c r="AJ116" s="14">
        <f>AI116*VLOOKUP('Données projet'!$B$10,Paramètres!$A$1:$I$88,3,0)*VLOOKUP('Données projet'!$B$10,Paramètres!$A$1:$I$88,5,0)</f>
        <v>-1.2710188457276673E-13</v>
      </c>
      <c r="AK116" s="14" t="e">
        <f t="shared" si="98"/>
        <v>#NUM!</v>
      </c>
      <c r="AL116" s="22" t="e">
        <f t="shared" si="59"/>
        <v>#NUM!</v>
      </c>
      <c r="AM116" s="62" t="e">
        <f t="shared" si="60"/>
        <v>#NUM!</v>
      </c>
      <c r="AN116" s="62">
        <f ca="1">AVERAGE(OFFSET($AM$3,0,0,'Données projet'!$E$10+1,1))-AVERAGE(OFFSET($H$3,0,0,'Données projet'!$E$10+1,1))</f>
        <v>328.27336939084597</v>
      </c>
      <c r="AO116" s="62">
        <f t="shared" si="61"/>
        <v>448.79354389108755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1.0426123222469452</v>
      </c>
      <c r="AV116" s="23">
        <f>EXP(-LN(2)/25)*AV115+(1-EXP(-LN(2)/25))/(LN(2)/25)*Calculateur!AQ116*Calculateur!AS116*VLOOKUP('Données projet'!$B$9,Paramètres!$A$1:$I$88,3,0)*0.475*44/12</f>
        <v>1.378127757036818</v>
      </c>
      <c r="AW116" s="23">
        <f>EXP(-LN(2)/2)*AW115+(1-EXP(-LN(2)/2))/(LN(2)/2)*AQ116*AT116*VLOOKUP('Données projet'!$B$9,Paramètres!$A$1:$I$88,3,0)*0.475*44/12</f>
        <v>4.6843126011530447E-12</v>
      </c>
      <c r="AX116" s="23">
        <f t="shared" si="62"/>
        <v>2.4207400792884473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-2.2737367544323206E-13</v>
      </c>
      <c r="BE116" s="14">
        <f>BD116*VLOOKUP('Données projet'!$B$11,Paramètres!$A$1:$I$88,3,0)*VLOOKUP('Données projet'!$B$11,Paramètres!$A$1:$I$88,5,0)</f>
        <v>-1.9863364286720756E-13</v>
      </c>
      <c r="BF116" s="14" t="e">
        <f t="shared" si="99"/>
        <v>#NUM!</v>
      </c>
      <c r="BG116" s="22" t="e">
        <f t="shared" si="63"/>
        <v>#NUM!</v>
      </c>
      <c r="BH116" s="62" t="e">
        <f t="shared" si="64"/>
        <v>#NUM!</v>
      </c>
      <c r="BI116" s="62">
        <f ca="1">AVERAGE(OFFSET($BH$3,0,0,'Données projet'!$E$11+1,1))-AVERAGE(OFFSET($H$3,0,0,'Données projet'!$E$11+1,1))</f>
        <v>348.65374983303883</v>
      </c>
      <c r="BJ116" s="62">
        <f t="shared" si="65"/>
        <v>312.05848669315151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-5.6843418860808015E-14</v>
      </c>
      <c r="BZ116" s="14">
        <f>BY116*VLOOKUP('Données projet'!$B$12,Paramètres!$A$1:$I$88,3,0)*VLOOKUP('Données projet'!$B$12,Paramètres!$A$1:$I$88,5,0)</f>
        <v>-4.1677594708744434E-14</v>
      </c>
      <c r="CA116" s="14" t="e">
        <f t="shared" si="100"/>
        <v>#NUM!</v>
      </c>
      <c r="CB116" s="22" t="e">
        <f t="shared" si="67"/>
        <v>#NUM!</v>
      </c>
      <c r="CC116" s="62" t="e">
        <f t="shared" si="68"/>
        <v>#NUM!</v>
      </c>
      <c r="CD116" s="62">
        <f ca="1">AVERAGE(OFFSET($CC$3,0,0,'Données projet'!$E$12+1,1))-AVERAGE(OFFSET($H$3,0,0,'Données projet'!$E$12+1,1))</f>
        <v>264.06656596707364</v>
      </c>
      <c r="CE116" s="62">
        <f t="shared" si="69"/>
        <v>315.34415130230195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5.6843418860808015E-14</v>
      </c>
      <c r="CU116" s="18">
        <f>CT116*VLOOKUP('Données projet'!$B$13,Paramètres!$A$1:$I$88,3,0)*VLOOKUP('Données projet'!$B$13,Paramètres!$A$1:$I$88,5,0)</f>
        <v>3.3992364478763198E-14</v>
      </c>
      <c r="CV116" s="14">
        <f t="shared" si="101"/>
        <v>5.790027782444094E-13</v>
      </c>
      <c r="CW116" s="22">
        <f t="shared" si="71"/>
        <v>1.0676332069095257E-12</v>
      </c>
      <c r="CX116" s="62">
        <f t="shared" si="72"/>
        <v>293.33333333333439</v>
      </c>
      <c r="CY116" s="62">
        <f ca="1">AVERAGE(OFFSET($CX$3,0,0,'Données projet'!$E$13+1,1))-AVERAGE(OFFSET($H$3,0,0,'Données projet'!$E$13+1,1))</f>
        <v>162.29089122912319</v>
      </c>
      <c r="CZ116" s="62">
        <f t="shared" si="73"/>
        <v>253.15422514195427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2.0412188488881116</v>
      </c>
      <c r="DG116" s="23">
        <f>EXP(-LN(2)/25)*DG115+(1-EXP(-LN(2)/25))/(LN(2)/25)*Calculateur!DB116*Calculateur!DD116*VLOOKUP('Données projet'!$B$9,Paramètres!$A$1:$I$88,3,0)*0.475*44/12</f>
        <v>0.53152076851222774</v>
      </c>
      <c r="DH116" s="23">
        <f>EXP(-LN(2)/2)*DH115+(1-EXP(-LN(2)/2))/(LN(2)/2)*DB116*DE116*VLOOKUP('Données projet'!$B$9,Paramètres!$A$1:$I$88,3,0)*0.475*44/12</f>
        <v>7.5118493939878669E-13</v>
      </c>
      <c r="DI116" s="24">
        <f t="shared" si="74"/>
        <v>2.5727396174010906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-5.6843418860808015E-14</v>
      </c>
      <c r="DP116" s="18">
        <f>DO116*VLOOKUP('Données projet'!$B$14,Paramètres!$A$1:$I$88,3,0)*VLOOKUP('Données projet'!$B$14,Paramètres!$A$1:$I$88,5,0)</f>
        <v>-4.5224624045658861E-14</v>
      </c>
      <c r="DQ116" s="14" t="e">
        <f t="shared" si="102"/>
        <v>#NUM!</v>
      </c>
      <c r="DR116" s="22" t="e">
        <f t="shared" si="75"/>
        <v>#NUM!</v>
      </c>
      <c r="DS116" s="62" t="e">
        <f t="shared" si="76"/>
        <v>#NUM!</v>
      </c>
      <c r="DT116" s="62">
        <f ca="1">AVERAGE(OFFSET($DS$3,0,0,'Données projet'!$E$14+1,1))-AVERAGE(OFFSET($H$3,0,0,'Données projet'!$E$14+1,1))</f>
        <v>290.20755061064017</v>
      </c>
      <c r="DU116" s="62">
        <f t="shared" si="77"/>
        <v>343.54750327717181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25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9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7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-1.1368683772161603E-13</v>
      </c>
      <c r="O117" s="14">
        <f>N117*VLOOKUP('Données projet'!$B$9,Paramètres!$A$1:$I$88,3,0)*VLOOKUP('Données projet'!$B$9,Paramètres!$A$1:$I$88,5,0)</f>
        <v>-5.3205440053716299E-14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300.03481708703549</v>
      </c>
      <c r="T117" s="62">
        <f t="shared" si="56"/>
        <v>102.6350860969182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-2.2737367544323206E-13</v>
      </c>
      <c r="AJ117" s="14">
        <f>AI117*VLOOKUP('Données projet'!$B$10,Paramètres!$A$1:$I$88,3,0)*VLOOKUP('Données projet'!$B$10,Paramètres!$A$1:$I$88,5,0)</f>
        <v>-1.2710188457276673E-13</v>
      </c>
      <c r="AK117" s="14" t="e">
        <f t="shared" si="98"/>
        <v>#NUM!</v>
      </c>
      <c r="AL117" s="22" t="e">
        <f t="shared" si="59"/>
        <v>#NUM!</v>
      </c>
      <c r="AM117" s="62" t="e">
        <f t="shared" si="60"/>
        <v>#NUM!</v>
      </c>
      <c r="AN117" s="62">
        <f ca="1">AVERAGE(OFFSET($AM$3,0,0,'Données projet'!$E$10+1,1))-AVERAGE(OFFSET($H$3,0,0,'Données projet'!$E$10+1,1))</f>
        <v>328.27336939084597</v>
      </c>
      <c r="AO117" s="62">
        <f t="shared" si="61"/>
        <v>448.79354389108755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1.0221673305384062</v>
      </c>
      <c r="AV117" s="23">
        <f>EXP(-LN(2)/25)*AV116+(1-EXP(-LN(2)/25))/(LN(2)/25)*Calculateur!AQ117*Calculateur!AS117*VLOOKUP('Données projet'!$B$9,Paramètres!$A$1:$I$88,3,0)*0.475*44/12</f>
        <v>1.3404427810480573</v>
      </c>
      <c r="AW117" s="23">
        <f>EXP(-LN(2)/2)*AW116+(1-EXP(-LN(2)/2))/(LN(2)/2)*AQ117*AT117*VLOOKUP('Données projet'!$B$9,Paramètres!$A$1:$I$88,3,0)*0.475*44/12</f>
        <v>3.3123092054729133E-12</v>
      </c>
      <c r="AX117" s="23">
        <f t="shared" si="62"/>
        <v>2.3626101115897762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-2.2737367544323206E-13</v>
      </c>
      <c r="BE117" s="14">
        <f>BD117*VLOOKUP('Données projet'!$B$11,Paramètres!$A$1:$I$88,3,0)*VLOOKUP('Données projet'!$B$11,Paramètres!$A$1:$I$88,5,0)</f>
        <v>-1.9863364286720756E-13</v>
      </c>
      <c r="BF117" s="14" t="e">
        <f t="shared" si="99"/>
        <v>#NUM!</v>
      </c>
      <c r="BG117" s="22" t="e">
        <f t="shared" si="63"/>
        <v>#NUM!</v>
      </c>
      <c r="BH117" s="62" t="e">
        <f t="shared" si="64"/>
        <v>#NUM!</v>
      </c>
      <c r="BI117" s="62">
        <f ca="1">AVERAGE(OFFSET($BH$3,0,0,'Données projet'!$E$11+1,1))-AVERAGE(OFFSET($H$3,0,0,'Données projet'!$E$11+1,1))</f>
        <v>348.65374983303883</v>
      </c>
      <c r="BJ117" s="62">
        <f t="shared" si="65"/>
        <v>312.05848669315151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-5.6843418860808015E-14</v>
      </c>
      <c r="BZ117" s="14">
        <f>BY117*VLOOKUP('Données projet'!$B$12,Paramètres!$A$1:$I$88,3,0)*VLOOKUP('Données projet'!$B$12,Paramètres!$A$1:$I$88,5,0)</f>
        <v>-4.1677594708744434E-14</v>
      </c>
      <c r="CA117" s="14" t="e">
        <f t="shared" si="100"/>
        <v>#NUM!</v>
      </c>
      <c r="CB117" s="22" t="e">
        <f t="shared" si="67"/>
        <v>#NUM!</v>
      </c>
      <c r="CC117" s="62" t="e">
        <f t="shared" si="68"/>
        <v>#NUM!</v>
      </c>
      <c r="CD117" s="62">
        <f ca="1">AVERAGE(OFFSET($CC$3,0,0,'Données projet'!$E$12+1,1))-AVERAGE(OFFSET($H$3,0,0,'Données projet'!$E$12+1,1))</f>
        <v>264.06656596707364</v>
      </c>
      <c r="CE117" s="62">
        <f t="shared" si="69"/>
        <v>315.34415130230195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5.6843418860808015E-14</v>
      </c>
      <c r="CU117" s="18">
        <f>CT117*VLOOKUP('Données projet'!$B$13,Paramètres!$A$1:$I$88,3,0)*VLOOKUP('Données projet'!$B$13,Paramètres!$A$1:$I$88,5,0)</f>
        <v>3.3992364478763198E-14</v>
      </c>
      <c r="CV117" s="14">
        <f t="shared" si="101"/>
        <v>5.790027782444094E-13</v>
      </c>
      <c r="CW117" s="22">
        <f t="shared" si="71"/>
        <v>1.0676332069095257E-12</v>
      </c>
      <c r="CX117" s="62">
        <f t="shared" si="72"/>
        <v>293.33333333333439</v>
      </c>
      <c r="CY117" s="62">
        <f ca="1">AVERAGE(OFFSET($CX$3,0,0,'Données projet'!$E$13+1,1))-AVERAGE(OFFSET($H$3,0,0,'Données projet'!$E$13+1,1))</f>
        <v>162.29089122912319</v>
      </c>
      <c r="CZ117" s="62">
        <f t="shared" si="73"/>
        <v>253.15422514195427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2.0011917922819777</v>
      </c>
      <c r="DG117" s="23">
        <f>EXP(-LN(2)/25)*DG116+(1-EXP(-LN(2)/25))/(LN(2)/25)*Calculateur!DB117*Calculateur!DD117*VLOOKUP('Données projet'!$B$9,Paramètres!$A$1:$I$88,3,0)*0.475*44/12</f>
        <v>0.51698630514579846</v>
      </c>
      <c r="DH117" s="23">
        <f>EXP(-LN(2)/2)*DH116+(1-EXP(-LN(2)/2))/(LN(2)/2)*DB117*DE117*VLOOKUP('Données projet'!$B$9,Paramètres!$A$1:$I$88,3,0)*0.475*44/12</f>
        <v>5.3116796457408782E-13</v>
      </c>
      <c r="DI117" s="24">
        <f t="shared" si="74"/>
        <v>2.5181780974283074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-5.6843418860808015E-14</v>
      </c>
      <c r="DP117" s="18">
        <f>DO117*VLOOKUP('Données projet'!$B$14,Paramètres!$A$1:$I$88,3,0)*VLOOKUP('Données projet'!$B$14,Paramètres!$A$1:$I$88,5,0)</f>
        <v>-4.5224624045658861E-14</v>
      </c>
      <c r="DQ117" s="14" t="e">
        <f t="shared" si="102"/>
        <v>#NUM!</v>
      </c>
      <c r="DR117" s="22" t="e">
        <f t="shared" si="75"/>
        <v>#NUM!</v>
      </c>
      <c r="DS117" s="62" t="e">
        <f t="shared" si="76"/>
        <v>#NUM!</v>
      </c>
      <c r="DT117" s="62">
        <f ca="1">AVERAGE(OFFSET($DS$3,0,0,'Données projet'!$E$14+1,1))-AVERAGE(OFFSET($H$3,0,0,'Données projet'!$E$14+1,1))</f>
        <v>290.20755061064017</v>
      </c>
      <c r="DU117" s="62">
        <f t="shared" si="77"/>
        <v>343.54750327717181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25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9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7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-1.1368683772161603E-13</v>
      </c>
      <c r="O118" s="14">
        <f>N118*VLOOKUP('Données projet'!$B$9,Paramètres!$A$1:$I$88,3,0)*VLOOKUP('Données projet'!$B$9,Paramètres!$A$1:$I$88,5,0)</f>
        <v>-5.3205440053716299E-14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300.03481708703549</v>
      </c>
      <c r="T118" s="62">
        <f t="shared" si="56"/>
        <v>102.6350860969182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-2.2737367544323206E-13</v>
      </c>
      <c r="AJ118" s="14">
        <f>AI118*VLOOKUP('Données projet'!$B$10,Paramètres!$A$1:$I$88,3,0)*VLOOKUP('Données projet'!$B$10,Paramètres!$A$1:$I$88,5,0)</f>
        <v>-1.2710188457276673E-13</v>
      </c>
      <c r="AK118" s="14" t="e">
        <f t="shared" si="98"/>
        <v>#NUM!</v>
      </c>
      <c r="AL118" s="22" t="e">
        <f t="shared" si="59"/>
        <v>#NUM!</v>
      </c>
      <c r="AM118" s="62" t="e">
        <f t="shared" si="60"/>
        <v>#NUM!</v>
      </c>
      <c r="AN118" s="62">
        <f ca="1">AVERAGE(OFFSET($AM$3,0,0,'Données projet'!$E$10+1,1))-AVERAGE(OFFSET($H$3,0,0,'Données projet'!$E$10+1,1))</f>
        <v>328.27336939084597</v>
      </c>
      <c r="AO118" s="62">
        <f t="shared" si="61"/>
        <v>448.79354389108755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1.002123252647058</v>
      </c>
      <c r="AV118" s="23">
        <f>EXP(-LN(2)/25)*AV117+(1-EXP(-LN(2)/25))/(LN(2)/25)*Calculateur!AQ118*Calculateur!AS118*VLOOKUP('Données projet'!$B$9,Paramètres!$A$1:$I$88,3,0)*0.475*44/12</f>
        <v>1.3037883027094759</v>
      </c>
      <c r="AW118" s="23">
        <f>EXP(-LN(2)/2)*AW117+(1-EXP(-LN(2)/2))/(LN(2)/2)*AQ118*AT118*VLOOKUP('Données projet'!$B$9,Paramètres!$A$1:$I$88,3,0)*0.475*44/12</f>
        <v>2.3421563005765223E-12</v>
      </c>
      <c r="AX118" s="23">
        <f t="shared" si="62"/>
        <v>2.3059115553588763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-2.2737367544323206E-13</v>
      </c>
      <c r="BE118" s="14">
        <f>BD118*VLOOKUP('Données projet'!$B$11,Paramètres!$A$1:$I$88,3,0)*VLOOKUP('Données projet'!$B$11,Paramètres!$A$1:$I$88,5,0)</f>
        <v>-1.9863364286720756E-13</v>
      </c>
      <c r="BF118" s="14" t="e">
        <f t="shared" si="99"/>
        <v>#NUM!</v>
      </c>
      <c r="BG118" s="22" t="e">
        <f t="shared" si="63"/>
        <v>#NUM!</v>
      </c>
      <c r="BH118" s="62" t="e">
        <f t="shared" si="64"/>
        <v>#NUM!</v>
      </c>
      <c r="BI118" s="62">
        <f ca="1">AVERAGE(OFFSET($BH$3,0,0,'Données projet'!$E$11+1,1))-AVERAGE(OFFSET($H$3,0,0,'Données projet'!$E$11+1,1))</f>
        <v>348.65374983303883</v>
      </c>
      <c r="BJ118" s="62">
        <f t="shared" si="65"/>
        <v>312.05848669315151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-5.6843418860808015E-14</v>
      </c>
      <c r="BZ118" s="14">
        <f>BY118*VLOOKUP('Données projet'!$B$12,Paramètres!$A$1:$I$88,3,0)*VLOOKUP('Données projet'!$B$12,Paramètres!$A$1:$I$88,5,0)</f>
        <v>-4.1677594708744434E-14</v>
      </c>
      <c r="CA118" s="14" t="e">
        <f t="shared" si="100"/>
        <v>#NUM!</v>
      </c>
      <c r="CB118" s="22" t="e">
        <f t="shared" si="67"/>
        <v>#NUM!</v>
      </c>
      <c r="CC118" s="62" t="e">
        <f t="shared" si="68"/>
        <v>#NUM!</v>
      </c>
      <c r="CD118" s="62">
        <f ca="1">AVERAGE(OFFSET($CC$3,0,0,'Données projet'!$E$12+1,1))-AVERAGE(OFFSET($H$3,0,0,'Données projet'!$E$12+1,1))</f>
        <v>264.06656596707364</v>
      </c>
      <c r="CE118" s="62">
        <f t="shared" si="69"/>
        <v>315.34415130230195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5.6843418860808015E-14</v>
      </c>
      <c r="CU118" s="18">
        <f>CT118*VLOOKUP('Données projet'!$B$13,Paramètres!$A$1:$I$88,3,0)*VLOOKUP('Données projet'!$B$13,Paramètres!$A$1:$I$88,5,0)</f>
        <v>3.3992364478763198E-14</v>
      </c>
      <c r="CV118" s="14">
        <f t="shared" si="101"/>
        <v>5.790027782444094E-13</v>
      </c>
      <c r="CW118" s="22">
        <f t="shared" si="71"/>
        <v>1.0676332069095257E-12</v>
      </c>
      <c r="CX118" s="62">
        <f t="shared" si="72"/>
        <v>293.33333333333439</v>
      </c>
      <c r="CY118" s="62">
        <f ca="1">AVERAGE(OFFSET($CX$3,0,0,'Données projet'!$E$13+1,1))-AVERAGE(OFFSET($H$3,0,0,'Données projet'!$E$13+1,1))</f>
        <v>162.29089122912319</v>
      </c>
      <c r="CZ118" s="62">
        <f t="shared" si="73"/>
        <v>253.15422514195427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1.9619496418417965</v>
      </c>
      <c r="DG118" s="23">
        <f>EXP(-LN(2)/25)*DG117+(1-EXP(-LN(2)/25))/(LN(2)/25)*Calculateur!DB118*Calculateur!DD118*VLOOKUP('Données projet'!$B$9,Paramètres!$A$1:$I$88,3,0)*0.475*44/12</f>
        <v>0.50284928744445845</v>
      </c>
      <c r="DH118" s="23">
        <f>EXP(-LN(2)/2)*DH117+(1-EXP(-LN(2)/2))/(LN(2)/2)*DB118*DE118*VLOOKUP('Données projet'!$B$9,Paramètres!$A$1:$I$88,3,0)*0.475*44/12</f>
        <v>3.7559246969939335E-13</v>
      </c>
      <c r="DI118" s="24">
        <f t="shared" si="74"/>
        <v>2.4647989292866308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-5.6843418860808015E-14</v>
      </c>
      <c r="DP118" s="18">
        <f>DO118*VLOOKUP('Données projet'!$B$14,Paramètres!$A$1:$I$88,3,0)*VLOOKUP('Données projet'!$B$14,Paramètres!$A$1:$I$88,5,0)</f>
        <v>-4.5224624045658861E-14</v>
      </c>
      <c r="DQ118" s="14" t="e">
        <f t="shared" si="102"/>
        <v>#NUM!</v>
      </c>
      <c r="DR118" s="22" t="e">
        <f t="shared" si="75"/>
        <v>#NUM!</v>
      </c>
      <c r="DS118" s="62" t="e">
        <f t="shared" si="76"/>
        <v>#NUM!</v>
      </c>
      <c r="DT118" s="62">
        <f ca="1">AVERAGE(OFFSET($DS$3,0,0,'Données projet'!$E$14+1,1))-AVERAGE(OFFSET($H$3,0,0,'Données projet'!$E$14+1,1))</f>
        <v>290.20755061064017</v>
      </c>
      <c r="DU118" s="62">
        <f t="shared" si="77"/>
        <v>343.54750327717181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25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9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7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-1.1368683772161603E-13</v>
      </c>
      <c r="O119" s="14">
        <f>N119*VLOOKUP('Données projet'!$B$9,Paramètres!$A$1:$I$88,3,0)*VLOOKUP('Données projet'!$B$9,Paramètres!$A$1:$I$88,5,0)</f>
        <v>-5.3205440053716299E-14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300.03481708703549</v>
      </c>
      <c r="T119" s="62">
        <f t="shared" si="56"/>
        <v>102.6350860969182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-2.2737367544323206E-13</v>
      </c>
      <c r="AJ119" s="14">
        <f>AI119*VLOOKUP('Données projet'!$B$10,Paramètres!$A$1:$I$88,3,0)*VLOOKUP('Données projet'!$B$10,Paramètres!$A$1:$I$88,5,0)</f>
        <v>-1.2710188457276673E-13</v>
      </c>
      <c r="AK119" s="14" t="e">
        <f t="shared" si="98"/>
        <v>#NUM!</v>
      </c>
      <c r="AL119" s="22" t="e">
        <f t="shared" si="59"/>
        <v>#NUM!</v>
      </c>
      <c r="AM119" s="62" t="e">
        <f t="shared" si="60"/>
        <v>#NUM!</v>
      </c>
      <c r="AN119" s="62">
        <f ca="1">AVERAGE(OFFSET($AM$3,0,0,'Données projet'!$E$10+1,1))-AVERAGE(OFFSET($H$3,0,0,'Données projet'!$E$10+1,1))</f>
        <v>328.27336939084597</v>
      </c>
      <c r="AO119" s="62">
        <f t="shared" si="61"/>
        <v>448.79354389108755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0.98247222689747893</v>
      </c>
      <c r="AV119" s="23">
        <f>EXP(-LN(2)/25)*AV118+(1-EXP(-LN(2)/25))/(LN(2)/25)*Calculateur!AQ119*Calculateur!AS119*VLOOKUP('Données projet'!$B$9,Paramètres!$A$1:$I$88,3,0)*0.475*44/12</f>
        <v>1.2681361430086382</v>
      </c>
      <c r="AW119" s="23">
        <f>EXP(-LN(2)/2)*AW118+(1-EXP(-LN(2)/2))/(LN(2)/2)*AQ119*AT119*VLOOKUP('Données projet'!$B$9,Paramètres!$A$1:$I$88,3,0)*0.475*44/12</f>
        <v>1.6561546027364566E-12</v>
      </c>
      <c r="AX119" s="23">
        <f t="shared" si="62"/>
        <v>2.250608369907773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-2.2737367544323206E-13</v>
      </c>
      <c r="BE119" s="14">
        <f>BD119*VLOOKUP('Données projet'!$B$11,Paramètres!$A$1:$I$88,3,0)*VLOOKUP('Données projet'!$B$11,Paramètres!$A$1:$I$88,5,0)</f>
        <v>-1.9863364286720756E-13</v>
      </c>
      <c r="BF119" s="14" t="e">
        <f t="shared" si="99"/>
        <v>#NUM!</v>
      </c>
      <c r="BG119" s="22" t="e">
        <f t="shared" si="63"/>
        <v>#NUM!</v>
      </c>
      <c r="BH119" s="62" t="e">
        <f t="shared" si="64"/>
        <v>#NUM!</v>
      </c>
      <c r="BI119" s="62">
        <f ca="1">AVERAGE(OFFSET($BH$3,0,0,'Données projet'!$E$11+1,1))-AVERAGE(OFFSET($H$3,0,0,'Données projet'!$E$11+1,1))</f>
        <v>348.65374983303883</v>
      </c>
      <c r="BJ119" s="62">
        <f t="shared" si="65"/>
        <v>312.05848669315151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-5.6843418860808015E-14</v>
      </c>
      <c r="BZ119" s="14">
        <f>BY119*VLOOKUP('Données projet'!$B$12,Paramètres!$A$1:$I$88,3,0)*VLOOKUP('Données projet'!$B$12,Paramètres!$A$1:$I$88,5,0)</f>
        <v>-4.1677594708744434E-14</v>
      </c>
      <c r="CA119" s="14" t="e">
        <f t="shared" si="100"/>
        <v>#NUM!</v>
      </c>
      <c r="CB119" s="22" t="e">
        <f t="shared" si="67"/>
        <v>#NUM!</v>
      </c>
      <c r="CC119" s="62" t="e">
        <f t="shared" si="68"/>
        <v>#NUM!</v>
      </c>
      <c r="CD119" s="62">
        <f ca="1">AVERAGE(OFFSET($CC$3,0,0,'Données projet'!$E$12+1,1))-AVERAGE(OFFSET($H$3,0,0,'Données projet'!$E$12+1,1))</f>
        <v>264.06656596707364</v>
      </c>
      <c r="CE119" s="62">
        <f t="shared" si="69"/>
        <v>315.34415130230195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5.6843418860808015E-14</v>
      </c>
      <c r="CU119" s="18">
        <f>CT119*VLOOKUP('Données projet'!$B$13,Paramètres!$A$1:$I$88,3,0)*VLOOKUP('Données projet'!$B$13,Paramètres!$A$1:$I$88,5,0)</f>
        <v>3.3992364478763198E-14</v>
      </c>
      <c r="CV119" s="14">
        <f t="shared" si="101"/>
        <v>5.790027782444094E-13</v>
      </c>
      <c r="CW119" s="22">
        <f t="shared" si="71"/>
        <v>1.0676332069095257E-12</v>
      </c>
      <c r="CX119" s="62">
        <f t="shared" si="72"/>
        <v>293.33333333333439</v>
      </c>
      <c r="CY119" s="62">
        <f ca="1">AVERAGE(OFFSET($CX$3,0,0,'Données projet'!$E$13+1,1))-AVERAGE(OFFSET($H$3,0,0,'Données projet'!$E$13+1,1))</f>
        <v>162.29089122912319</v>
      </c>
      <c r="CZ119" s="62">
        <f t="shared" si="73"/>
        <v>253.15422514195427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1.923477006036399</v>
      </c>
      <c r="DG119" s="23">
        <f>EXP(-LN(2)/25)*DG118+(1-EXP(-LN(2)/25))/(LN(2)/25)*Calculateur!DB119*Calculateur!DD119*VLOOKUP('Données projet'!$B$9,Paramètres!$A$1:$I$88,3,0)*0.475*44/12</f>
        <v>0.48909884723559499</v>
      </c>
      <c r="DH119" s="23">
        <f>EXP(-LN(2)/2)*DH118+(1-EXP(-LN(2)/2))/(LN(2)/2)*DB119*DE119*VLOOKUP('Données projet'!$B$9,Paramètres!$A$1:$I$88,3,0)*0.475*44/12</f>
        <v>2.6558398228704391E-13</v>
      </c>
      <c r="DI119" s="24">
        <f t="shared" si="74"/>
        <v>2.4125758532722594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-5.6843418860808015E-14</v>
      </c>
      <c r="DP119" s="18">
        <f>DO119*VLOOKUP('Données projet'!$B$14,Paramètres!$A$1:$I$88,3,0)*VLOOKUP('Données projet'!$B$14,Paramètres!$A$1:$I$88,5,0)</f>
        <v>-4.5224624045658861E-14</v>
      </c>
      <c r="DQ119" s="14" t="e">
        <f t="shared" si="102"/>
        <v>#NUM!</v>
      </c>
      <c r="DR119" s="22" t="e">
        <f t="shared" si="75"/>
        <v>#NUM!</v>
      </c>
      <c r="DS119" s="62" t="e">
        <f t="shared" si="76"/>
        <v>#NUM!</v>
      </c>
      <c r="DT119" s="62">
        <f ca="1">AVERAGE(OFFSET($DS$3,0,0,'Données projet'!$E$14+1,1))-AVERAGE(OFFSET($H$3,0,0,'Données projet'!$E$14+1,1))</f>
        <v>290.20755061064017</v>
      </c>
      <c r="DU119" s="62">
        <f t="shared" si="77"/>
        <v>343.54750327717181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25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9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7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-1.1368683772161603E-13</v>
      </c>
      <c r="O120" s="14">
        <f>N120*VLOOKUP('Données projet'!$B$9,Paramètres!$A$1:$I$88,3,0)*VLOOKUP('Données projet'!$B$9,Paramètres!$A$1:$I$88,5,0)</f>
        <v>-5.3205440053716299E-14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300.03481708703549</v>
      </c>
      <c r="T120" s="62">
        <f t="shared" si="56"/>
        <v>102.6350860969182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-2.2737367544323206E-13</v>
      </c>
      <c r="AJ120" s="14">
        <f>AI120*VLOOKUP('Données projet'!$B$10,Paramètres!$A$1:$I$88,3,0)*VLOOKUP('Données projet'!$B$10,Paramètres!$A$1:$I$88,5,0)</f>
        <v>-1.2710188457276673E-13</v>
      </c>
      <c r="AK120" s="14" t="e">
        <f t="shared" si="98"/>
        <v>#NUM!</v>
      </c>
      <c r="AL120" s="22" t="e">
        <f t="shared" si="59"/>
        <v>#NUM!</v>
      </c>
      <c r="AM120" s="62" t="e">
        <f t="shared" si="60"/>
        <v>#NUM!</v>
      </c>
      <c r="AN120" s="62">
        <f ca="1">AVERAGE(OFFSET($AM$3,0,0,'Données projet'!$E$10+1,1))-AVERAGE(OFFSET($H$3,0,0,'Données projet'!$E$10+1,1))</f>
        <v>328.27336939084597</v>
      </c>
      <c r="AO120" s="62">
        <f t="shared" si="61"/>
        <v>448.79354389108755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0.9632065457769069</v>
      </c>
      <c r="AV120" s="23">
        <f>EXP(-LN(2)/25)*AV119+(1-EXP(-LN(2)/25))/(LN(2)/25)*Calculateur!AQ120*Calculateur!AS120*VLOOKUP('Données projet'!$B$9,Paramètres!$A$1:$I$88,3,0)*0.475*44/12</f>
        <v>1.2334588934896855</v>
      </c>
      <c r="AW120" s="23">
        <f>EXP(-LN(2)/2)*AW119+(1-EXP(-LN(2)/2))/(LN(2)/2)*AQ120*AT120*VLOOKUP('Données projet'!$B$9,Paramètres!$A$1:$I$88,3,0)*0.475*44/12</f>
        <v>1.1710781502882612E-12</v>
      </c>
      <c r="AX120" s="23">
        <f t="shared" si="62"/>
        <v>2.1966654392677634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-2.2737367544323206E-13</v>
      </c>
      <c r="BE120" s="14">
        <f>BD120*VLOOKUP('Données projet'!$B$11,Paramètres!$A$1:$I$88,3,0)*VLOOKUP('Données projet'!$B$11,Paramètres!$A$1:$I$88,5,0)</f>
        <v>-1.9863364286720756E-13</v>
      </c>
      <c r="BF120" s="14" t="e">
        <f t="shared" si="99"/>
        <v>#NUM!</v>
      </c>
      <c r="BG120" s="22" t="e">
        <f t="shared" si="63"/>
        <v>#NUM!</v>
      </c>
      <c r="BH120" s="62" t="e">
        <f t="shared" si="64"/>
        <v>#NUM!</v>
      </c>
      <c r="BI120" s="62">
        <f ca="1">AVERAGE(OFFSET($BH$3,0,0,'Données projet'!$E$11+1,1))-AVERAGE(OFFSET($H$3,0,0,'Données projet'!$E$11+1,1))</f>
        <v>348.65374983303883</v>
      </c>
      <c r="BJ120" s="62">
        <f t="shared" si="65"/>
        <v>312.05848669315151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-5.6843418860808015E-14</v>
      </c>
      <c r="BZ120" s="14">
        <f>BY120*VLOOKUP('Données projet'!$B$12,Paramètres!$A$1:$I$88,3,0)*VLOOKUP('Données projet'!$B$12,Paramètres!$A$1:$I$88,5,0)</f>
        <v>-4.1677594708744434E-14</v>
      </c>
      <c r="CA120" s="14" t="e">
        <f t="shared" si="100"/>
        <v>#NUM!</v>
      </c>
      <c r="CB120" s="22" t="e">
        <f t="shared" si="67"/>
        <v>#NUM!</v>
      </c>
      <c r="CC120" s="62" t="e">
        <f t="shared" si="68"/>
        <v>#NUM!</v>
      </c>
      <c r="CD120" s="62">
        <f ca="1">AVERAGE(OFFSET($CC$3,0,0,'Données projet'!$E$12+1,1))-AVERAGE(OFFSET($H$3,0,0,'Données projet'!$E$12+1,1))</f>
        <v>264.06656596707364</v>
      </c>
      <c r="CE120" s="62">
        <f t="shared" si="69"/>
        <v>315.34415130230195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5.6843418860808015E-14</v>
      </c>
      <c r="CU120" s="18">
        <f>CT120*VLOOKUP('Données projet'!$B$13,Paramètres!$A$1:$I$88,3,0)*VLOOKUP('Données projet'!$B$13,Paramètres!$A$1:$I$88,5,0)</f>
        <v>3.3992364478763198E-14</v>
      </c>
      <c r="CV120" s="14">
        <f t="shared" si="101"/>
        <v>5.790027782444094E-13</v>
      </c>
      <c r="CW120" s="22">
        <f t="shared" si="71"/>
        <v>1.0676332069095257E-12</v>
      </c>
      <c r="CX120" s="62">
        <f t="shared" si="72"/>
        <v>293.33333333333439</v>
      </c>
      <c r="CY120" s="62">
        <f ca="1">AVERAGE(OFFSET($CX$3,0,0,'Données projet'!$E$13+1,1))-AVERAGE(OFFSET($H$3,0,0,'Données projet'!$E$13+1,1))</f>
        <v>162.29089122912319</v>
      </c>
      <c r="CZ120" s="62">
        <f t="shared" si="73"/>
        <v>253.15422514195427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1.8857587951531545</v>
      </c>
      <c r="DG120" s="23">
        <f>EXP(-LN(2)/25)*DG119+(1-EXP(-LN(2)/25))/(LN(2)/25)*Calculateur!DB120*Calculateur!DD120*VLOOKUP('Données projet'!$B$9,Paramètres!$A$1:$I$88,3,0)*0.475*44/12</f>
        <v>0.47572441353734712</v>
      </c>
      <c r="DH120" s="23">
        <f>EXP(-LN(2)/2)*DH119+(1-EXP(-LN(2)/2))/(LN(2)/2)*DB120*DE120*VLOOKUP('Données projet'!$B$9,Paramètres!$A$1:$I$88,3,0)*0.475*44/12</f>
        <v>1.8779623484969667E-13</v>
      </c>
      <c r="DI120" s="24">
        <f t="shared" si="74"/>
        <v>2.3614832086906894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-5.6843418860808015E-14</v>
      </c>
      <c r="DP120" s="18">
        <f>DO120*VLOOKUP('Données projet'!$B$14,Paramètres!$A$1:$I$88,3,0)*VLOOKUP('Données projet'!$B$14,Paramètres!$A$1:$I$88,5,0)</f>
        <v>-4.5224624045658861E-14</v>
      </c>
      <c r="DQ120" s="14" t="e">
        <f t="shared" si="102"/>
        <v>#NUM!</v>
      </c>
      <c r="DR120" s="22" t="e">
        <f t="shared" si="75"/>
        <v>#NUM!</v>
      </c>
      <c r="DS120" s="62" t="e">
        <f t="shared" si="76"/>
        <v>#NUM!</v>
      </c>
      <c r="DT120" s="62">
        <f ca="1">AVERAGE(OFFSET($DS$3,0,0,'Données projet'!$E$14+1,1))-AVERAGE(OFFSET($H$3,0,0,'Données projet'!$E$14+1,1))</f>
        <v>290.20755061064017</v>
      </c>
      <c r="DU120" s="62">
        <f t="shared" si="77"/>
        <v>343.54750327717181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25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9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7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-1.1368683772161603E-13</v>
      </c>
      <c r="O121" s="14">
        <f>N121*VLOOKUP('Données projet'!$B$9,Paramètres!$A$1:$I$88,3,0)*VLOOKUP('Données projet'!$B$9,Paramètres!$A$1:$I$88,5,0)</f>
        <v>-5.3205440053716299E-14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300.03481708703549</v>
      </c>
      <c r="T121" s="62">
        <f t="shared" si="56"/>
        <v>102.6350860969182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-2.2737367544323206E-13</v>
      </c>
      <c r="AJ121" s="14">
        <f>AI121*VLOOKUP('Données projet'!$B$10,Paramètres!$A$1:$I$88,3,0)*VLOOKUP('Données projet'!$B$10,Paramètres!$A$1:$I$88,5,0)</f>
        <v>-1.2710188457276673E-13</v>
      </c>
      <c r="AK121" s="14" t="e">
        <f t="shared" si="98"/>
        <v>#NUM!</v>
      </c>
      <c r="AL121" s="22" t="e">
        <f t="shared" si="59"/>
        <v>#NUM!</v>
      </c>
      <c r="AM121" s="62" t="e">
        <f t="shared" si="60"/>
        <v>#NUM!</v>
      </c>
      <c r="AN121" s="62">
        <f ca="1">AVERAGE(OFFSET($AM$3,0,0,'Données projet'!$E$10+1,1))-AVERAGE(OFFSET($H$3,0,0,'Données projet'!$E$10+1,1))</f>
        <v>328.27336939084597</v>
      </c>
      <c r="AO121" s="62">
        <f t="shared" si="61"/>
        <v>448.79354389108755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0.94431865291220407</v>
      </c>
      <c r="AV121" s="23">
        <f>EXP(-LN(2)/25)*AV120+(1-EXP(-LN(2)/25))/(LN(2)/25)*Calculateur!AQ121*Calculateur!AS121*VLOOKUP('Données projet'!$B$9,Paramètres!$A$1:$I$88,3,0)*0.475*44/12</f>
        <v>1.199729895182426</v>
      </c>
      <c r="AW121" s="23">
        <f>EXP(-LN(2)/2)*AW120+(1-EXP(-LN(2)/2))/(LN(2)/2)*AQ121*AT121*VLOOKUP('Données projet'!$B$9,Paramètres!$A$1:$I$88,3,0)*0.475*44/12</f>
        <v>8.2807730136822832E-13</v>
      </c>
      <c r="AX121" s="23">
        <f t="shared" si="62"/>
        <v>2.1440485480954581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-2.2737367544323206E-13</v>
      </c>
      <c r="BE121" s="14">
        <f>BD121*VLOOKUP('Données projet'!$B$11,Paramètres!$A$1:$I$88,3,0)*VLOOKUP('Données projet'!$B$11,Paramètres!$A$1:$I$88,5,0)</f>
        <v>-1.9863364286720756E-13</v>
      </c>
      <c r="BF121" s="14" t="e">
        <f t="shared" si="99"/>
        <v>#NUM!</v>
      </c>
      <c r="BG121" s="22" t="e">
        <f t="shared" si="63"/>
        <v>#NUM!</v>
      </c>
      <c r="BH121" s="62" t="e">
        <f t="shared" si="64"/>
        <v>#NUM!</v>
      </c>
      <c r="BI121" s="62">
        <f ca="1">AVERAGE(OFFSET($BH$3,0,0,'Données projet'!$E$11+1,1))-AVERAGE(OFFSET($H$3,0,0,'Données projet'!$E$11+1,1))</f>
        <v>348.65374983303883</v>
      </c>
      <c r="BJ121" s="62">
        <f t="shared" si="65"/>
        <v>312.05848669315151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-5.6843418860808015E-14</v>
      </c>
      <c r="BZ121" s="14">
        <f>BY121*VLOOKUP('Données projet'!$B$12,Paramètres!$A$1:$I$88,3,0)*VLOOKUP('Données projet'!$B$12,Paramètres!$A$1:$I$88,5,0)</f>
        <v>-4.1677594708744434E-14</v>
      </c>
      <c r="CA121" s="14" t="e">
        <f t="shared" si="100"/>
        <v>#NUM!</v>
      </c>
      <c r="CB121" s="22" t="e">
        <f t="shared" si="67"/>
        <v>#NUM!</v>
      </c>
      <c r="CC121" s="62" t="e">
        <f t="shared" si="68"/>
        <v>#NUM!</v>
      </c>
      <c r="CD121" s="62">
        <f ca="1">AVERAGE(OFFSET($CC$3,0,0,'Données projet'!$E$12+1,1))-AVERAGE(OFFSET($H$3,0,0,'Données projet'!$E$12+1,1))</f>
        <v>264.06656596707364</v>
      </c>
      <c r="CE121" s="62">
        <f t="shared" si="69"/>
        <v>315.34415130230195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5.6843418860808015E-14</v>
      </c>
      <c r="CU121" s="18">
        <f>CT121*VLOOKUP('Données projet'!$B$13,Paramètres!$A$1:$I$88,3,0)*VLOOKUP('Données projet'!$B$13,Paramètres!$A$1:$I$88,5,0)</f>
        <v>3.3992364478763198E-14</v>
      </c>
      <c r="CV121" s="14">
        <f t="shared" si="101"/>
        <v>5.790027782444094E-13</v>
      </c>
      <c r="CW121" s="22">
        <f t="shared" si="71"/>
        <v>1.0676332069095257E-12</v>
      </c>
      <c r="CX121" s="62">
        <f t="shared" si="72"/>
        <v>293.33333333333439</v>
      </c>
      <c r="CY121" s="62">
        <f ca="1">AVERAGE(OFFSET($CX$3,0,0,'Données projet'!$E$13+1,1))-AVERAGE(OFFSET($H$3,0,0,'Données projet'!$E$13+1,1))</f>
        <v>162.29089122912319</v>
      </c>
      <c r="CZ121" s="62">
        <f t="shared" si="73"/>
        <v>253.15422514195427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1.8487802153794934</v>
      </c>
      <c r="DG121" s="23">
        <f>EXP(-LN(2)/25)*DG120+(1-EXP(-LN(2)/25))/(LN(2)/25)*Calculateur!DB121*Calculateur!DD121*VLOOKUP('Données projet'!$B$9,Paramètres!$A$1:$I$88,3,0)*0.475*44/12</f>
        <v>0.46271570443190874</v>
      </c>
      <c r="DH121" s="23">
        <f>EXP(-LN(2)/2)*DH120+(1-EXP(-LN(2)/2))/(LN(2)/2)*DB121*DE121*VLOOKUP('Données projet'!$B$9,Paramètres!$A$1:$I$88,3,0)*0.475*44/12</f>
        <v>1.3279199114352195E-13</v>
      </c>
      <c r="DI121" s="24">
        <f t="shared" si="74"/>
        <v>2.3114959198115348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-5.6843418860808015E-14</v>
      </c>
      <c r="DP121" s="18">
        <f>DO121*VLOOKUP('Données projet'!$B$14,Paramètres!$A$1:$I$88,3,0)*VLOOKUP('Données projet'!$B$14,Paramètres!$A$1:$I$88,5,0)</f>
        <v>-4.5224624045658861E-14</v>
      </c>
      <c r="DQ121" s="14" t="e">
        <f t="shared" si="102"/>
        <v>#NUM!</v>
      </c>
      <c r="DR121" s="22" t="e">
        <f t="shared" si="75"/>
        <v>#NUM!</v>
      </c>
      <c r="DS121" s="62" t="e">
        <f t="shared" si="76"/>
        <v>#NUM!</v>
      </c>
      <c r="DT121" s="62">
        <f ca="1">AVERAGE(OFFSET($DS$3,0,0,'Données projet'!$E$14+1,1))-AVERAGE(OFFSET($H$3,0,0,'Données projet'!$E$14+1,1))</f>
        <v>290.20755061064017</v>
      </c>
      <c r="DU121" s="62">
        <f t="shared" si="77"/>
        <v>343.54750327717181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25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9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7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-1.1368683772161603E-13</v>
      </c>
      <c r="O122" s="14">
        <f>N122*VLOOKUP('Données projet'!$B$9,Paramètres!$A$1:$I$88,3,0)*VLOOKUP('Données projet'!$B$9,Paramètres!$A$1:$I$88,5,0)</f>
        <v>-5.3205440053716299E-14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300.03481708703549</v>
      </c>
      <c r="T122" s="62">
        <f t="shared" si="56"/>
        <v>102.6350860969182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-2.2737367544323206E-13</v>
      </c>
      <c r="AJ122" s="14">
        <f>AI122*VLOOKUP('Données projet'!$B$10,Paramètres!$A$1:$I$88,3,0)*VLOOKUP('Données projet'!$B$10,Paramètres!$A$1:$I$88,5,0)</f>
        <v>-1.2710188457276673E-13</v>
      </c>
      <c r="AK122" s="14" t="e">
        <f t="shared" si="98"/>
        <v>#NUM!</v>
      </c>
      <c r="AL122" s="22" t="e">
        <f t="shared" si="59"/>
        <v>#NUM!</v>
      </c>
      <c r="AM122" s="62" t="e">
        <f t="shared" si="60"/>
        <v>#NUM!</v>
      </c>
      <c r="AN122" s="62">
        <f ca="1">AVERAGE(OFFSET($AM$3,0,0,'Données projet'!$E$10+1,1))-AVERAGE(OFFSET($H$3,0,0,'Données projet'!$E$10+1,1))</f>
        <v>328.27336939084597</v>
      </c>
      <c r="AO122" s="62">
        <f t="shared" si="61"/>
        <v>448.79354389108755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0.92580114010610093</v>
      </c>
      <c r="AV122" s="23">
        <f>EXP(-LN(2)/25)*AV121+(1-EXP(-LN(2)/25))/(LN(2)/25)*Calculateur!AQ122*Calculateur!AS122*VLOOKUP('Données projet'!$B$9,Paramètres!$A$1:$I$88,3,0)*0.475*44/12</f>
        <v>1.1669232181076095</v>
      </c>
      <c r="AW122" s="23">
        <f>EXP(-LN(2)/2)*AW121+(1-EXP(-LN(2)/2))/(LN(2)/2)*AQ122*AT122*VLOOKUP('Données projet'!$B$9,Paramètres!$A$1:$I$88,3,0)*0.475*44/12</f>
        <v>5.8553907514413059E-13</v>
      </c>
      <c r="AX122" s="23">
        <f t="shared" si="62"/>
        <v>2.092724358214296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-2.2737367544323206E-13</v>
      </c>
      <c r="BE122" s="14">
        <f>BD122*VLOOKUP('Données projet'!$B$11,Paramètres!$A$1:$I$88,3,0)*VLOOKUP('Données projet'!$B$11,Paramètres!$A$1:$I$88,5,0)</f>
        <v>-1.9863364286720756E-13</v>
      </c>
      <c r="BF122" s="14" t="e">
        <f t="shared" si="99"/>
        <v>#NUM!</v>
      </c>
      <c r="BG122" s="22" t="e">
        <f t="shared" si="63"/>
        <v>#NUM!</v>
      </c>
      <c r="BH122" s="62" t="e">
        <f t="shared" si="64"/>
        <v>#NUM!</v>
      </c>
      <c r="BI122" s="62">
        <f ca="1">AVERAGE(OFFSET($BH$3,0,0,'Données projet'!$E$11+1,1))-AVERAGE(OFFSET($H$3,0,0,'Données projet'!$E$11+1,1))</f>
        <v>348.65374983303883</v>
      </c>
      <c r="BJ122" s="62">
        <f t="shared" si="65"/>
        <v>312.05848669315151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-5.6843418860808015E-14</v>
      </c>
      <c r="BZ122" s="14">
        <f>BY122*VLOOKUP('Données projet'!$B$12,Paramètres!$A$1:$I$88,3,0)*VLOOKUP('Données projet'!$B$12,Paramètres!$A$1:$I$88,5,0)</f>
        <v>-4.1677594708744434E-14</v>
      </c>
      <c r="CA122" s="14" t="e">
        <f t="shared" si="100"/>
        <v>#NUM!</v>
      </c>
      <c r="CB122" s="22" t="e">
        <f t="shared" si="67"/>
        <v>#NUM!</v>
      </c>
      <c r="CC122" s="62" t="e">
        <f t="shared" si="68"/>
        <v>#NUM!</v>
      </c>
      <c r="CD122" s="62">
        <f ca="1">AVERAGE(OFFSET($CC$3,0,0,'Données projet'!$E$12+1,1))-AVERAGE(OFFSET($H$3,0,0,'Données projet'!$E$12+1,1))</f>
        <v>264.06656596707364</v>
      </c>
      <c r="CE122" s="62">
        <f t="shared" si="69"/>
        <v>315.34415130230195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5.6843418860808015E-14</v>
      </c>
      <c r="CU122" s="18">
        <f>CT122*VLOOKUP('Données projet'!$B$13,Paramètres!$A$1:$I$88,3,0)*VLOOKUP('Données projet'!$B$13,Paramètres!$A$1:$I$88,5,0)</f>
        <v>3.3992364478763198E-14</v>
      </c>
      <c r="CV122" s="14">
        <f t="shared" si="101"/>
        <v>5.790027782444094E-13</v>
      </c>
      <c r="CW122" s="22">
        <f t="shared" si="71"/>
        <v>1.0676332069095257E-12</v>
      </c>
      <c r="CX122" s="62">
        <f t="shared" si="72"/>
        <v>293.33333333333439</v>
      </c>
      <c r="CY122" s="62">
        <f ca="1">AVERAGE(OFFSET($CX$3,0,0,'Données projet'!$E$13+1,1))-AVERAGE(OFFSET($H$3,0,0,'Données projet'!$E$13+1,1))</f>
        <v>162.29089122912319</v>
      </c>
      <c r="CZ122" s="62">
        <f t="shared" si="73"/>
        <v>253.15422514195427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1.8125267630004873</v>
      </c>
      <c r="DG122" s="23">
        <f>EXP(-LN(2)/25)*DG121+(1-EXP(-LN(2)/25))/(LN(2)/25)*Calculateur!DB122*Calculateur!DD122*VLOOKUP('Données projet'!$B$9,Paramètres!$A$1:$I$88,3,0)*0.475*44/12</f>
        <v>0.45006271916105683</v>
      </c>
      <c r="DH122" s="23">
        <f>EXP(-LN(2)/2)*DH121+(1-EXP(-LN(2)/2))/(LN(2)/2)*DB122*DE122*VLOOKUP('Données projet'!$B$9,Paramètres!$A$1:$I$88,3,0)*0.475*44/12</f>
        <v>9.3898117424848337E-14</v>
      </c>
      <c r="DI122" s="24">
        <f t="shared" si="74"/>
        <v>2.2625894821616379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-5.6843418860808015E-14</v>
      </c>
      <c r="DP122" s="18">
        <f>DO122*VLOOKUP('Données projet'!$B$14,Paramètres!$A$1:$I$88,3,0)*VLOOKUP('Données projet'!$B$14,Paramètres!$A$1:$I$88,5,0)</f>
        <v>-4.5224624045658861E-14</v>
      </c>
      <c r="DQ122" s="14" t="e">
        <f t="shared" si="102"/>
        <v>#NUM!</v>
      </c>
      <c r="DR122" s="22" t="e">
        <f t="shared" si="75"/>
        <v>#NUM!</v>
      </c>
      <c r="DS122" s="62" t="e">
        <f t="shared" si="76"/>
        <v>#NUM!</v>
      </c>
      <c r="DT122" s="62">
        <f ca="1">AVERAGE(OFFSET($DS$3,0,0,'Données projet'!$E$14+1,1))-AVERAGE(OFFSET($H$3,0,0,'Données projet'!$E$14+1,1))</f>
        <v>290.20755061064017</v>
      </c>
      <c r="DU122" s="62">
        <f t="shared" si="77"/>
        <v>343.54750327717181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25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9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7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-1.1368683772161603E-13</v>
      </c>
      <c r="O123" s="14">
        <f>N123*VLOOKUP('Données projet'!$B$9,Paramètres!$A$1:$I$88,3,0)*VLOOKUP('Données projet'!$B$9,Paramètres!$A$1:$I$88,5,0)</f>
        <v>-5.3205440053716299E-14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300.03481708703549</v>
      </c>
      <c r="T123" s="62">
        <f t="shared" si="56"/>
        <v>102.6350860969182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-2.2737367544323206E-13</v>
      </c>
      <c r="AJ123" s="14">
        <f>AI123*VLOOKUP('Données projet'!$B$10,Paramètres!$A$1:$I$88,3,0)*VLOOKUP('Données projet'!$B$10,Paramètres!$A$1:$I$88,5,0)</f>
        <v>-1.2710188457276673E-13</v>
      </c>
      <c r="AK123" s="14" t="e">
        <f t="shared" si="98"/>
        <v>#NUM!</v>
      </c>
      <c r="AL123" s="22" t="e">
        <f t="shared" si="59"/>
        <v>#NUM!</v>
      </c>
      <c r="AM123" s="62" t="e">
        <f t="shared" si="60"/>
        <v>#NUM!</v>
      </c>
      <c r="AN123" s="62">
        <f ca="1">AVERAGE(OFFSET($AM$3,0,0,'Données projet'!$E$10+1,1))-AVERAGE(OFFSET($H$3,0,0,'Données projet'!$E$10+1,1))</f>
        <v>328.27336939084597</v>
      </c>
      <c r="AO123" s="62">
        <f t="shared" si="61"/>
        <v>448.79354389108755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0.90764674443155791</v>
      </c>
      <c r="AV123" s="23">
        <f>EXP(-LN(2)/25)*AV122+(1-EXP(-LN(2)/25))/(LN(2)/25)*Calculateur!AQ123*Calculateur!AS123*VLOOKUP('Données projet'!$B$9,Paramètres!$A$1:$I$88,3,0)*0.475*44/12</f>
        <v>1.1350136413426319</v>
      </c>
      <c r="AW123" s="23">
        <f>EXP(-LN(2)/2)*AW122+(1-EXP(-LN(2)/2))/(LN(2)/2)*AQ123*AT123*VLOOKUP('Données projet'!$B$9,Paramètres!$A$1:$I$88,3,0)*0.475*44/12</f>
        <v>4.1403865068411416E-13</v>
      </c>
      <c r="AX123" s="23">
        <f t="shared" si="62"/>
        <v>2.042660385774604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-2.2737367544323206E-13</v>
      </c>
      <c r="BE123" s="14">
        <f>BD123*VLOOKUP('Données projet'!$B$11,Paramètres!$A$1:$I$88,3,0)*VLOOKUP('Données projet'!$B$11,Paramètres!$A$1:$I$88,5,0)</f>
        <v>-1.9863364286720756E-13</v>
      </c>
      <c r="BF123" s="14" t="e">
        <f t="shared" si="99"/>
        <v>#NUM!</v>
      </c>
      <c r="BG123" s="22" t="e">
        <f t="shared" si="63"/>
        <v>#NUM!</v>
      </c>
      <c r="BH123" s="62" t="e">
        <f t="shared" si="64"/>
        <v>#NUM!</v>
      </c>
      <c r="BI123" s="62">
        <f ca="1">AVERAGE(OFFSET($BH$3,0,0,'Données projet'!$E$11+1,1))-AVERAGE(OFFSET($H$3,0,0,'Données projet'!$E$11+1,1))</f>
        <v>348.65374983303883</v>
      </c>
      <c r="BJ123" s="62">
        <f t="shared" si="65"/>
        <v>312.05848669315151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-5.6843418860808015E-14</v>
      </c>
      <c r="BZ123" s="14">
        <f>BY123*VLOOKUP('Données projet'!$B$12,Paramètres!$A$1:$I$88,3,0)*VLOOKUP('Données projet'!$B$12,Paramètres!$A$1:$I$88,5,0)</f>
        <v>-4.1677594708744434E-14</v>
      </c>
      <c r="CA123" s="14" t="e">
        <f t="shared" si="100"/>
        <v>#NUM!</v>
      </c>
      <c r="CB123" s="22" t="e">
        <f t="shared" si="67"/>
        <v>#NUM!</v>
      </c>
      <c r="CC123" s="62" t="e">
        <f t="shared" si="68"/>
        <v>#NUM!</v>
      </c>
      <c r="CD123" s="62">
        <f ca="1">AVERAGE(OFFSET($CC$3,0,0,'Données projet'!$E$12+1,1))-AVERAGE(OFFSET($H$3,0,0,'Données projet'!$E$12+1,1))</f>
        <v>264.06656596707364</v>
      </c>
      <c r="CE123" s="62">
        <f t="shared" si="69"/>
        <v>315.34415130230195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5.6843418860808015E-14</v>
      </c>
      <c r="CU123" s="18">
        <f>CT123*VLOOKUP('Données projet'!$B$13,Paramètres!$A$1:$I$88,3,0)*VLOOKUP('Données projet'!$B$13,Paramètres!$A$1:$I$88,5,0)</f>
        <v>3.3992364478763198E-14</v>
      </c>
      <c r="CV123" s="14">
        <f t="shared" si="101"/>
        <v>5.790027782444094E-13</v>
      </c>
      <c r="CW123" s="22">
        <f t="shared" si="71"/>
        <v>1.0676332069095257E-12</v>
      </c>
      <c r="CX123" s="62">
        <f t="shared" si="72"/>
        <v>293.33333333333439</v>
      </c>
      <c r="CY123" s="62">
        <f ca="1">AVERAGE(OFFSET($CX$3,0,0,'Données projet'!$E$13+1,1))-AVERAGE(OFFSET($H$3,0,0,'Données projet'!$E$13+1,1))</f>
        <v>162.29089122912319</v>
      </c>
      <c r="CZ123" s="62">
        <f t="shared" si="73"/>
        <v>253.15422514195427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1.7769842187102109</v>
      </c>
      <c r="DG123" s="23">
        <f>EXP(-LN(2)/25)*DG122+(1-EXP(-LN(2)/25))/(LN(2)/25)*Calculateur!DB123*Calculateur!DD123*VLOOKUP('Données projet'!$B$9,Paramètres!$A$1:$I$88,3,0)*0.475*44/12</f>
        <v>0.43775573043782795</v>
      </c>
      <c r="DH123" s="23">
        <f>EXP(-LN(2)/2)*DH122+(1-EXP(-LN(2)/2))/(LN(2)/2)*DB123*DE123*VLOOKUP('Données projet'!$B$9,Paramètres!$A$1:$I$88,3,0)*0.475*44/12</f>
        <v>6.6395995571760977E-14</v>
      </c>
      <c r="DI123" s="24">
        <f t="shared" si="74"/>
        <v>2.2147399491481057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-5.6843418860808015E-14</v>
      </c>
      <c r="DP123" s="18">
        <f>DO123*VLOOKUP('Données projet'!$B$14,Paramètres!$A$1:$I$88,3,0)*VLOOKUP('Données projet'!$B$14,Paramètres!$A$1:$I$88,5,0)</f>
        <v>-4.5224624045658861E-14</v>
      </c>
      <c r="DQ123" s="14" t="e">
        <f t="shared" si="102"/>
        <v>#NUM!</v>
      </c>
      <c r="DR123" s="22" t="e">
        <f t="shared" si="75"/>
        <v>#NUM!</v>
      </c>
      <c r="DS123" s="62" t="e">
        <f t="shared" si="76"/>
        <v>#NUM!</v>
      </c>
      <c r="DT123" s="62">
        <f ca="1">AVERAGE(OFFSET($DS$3,0,0,'Données projet'!$E$14+1,1))-AVERAGE(OFFSET($H$3,0,0,'Données projet'!$E$14+1,1))</f>
        <v>290.20755061064017</v>
      </c>
      <c r="DU123" s="62">
        <f t="shared" si="77"/>
        <v>343.54750327717181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25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9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7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-1.1368683772161603E-13</v>
      </c>
      <c r="O124" s="14">
        <f>N124*VLOOKUP('Données projet'!$B$9,Paramètres!$A$1:$I$88,3,0)*VLOOKUP('Données projet'!$B$9,Paramètres!$A$1:$I$88,5,0)</f>
        <v>-5.3205440053716299E-14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300.03481708703549</v>
      </c>
      <c r="T124" s="62">
        <f t="shared" si="56"/>
        <v>102.6350860969182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-2.2737367544323206E-13</v>
      </c>
      <c r="AJ124" s="14">
        <f>AI124*VLOOKUP('Données projet'!$B$10,Paramètres!$A$1:$I$88,3,0)*VLOOKUP('Données projet'!$B$10,Paramètres!$A$1:$I$88,5,0)</f>
        <v>-1.2710188457276673E-13</v>
      </c>
      <c r="AK124" s="14" t="e">
        <f t="shared" si="98"/>
        <v>#NUM!</v>
      </c>
      <c r="AL124" s="22" t="e">
        <f t="shared" si="59"/>
        <v>#NUM!</v>
      </c>
      <c r="AM124" s="62" t="e">
        <f t="shared" si="60"/>
        <v>#NUM!</v>
      </c>
      <c r="AN124" s="62">
        <f ca="1">AVERAGE(OFFSET($AM$3,0,0,'Données projet'!$E$10+1,1))-AVERAGE(OFFSET($H$3,0,0,'Données projet'!$E$10+1,1))</f>
        <v>328.27336939084597</v>
      </c>
      <c r="AO124" s="62">
        <f t="shared" si="61"/>
        <v>448.79354389108755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0.88984834538310476</v>
      </c>
      <c r="AV124" s="23">
        <f>EXP(-LN(2)/25)*AV123+(1-EXP(-LN(2)/25))/(LN(2)/25)*Calculateur!AQ124*Calculateur!AS124*VLOOKUP('Données projet'!$B$9,Paramètres!$A$1:$I$88,3,0)*0.475*44/12</f>
        <v>1.1039766336323444</v>
      </c>
      <c r="AW124" s="23">
        <f>EXP(-LN(2)/2)*AW123+(1-EXP(-LN(2)/2))/(LN(2)/2)*AQ124*AT124*VLOOKUP('Données projet'!$B$9,Paramètres!$A$1:$I$88,3,0)*0.475*44/12</f>
        <v>2.9276953757206529E-13</v>
      </c>
      <c r="AX124" s="23">
        <f t="shared" si="62"/>
        <v>1.9938249790157421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-2.2737367544323206E-13</v>
      </c>
      <c r="BE124" s="14">
        <f>BD124*VLOOKUP('Données projet'!$B$11,Paramètres!$A$1:$I$88,3,0)*VLOOKUP('Données projet'!$B$11,Paramètres!$A$1:$I$88,5,0)</f>
        <v>-1.9863364286720756E-13</v>
      </c>
      <c r="BF124" s="14" t="e">
        <f t="shared" si="99"/>
        <v>#NUM!</v>
      </c>
      <c r="BG124" s="22" t="e">
        <f t="shared" si="63"/>
        <v>#NUM!</v>
      </c>
      <c r="BH124" s="62" t="e">
        <f t="shared" si="64"/>
        <v>#NUM!</v>
      </c>
      <c r="BI124" s="62">
        <f ca="1">AVERAGE(OFFSET($BH$3,0,0,'Données projet'!$E$11+1,1))-AVERAGE(OFFSET($H$3,0,0,'Données projet'!$E$11+1,1))</f>
        <v>348.65374983303883</v>
      </c>
      <c r="BJ124" s="62">
        <f t="shared" si="65"/>
        <v>312.05848669315151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-5.6843418860808015E-14</v>
      </c>
      <c r="BZ124" s="14">
        <f>BY124*VLOOKUP('Données projet'!$B$12,Paramètres!$A$1:$I$88,3,0)*VLOOKUP('Données projet'!$B$12,Paramètres!$A$1:$I$88,5,0)</f>
        <v>-4.1677594708744434E-14</v>
      </c>
      <c r="CA124" s="14" t="e">
        <f t="shared" si="100"/>
        <v>#NUM!</v>
      </c>
      <c r="CB124" s="22" t="e">
        <f t="shared" si="67"/>
        <v>#NUM!</v>
      </c>
      <c r="CC124" s="62" t="e">
        <f t="shared" si="68"/>
        <v>#NUM!</v>
      </c>
      <c r="CD124" s="62">
        <f ca="1">AVERAGE(OFFSET($CC$3,0,0,'Données projet'!$E$12+1,1))-AVERAGE(OFFSET($H$3,0,0,'Données projet'!$E$12+1,1))</f>
        <v>264.06656596707364</v>
      </c>
      <c r="CE124" s="62">
        <f t="shared" si="69"/>
        <v>315.34415130230195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5.6843418860808015E-14</v>
      </c>
      <c r="CU124" s="18">
        <f>CT124*VLOOKUP('Données projet'!$B$13,Paramètres!$A$1:$I$88,3,0)*VLOOKUP('Données projet'!$B$13,Paramètres!$A$1:$I$88,5,0)</f>
        <v>3.3992364478763198E-14</v>
      </c>
      <c r="CV124" s="14">
        <f t="shared" si="101"/>
        <v>5.790027782444094E-13</v>
      </c>
      <c r="CW124" s="22">
        <f t="shared" si="71"/>
        <v>1.0676332069095257E-12</v>
      </c>
      <c r="CX124" s="62">
        <f t="shared" si="72"/>
        <v>293.33333333333439</v>
      </c>
      <c r="CY124" s="62">
        <f ca="1">AVERAGE(OFFSET($CX$3,0,0,'Données projet'!$E$13+1,1))-AVERAGE(OFFSET($H$3,0,0,'Données projet'!$E$13+1,1))</f>
        <v>162.29089122912319</v>
      </c>
      <c r="CZ124" s="62">
        <f t="shared" si="73"/>
        <v>253.15422514195427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1.7421386420346554</v>
      </c>
      <c r="DG124" s="23">
        <f>EXP(-LN(2)/25)*DG123+(1-EXP(-LN(2)/25))/(LN(2)/25)*Calculateur!DB124*Calculateur!DD124*VLOOKUP('Données projet'!$B$9,Paramètres!$A$1:$I$88,3,0)*0.475*44/12</f>
        <v>0.42578527696843216</v>
      </c>
      <c r="DH124" s="23">
        <f>EXP(-LN(2)/2)*DH123+(1-EXP(-LN(2)/2))/(LN(2)/2)*DB124*DE124*VLOOKUP('Données projet'!$B$9,Paramètres!$A$1:$I$88,3,0)*0.475*44/12</f>
        <v>4.6949058712424168E-14</v>
      </c>
      <c r="DI124" s="24">
        <f t="shared" si="74"/>
        <v>2.1679239190031345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-5.6843418860808015E-14</v>
      </c>
      <c r="DP124" s="18">
        <f>DO124*VLOOKUP('Données projet'!$B$14,Paramètres!$A$1:$I$88,3,0)*VLOOKUP('Données projet'!$B$14,Paramètres!$A$1:$I$88,5,0)</f>
        <v>-4.5224624045658861E-14</v>
      </c>
      <c r="DQ124" s="14" t="e">
        <f t="shared" si="102"/>
        <v>#NUM!</v>
      </c>
      <c r="DR124" s="22" t="e">
        <f t="shared" si="75"/>
        <v>#NUM!</v>
      </c>
      <c r="DS124" s="62" t="e">
        <f t="shared" si="76"/>
        <v>#NUM!</v>
      </c>
      <c r="DT124" s="62">
        <f ca="1">AVERAGE(OFFSET($DS$3,0,0,'Données projet'!$E$14+1,1))-AVERAGE(OFFSET($H$3,0,0,'Données projet'!$E$14+1,1))</f>
        <v>290.20755061064017</v>
      </c>
      <c r="DU124" s="62">
        <f t="shared" si="77"/>
        <v>343.54750327717181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25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9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7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-1.1368683772161603E-13</v>
      </c>
      <c r="O125" s="14">
        <f>N125*VLOOKUP('Données projet'!$B$9,Paramètres!$A$1:$I$88,3,0)*VLOOKUP('Données projet'!$B$9,Paramètres!$A$1:$I$88,5,0)</f>
        <v>-5.3205440053716299E-14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300.03481708703549</v>
      </c>
      <c r="T125" s="62">
        <f t="shared" si="56"/>
        <v>102.6350860969182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-2.2737367544323206E-13</v>
      </c>
      <c r="AJ125" s="14">
        <f>AI125*VLOOKUP('Données projet'!$B$10,Paramètres!$A$1:$I$88,3,0)*VLOOKUP('Données projet'!$B$10,Paramètres!$A$1:$I$88,5,0)</f>
        <v>-1.2710188457276673E-13</v>
      </c>
      <c r="AK125" s="14" t="e">
        <f t="shared" si="98"/>
        <v>#NUM!</v>
      </c>
      <c r="AL125" s="22" t="e">
        <f t="shared" si="59"/>
        <v>#NUM!</v>
      </c>
      <c r="AM125" s="62" t="e">
        <f t="shared" si="60"/>
        <v>#NUM!</v>
      </c>
      <c r="AN125" s="62">
        <f ca="1">AVERAGE(OFFSET($AM$3,0,0,'Données projet'!$E$10+1,1))-AVERAGE(OFFSET($H$3,0,0,'Données projet'!$E$10+1,1))</f>
        <v>328.27336939084597</v>
      </c>
      <c r="AO125" s="62">
        <f t="shared" si="61"/>
        <v>448.79354389108755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0.87239896208404022</v>
      </c>
      <c r="AV125" s="23">
        <f>EXP(-LN(2)/25)*AV124+(1-EXP(-LN(2)/25))/(LN(2)/25)*Calculateur!AQ125*Calculateur!AS125*VLOOKUP('Données projet'!$B$9,Paramètres!$A$1:$I$88,3,0)*0.475*44/12</f>
        <v>1.0737883345300601</v>
      </c>
      <c r="AW125" s="23">
        <f>EXP(-LN(2)/2)*AW124+(1-EXP(-LN(2)/2))/(LN(2)/2)*AQ125*AT125*VLOOKUP('Données projet'!$B$9,Paramètres!$A$1:$I$88,3,0)*0.475*44/12</f>
        <v>2.0701932534205708E-13</v>
      </c>
      <c r="AX125" s="23">
        <f t="shared" si="62"/>
        <v>1.9461872966143072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-2.2737367544323206E-13</v>
      </c>
      <c r="BE125" s="14">
        <f>BD125*VLOOKUP('Données projet'!$B$11,Paramètres!$A$1:$I$88,3,0)*VLOOKUP('Données projet'!$B$11,Paramètres!$A$1:$I$88,5,0)</f>
        <v>-1.9863364286720756E-13</v>
      </c>
      <c r="BF125" s="14" t="e">
        <f t="shared" si="99"/>
        <v>#NUM!</v>
      </c>
      <c r="BG125" s="22" t="e">
        <f t="shared" si="63"/>
        <v>#NUM!</v>
      </c>
      <c r="BH125" s="62" t="e">
        <f t="shared" si="64"/>
        <v>#NUM!</v>
      </c>
      <c r="BI125" s="62">
        <f ca="1">AVERAGE(OFFSET($BH$3,0,0,'Données projet'!$E$11+1,1))-AVERAGE(OFFSET($H$3,0,0,'Données projet'!$E$11+1,1))</f>
        <v>348.65374983303883</v>
      </c>
      <c r="BJ125" s="62">
        <f t="shared" si="65"/>
        <v>312.05848669315151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-5.6843418860808015E-14</v>
      </c>
      <c r="BZ125" s="14">
        <f>BY125*VLOOKUP('Données projet'!$B$12,Paramètres!$A$1:$I$88,3,0)*VLOOKUP('Données projet'!$B$12,Paramètres!$A$1:$I$88,5,0)</f>
        <v>-4.1677594708744434E-14</v>
      </c>
      <c r="CA125" s="14" t="e">
        <f t="shared" si="100"/>
        <v>#NUM!</v>
      </c>
      <c r="CB125" s="22" t="e">
        <f t="shared" si="67"/>
        <v>#NUM!</v>
      </c>
      <c r="CC125" s="62" t="e">
        <f t="shared" si="68"/>
        <v>#NUM!</v>
      </c>
      <c r="CD125" s="62">
        <f ca="1">AVERAGE(OFFSET($CC$3,0,0,'Données projet'!$E$12+1,1))-AVERAGE(OFFSET($H$3,0,0,'Données projet'!$E$12+1,1))</f>
        <v>264.06656596707364</v>
      </c>
      <c r="CE125" s="62">
        <f t="shared" si="69"/>
        <v>315.34415130230195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5.6843418860808015E-14</v>
      </c>
      <c r="CU125" s="18">
        <f>CT125*VLOOKUP('Données projet'!$B$13,Paramètres!$A$1:$I$88,3,0)*VLOOKUP('Données projet'!$B$13,Paramètres!$A$1:$I$88,5,0)</f>
        <v>3.3992364478763198E-14</v>
      </c>
      <c r="CV125" s="14">
        <f t="shared" si="101"/>
        <v>5.790027782444094E-13</v>
      </c>
      <c r="CW125" s="22">
        <f t="shared" si="71"/>
        <v>1.0676332069095257E-12</v>
      </c>
      <c r="CX125" s="62">
        <f t="shared" si="72"/>
        <v>293.33333333333439</v>
      </c>
      <c r="CY125" s="62">
        <f ca="1">AVERAGE(OFFSET($CX$3,0,0,'Données projet'!$E$13+1,1))-AVERAGE(OFFSET($H$3,0,0,'Données projet'!$E$13+1,1))</f>
        <v>162.29089122912319</v>
      </c>
      <c r="CZ125" s="62">
        <f t="shared" si="73"/>
        <v>253.15422514195427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1.7079763658640044</v>
      </c>
      <c r="DG125" s="23">
        <f>EXP(-LN(2)/25)*DG124+(1-EXP(-LN(2)/25))/(LN(2)/25)*Calculateur!DB125*Calculateur!DD125*VLOOKUP('Données projet'!$B$9,Paramètres!$A$1:$I$88,3,0)*0.475*44/12</f>
        <v>0.4141421561786558</v>
      </c>
      <c r="DH125" s="23">
        <f>EXP(-LN(2)/2)*DH124+(1-EXP(-LN(2)/2))/(LN(2)/2)*DB125*DE125*VLOOKUP('Données projet'!$B$9,Paramètres!$A$1:$I$88,3,0)*0.475*44/12</f>
        <v>3.3197997785880489E-14</v>
      </c>
      <c r="DI125" s="24">
        <f t="shared" si="74"/>
        <v>2.1221185220426935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-5.6843418860808015E-14</v>
      </c>
      <c r="DP125" s="18">
        <f>DO125*VLOOKUP('Données projet'!$B$14,Paramètres!$A$1:$I$88,3,0)*VLOOKUP('Données projet'!$B$14,Paramètres!$A$1:$I$88,5,0)</f>
        <v>-4.5224624045658861E-14</v>
      </c>
      <c r="DQ125" s="14" t="e">
        <f t="shared" si="102"/>
        <v>#NUM!</v>
      </c>
      <c r="DR125" s="22" t="e">
        <f t="shared" si="75"/>
        <v>#NUM!</v>
      </c>
      <c r="DS125" s="62" t="e">
        <f t="shared" si="76"/>
        <v>#NUM!</v>
      </c>
      <c r="DT125" s="62">
        <f ca="1">AVERAGE(OFFSET($DS$3,0,0,'Données projet'!$E$14+1,1))-AVERAGE(OFFSET($H$3,0,0,'Données projet'!$E$14+1,1))</f>
        <v>290.20755061064017</v>
      </c>
      <c r="DU125" s="62">
        <f t="shared" si="77"/>
        <v>343.54750327717181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25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9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7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-1.1368683772161603E-13</v>
      </c>
      <c r="O126" s="14">
        <f>N126*VLOOKUP('Données projet'!$B$9,Paramètres!$A$1:$I$88,3,0)*VLOOKUP('Données projet'!$B$9,Paramètres!$A$1:$I$88,5,0)</f>
        <v>-5.3205440053716299E-14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300.03481708703549</v>
      </c>
      <c r="T126" s="62">
        <f t="shared" si="56"/>
        <v>102.6350860969182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-2.2737367544323206E-13</v>
      </c>
      <c r="AJ126" s="14">
        <f>AI126*VLOOKUP('Données projet'!$B$10,Paramètres!$A$1:$I$88,3,0)*VLOOKUP('Données projet'!$B$10,Paramètres!$A$1:$I$88,5,0)</f>
        <v>-1.2710188457276673E-13</v>
      </c>
      <c r="AK126" s="14" t="e">
        <f t="shared" si="98"/>
        <v>#NUM!</v>
      </c>
      <c r="AL126" s="22" t="e">
        <f t="shared" si="59"/>
        <v>#NUM!</v>
      </c>
      <c r="AM126" s="62" t="e">
        <f t="shared" si="60"/>
        <v>#NUM!</v>
      </c>
      <c r="AN126" s="62">
        <f ca="1">AVERAGE(OFFSET($AM$3,0,0,'Données projet'!$E$10+1,1))-AVERAGE(OFFSET($H$3,0,0,'Données projet'!$E$10+1,1))</f>
        <v>328.27336939084597</v>
      </c>
      <c r="AO126" s="62">
        <f t="shared" si="61"/>
        <v>448.79354389108755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0.85529175054839746</v>
      </c>
      <c r="AV126" s="23">
        <f>EXP(-LN(2)/25)*AV125+(1-EXP(-LN(2)/25))/(LN(2)/25)*Calculateur!AQ126*Calculateur!AS126*VLOOKUP('Données projet'!$B$9,Paramètres!$A$1:$I$88,3,0)*0.475*44/12</f>
        <v>1.0444255360542611</v>
      </c>
      <c r="AW126" s="23">
        <f>EXP(-LN(2)/2)*AW125+(1-EXP(-LN(2)/2))/(LN(2)/2)*AQ126*AT126*VLOOKUP('Données projet'!$B$9,Paramètres!$A$1:$I$88,3,0)*0.475*44/12</f>
        <v>1.4638476878603265E-13</v>
      </c>
      <c r="AX126" s="23">
        <f t="shared" si="62"/>
        <v>1.8997172866028049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-2.2737367544323206E-13</v>
      </c>
      <c r="BE126" s="14">
        <f>BD126*VLOOKUP('Données projet'!$B$11,Paramètres!$A$1:$I$88,3,0)*VLOOKUP('Données projet'!$B$11,Paramètres!$A$1:$I$88,5,0)</f>
        <v>-1.9863364286720756E-13</v>
      </c>
      <c r="BF126" s="14" t="e">
        <f t="shared" si="99"/>
        <v>#NUM!</v>
      </c>
      <c r="BG126" s="22" t="e">
        <f t="shared" si="63"/>
        <v>#NUM!</v>
      </c>
      <c r="BH126" s="62" t="e">
        <f t="shared" si="64"/>
        <v>#NUM!</v>
      </c>
      <c r="BI126" s="62">
        <f ca="1">AVERAGE(OFFSET($BH$3,0,0,'Données projet'!$E$11+1,1))-AVERAGE(OFFSET($H$3,0,0,'Données projet'!$E$11+1,1))</f>
        <v>348.65374983303883</v>
      </c>
      <c r="BJ126" s="62">
        <f t="shared" si="65"/>
        <v>312.05848669315151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-5.6843418860808015E-14</v>
      </c>
      <c r="BZ126" s="14">
        <f>BY126*VLOOKUP('Données projet'!$B$12,Paramètres!$A$1:$I$88,3,0)*VLOOKUP('Données projet'!$B$12,Paramètres!$A$1:$I$88,5,0)</f>
        <v>-4.1677594708744434E-14</v>
      </c>
      <c r="CA126" s="14" t="e">
        <f t="shared" si="100"/>
        <v>#NUM!</v>
      </c>
      <c r="CB126" s="22" t="e">
        <f t="shared" si="67"/>
        <v>#NUM!</v>
      </c>
      <c r="CC126" s="62" t="e">
        <f t="shared" si="68"/>
        <v>#NUM!</v>
      </c>
      <c r="CD126" s="62">
        <f ca="1">AVERAGE(OFFSET($CC$3,0,0,'Données projet'!$E$12+1,1))-AVERAGE(OFFSET($H$3,0,0,'Données projet'!$E$12+1,1))</f>
        <v>264.06656596707364</v>
      </c>
      <c r="CE126" s="62">
        <f t="shared" si="69"/>
        <v>315.34415130230195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5.6843418860808015E-14</v>
      </c>
      <c r="CU126" s="18">
        <f>CT126*VLOOKUP('Données projet'!$B$13,Paramètres!$A$1:$I$88,3,0)*VLOOKUP('Données projet'!$B$13,Paramètres!$A$1:$I$88,5,0)</f>
        <v>3.3992364478763198E-14</v>
      </c>
      <c r="CV126" s="14">
        <f t="shared" si="101"/>
        <v>5.790027782444094E-13</v>
      </c>
      <c r="CW126" s="22">
        <f t="shared" si="71"/>
        <v>1.0676332069095257E-12</v>
      </c>
      <c r="CX126" s="62">
        <f t="shared" si="72"/>
        <v>293.33333333333439</v>
      </c>
      <c r="CY126" s="62">
        <f ca="1">AVERAGE(OFFSET($CX$3,0,0,'Données projet'!$E$13+1,1))-AVERAGE(OFFSET($H$3,0,0,'Données projet'!$E$13+1,1))</f>
        <v>162.29089122912319</v>
      </c>
      <c r="CZ126" s="62">
        <f t="shared" si="73"/>
        <v>253.15422514195427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1.674483991092129</v>
      </c>
      <c r="DG126" s="23">
        <f>EXP(-LN(2)/25)*DG125+(1-EXP(-LN(2)/25))/(LN(2)/25)*Calculateur!DB126*Calculateur!DD126*VLOOKUP('Données projet'!$B$9,Paramètres!$A$1:$I$88,3,0)*0.475*44/12</f>
        <v>0.40281741713916097</v>
      </c>
      <c r="DH126" s="23">
        <f>EXP(-LN(2)/2)*DH125+(1-EXP(-LN(2)/2))/(LN(2)/2)*DB126*DE126*VLOOKUP('Données projet'!$B$9,Paramètres!$A$1:$I$88,3,0)*0.475*44/12</f>
        <v>2.3474529356212084E-14</v>
      </c>
      <c r="DI126" s="24">
        <f t="shared" si="74"/>
        <v>2.0773014082313135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-5.6843418860808015E-14</v>
      </c>
      <c r="DP126" s="18">
        <f>DO126*VLOOKUP('Données projet'!$B$14,Paramètres!$A$1:$I$88,3,0)*VLOOKUP('Données projet'!$B$14,Paramètres!$A$1:$I$88,5,0)</f>
        <v>-4.5224624045658861E-14</v>
      </c>
      <c r="DQ126" s="14" t="e">
        <f t="shared" si="102"/>
        <v>#NUM!</v>
      </c>
      <c r="DR126" s="22" t="e">
        <f t="shared" si="75"/>
        <v>#NUM!</v>
      </c>
      <c r="DS126" s="62" t="e">
        <f t="shared" si="76"/>
        <v>#NUM!</v>
      </c>
      <c r="DT126" s="62">
        <f ca="1">AVERAGE(OFFSET($DS$3,0,0,'Données projet'!$E$14+1,1))-AVERAGE(OFFSET($H$3,0,0,'Données projet'!$E$14+1,1))</f>
        <v>290.20755061064017</v>
      </c>
      <c r="DU126" s="62">
        <f t="shared" si="77"/>
        <v>343.54750327717181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25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9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7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-1.1368683772161603E-13</v>
      </c>
      <c r="O127" s="14">
        <f>N127*VLOOKUP('Données projet'!$B$9,Paramètres!$A$1:$I$88,3,0)*VLOOKUP('Données projet'!$B$9,Paramètres!$A$1:$I$88,5,0)</f>
        <v>-5.3205440053716299E-14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300.03481708703549</v>
      </c>
      <c r="T127" s="62">
        <f t="shared" si="56"/>
        <v>102.6350860969182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-2.2737367544323206E-13</v>
      </c>
      <c r="AJ127" s="14">
        <f>AI127*VLOOKUP('Données projet'!$B$10,Paramètres!$A$1:$I$88,3,0)*VLOOKUP('Données projet'!$B$10,Paramètres!$A$1:$I$88,5,0)</f>
        <v>-1.2710188457276673E-13</v>
      </c>
      <c r="AK127" s="14" t="e">
        <f t="shared" si="98"/>
        <v>#NUM!</v>
      </c>
      <c r="AL127" s="22" t="e">
        <f t="shared" si="59"/>
        <v>#NUM!</v>
      </c>
      <c r="AM127" s="62" t="e">
        <f t="shared" si="60"/>
        <v>#NUM!</v>
      </c>
      <c r="AN127" s="62">
        <f ca="1">AVERAGE(OFFSET($AM$3,0,0,'Données projet'!$E$10+1,1))-AVERAGE(OFFSET($H$3,0,0,'Données projet'!$E$10+1,1))</f>
        <v>328.27336939084597</v>
      </c>
      <c r="AO127" s="62">
        <f t="shared" si="61"/>
        <v>448.79354389108755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0.83852000099659996</v>
      </c>
      <c r="AV127" s="23">
        <f>EXP(-LN(2)/25)*AV126+(1-EXP(-LN(2)/25))/(LN(2)/25)*Calculateur!AQ127*Calculateur!AS127*VLOOKUP('Données projet'!$B$9,Paramètres!$A$1:$I$88,3,0)*0.475*44/12</f>
        <v>1.0158656648469055</v>
      </c>
      <c r="AW127" s="23">
        <f>EXP(-LN(2)/2)*AW126+(1-EXP(-LN(2)/2))/(LN(2)/2)*AQ127*AT127*VLOOKUP('Données projet'!$B$9,Paramètres!$A$1:$I$88,3,0)*0.475*44/12</f>
        <v>1.0350966267102854E-13</v>
      </c>
      <c r="AX127" s="23">
        <f t="shared" si="62"/>
        <v>1.8543856658436089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-2.2737367544323206E-13</v>
      </c>
      <c r="BE127" s="14">
        <f>BD127*VLOOKUP('Données projet'!$B$11,Paramètres!$A$1:$I$88,3,0)*VLOOKUP('Données projet'!$B$11,Paramètres!$A$1:$I$88,5,0)</f>
        <v>-1.9863364286720756E-13</v>
      </c>
      <c r="BF127" s="14" t="e">
        <f t="shared" si="99"/>
        <v>#NUM!</v>
      </c>
      <c r="BG127" s="22" t="e">
        <f t="shared" si="63"/>
        <v>#NUM!</v>
      </c>
      <c r="BH127" s="62" t="e">
        <f t="shared" si="64"/>
        <v>#NUM!</v>
      </c>
      <c r="BI127" s="62">
        <f ca="1">AVERAGE(OFFSET($BH$3,0,0,'Données projet'!$E$11+1,1))-AVERAGE(OFFSET($H$3,0,0,'Données projet'!$E$11+1,1))</f>
        <v>348.65374983303883</v>
      </c>
      <c r="BJ127" s="62">
        <f t="shared" si="65"/>
        <v>312.05848669315151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-5.6843418860808015E-14</v>
      </c>
      <c r="BZ127" s="14">
        <f>BY127*VLOOKUP('Données projet'!$B$12,Paramètres!$A$1:$I$88,3,0)*VLOOKUP('Données projet'!$B$12,Paramètres!$A$1:$I$88,5,0)</f>
        <v>-4.1677594708744434E-14</v>
      </c>
      <c r="CA127" s="14" t="e">
        <f t="shared" si="100"/>
        <v>#NUM!</v>
      </c>
      <c r="CB127" s="22" t="e">
        <f t="shared" si="67"/>
        <v>#NUM!</v>
      </c>
      <c r="CC127" s="62" t="e">
        <f t="shared" si="68"/>
        <v>#NUM!</v>
      </c>
      <c r="CD127" s="62">
        <f ca="1">AVERAGE(OFFSET($CC$3,0,0,'Données projet'!$E$12+1,1))-AVERAGE(OFFSET($H$3,0,0,'Données projet'!$E$12+1,1))</f>
        <v>264.06656596707364</v>
      </c>
      <c r="CE127" s="62">
        <f t="shared" si="69"/>
        <v>315.34415130230195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5.6843418860808015E-14</v>
      </c>
      <c r="CU127" s="18">
        <f>CT127*VLOOKUP('Données projet'!$B$13,Paramètres!$A$1:$I$88,3,0)*VLOOKUP('Données projet'!$B$13,Paramètres!$A$1:$I$88,5,0)</f>
        <v>3.3992364478763198E-14</v>
      </c>
      <c r="CV127" s="14">
        <f t="shared" si="101"/>
        <v>5.790027782444094E-13</v>
      </c>
      <c r="CW127" s="22">
        <f t="shared" si="71"/>
        <v>1.0676332069095257E-12</v>
      </c>
      <c r="CX127" s="62">
        <f t="shared" si="72"/>
        <v>293.33333333333439</v>
      </c>
      <c r="CY127" s="62">
        <f ca="1">AVERAGE(OFFSET($CX$3,0,0,'Données projet'!$E$13+1,1))-AVERAGE(OFFSET($H$3,0,0,'Données projet'!$E$13+1,1))</f>
        <v>162.29089122912319</v>
      </c>
      <c r="CZ127" s="62">
        <f t="shared" si="73"/>
        <v>253.15422514195427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1.6416483813611984</v>
      </c>
      <c r="DG127" s="23">
        <f>EXP(-LN(2)/25)*DG126+(1-EXP(-LN(2)/25))/(LN(2)/25)*Calculateur!DB127*Calculateur!DD127*VLOOKUP('Données projet'!$B$9,Paramètres!$A$1:$I$88,3,0)*0.475*44/12</f>
        <v>0.39180235368424332</v>
      </c>
      <c r="DH127" s="23">
        <f>EXP(-LN(2)/2)*DH126+(1-EXP(-LN(2)/2))/(LN(2)/2)*DB127*DE127*VLOOKUP('Données projet'!$B$9,Paramètres!$A$1:$I$88,3,0)*0.475*44/12</f>
        <v>1.6598998892940244E-14</v>
      </c>
      <c r="DI127" s="24">
        <f t="shared" si="74"/>
        <v>2.033450735045458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-5.6843418860808015E-14</v>
      </c>
      <c r="DP127" s="18">
        <f>DO127*VLOOKUP('Données projet'!$B$14,Paramètres!$A$1:$I$88,3,0)*VLOOKUP('Données projet'!$B$14,Paramètres!$A$1:$I$88,5,0)</f>
        <v>-4.5224624045658861E-14</v>
      </c>
      <c r="DQ127" s="14" t="e">
        <f t="shared" si="102"/>
        <v>#NUM!</v>
      </c>
      <c r="DR127" s="22" t="e">
        <f t="shared" si="75"/>
        <v>#NUM!</v>
      </c>
      <c r="DS127" s="62" t="e">
        <f t="shared" si="76"/>
        <v>#NUM!</v>
      </c>
      <c r="DT127" s="62">
        <f ca="1">AVERAGE(OFFSET($DS$3,0,0,'Données projet'!$E$14+1,1))-AVERAGE(OFFSET($H$3,0,0,'Données projet'!$E$14+1,1))</f>
        <v>290.20755061064017</v>
      </c>
      <c r="DU127" s="62">
        <f t="shared" si="77"/>
        <v>343.54750327717181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25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9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7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-1.1368683772161603E-13</v>
      </c>
      <c r="O128" s="14">
        <f>N128*VLOOKUP('Données projet'!$B$9,Paramètres!$A$1:$I$88,3,0)*VLOOKUP('Données projet'!$B$9,Paramètres!$A$1:$I$88,5,0)</f>
        <v>-5.3205440053716299E-14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300.03481708703549</v>
      </c>
      <c r="T128" s="62">
        <f t="shared" si="56"/>
        <v>102.6350860969182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-2.2737367544323206E-13</v>
      </c>
      <c r="AJ128" s="14">
        <f>AI128*VLOOKUP('Données projet'!$B$10,Paramètres!$A$1:$I$88,3,0)*VLOOKUP('Données projet'!$B$10,Paramètres!$A$1:$I$88,5,0)</f>
        <v>-1.2710188457276673E-13</v>
      </c>
      <c r="AK128" s="14" t="e">
        <f t="shared" si="98"/>
        <v>#NUM!</v>
      </c>
      <c r="AL128" s="22" t="e">
        <f t="shared" si="59"/>
        <v>#NUM!</v>
      </c>
      <c r="AM128" s="62" t="e">
        <f t="shared" si="60"/>
        <v>#NUM!</v>
      </c>
      <c r="AN128" s="62">
        <f ca="1">AVERAGE(OFFSET($AM$3,0,0,'Données projet'!$E$10+1,1))-AVERAGE(OFFSET($H$3,0,0,'Données projet'!$E$10+1,1))</f>
        <v>328.27336939084597</v>
      </c>
      <c r="AO128" s="62">
        <f t="shared" si="61"/>
        <v>448.79354389108755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0.82207713522375603</v>
      </c>
      <c r="AV128" s="23">
        <f>EXP(-LN(2)/25)*AV127+(1-EXP(-LN(2)/25))/(LN(2)/25)*Calculateur!AQ128*Calculateur!AS128*VLOOKUP('Données projet'!$B$9,Paramètres!$A$1:$I$88,3,0)*0.475*44/12</f>
        <v>0.98808676481961344</v>
      </c>
      <c r="AW128" s="23">
        <f>EXP(-LN(2)/2)*AW127+(1-EXP(-LN(2)/2))/(LN(2)/2)*AQ128*AT128*VLOOKUP('Données projet'!$B$9,Paramètres!$A$1:$I$88,3,0)*0.475*44/12</f>
        <v>7.3192384393016323E-14</v>
      </c>
      <c r="AX128" s="23">
        <f t="shared" si="62"/>
        <v>1.8101639000434426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-2.2737367544323206E-13</v>
      </c>
      <c r="BE128" s="14">
        <f>BD128*VLOOKUP('Données projet'!$B$11,Paramètres!$A$1:$I$88,3,0)*VLOOKUP('Données projet'!$B$11,Paramètres!$A$1:$I$88,5,0)</f>
        <v>-1.9863364286720756E-13</v>
      </c>
      <c r="BF128" s="14" t="e">
        <f t="shared" si="99"/>
        <v>#NUM!</v>
      </c>
      <c r="BG128" s="22" t="e">
        <f t="shared" si="63"/>
        <v>#NUM!</v>
      </c>
      <c r="BH128" s="62" t="e">
        <f t="shared" si="64"/>
        <v>#NUM!</v>
      </c>
      <c r="BI128" s="62">
        <f ca="1">AVERAGE(OFFSET($BH$3,0,0,'Données projet'!$E$11+1,1))-AVERAGE(OFFSET($H$3,0,0,'Données projet'!$E$11+1,1))</f>
        <v>348.65374983303883</v>
      </c>
      <c r="BJ128" s="62">
        <f t="shared" si="65"/>
        <v>312.05848669315151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-5.6843418860808015E-14</v>
      </c>
      <c r="BZ128" s="14">
        <f>BY128*VLOOKUP('Données projet'!$B$12,Paramètres!$A$1:$I$88,3,0)*VLOOKUP('Données projet'!$B$12,Paramètres!$A$1:$I$88,5,0)</f>
        <v>-4.1677594708744434E-14</v>
      </c>
      <c r="CA128" s="14" t="e">
        <f t="shared" si="100"/>
        <v>#NUM!</v>
      </c>
      <c r="CB128" s="22" t="e">
        <f t="shared" si="67"/>
        <v>#NUM!</v>
      </c>
      <c r="CC128" s="62" t="e">
        <f t="shared" si="68"/>
        <v>#NUM!</v>
      </c>
      <c r="CD128" s="62">
        <f ca="1">AVERAGE(OFFSET($CC$3,0,0,'Données projet'!$E$12+1,1))-AVERAGE(OFFSET($H$3,0,0,'Données projet'!$E$12+1,1))</f>
        <v>264.06656596707364</v>
      </c>
      <c r="CE128" s="62">
        <f t="shared" si="69"/>
        <v>315.34415130230195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5.6843418860808015E-14</v>
      </c>
      <c r="CU128" s="18">
        <f>CT128*VLOOKUP('Données projet'!$B$13,Paramètres!$A$1:$I$88,3,0)*VLOOKUP('Données projet'!$B$13,Paramètres!$A$1:$I$88,5,0)</f>
        <v>3.3992364478763198E-14</v>
      </c>
      <c r="CV128" s="14">
        <f t="shared" si="101"/>
        <v>5.790027782444094E-13</v>
      </c>
      <c r="CW128" s="22">
        <f t="shared" si="71"/>
        <v>1.0676332069095257E-12</v>
      </c>
      <c r="CX128" s="62">
        <f t="shared" si="72"/>
        <v>293.33333333333439</v>
      </c>
      <c r="CY128" s="62">
        <f ca="1">AVERAGE(OFFSET($CX$3,0,0,'Données projet'!$E$13+1,1))-AVERAGE(OFFSET($H$3,0,0,'Données projet'!$E$13+1,1))</f>
        <v>162.29089122912319</v>
      </c>
      <c r="CZ128" s="62">
        <f t="shared" si="73"/>
        <v>253.15422514195427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1.609456657909347</v>
      </c>
      <c r="DG128" s="23">
        <f>EXP(-LN(2)/25)*DG127+(1-EXP(-LN(2)/25))/(LN(2)/25)*Calculateur!DB128*Calculateur!DD128*VLOOKUP('Données projet'!$B$9,Paramètres!$A$1:$I$88,3,0)*0.475*44/12</f>
        <v>0.38108849771875736</v>
      </c>
      <c r="DH128" s="23">
        <f>EXP(-LN(2)/2)*DH127+(1-EXP(-LN(2)/2))/(LN(2)/2)*DB128*DE128*VLOOKUP('Données projet'!$B$9,Paramètres!$A$1:$I$88,3,0)*0.475*44/12</f>
        <v>1.1737264678106042E-14</v>
      </c>
      <c r="DI128" s="24">
        <f t="shared" si="74"/>
        <v>1.9905451556281162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-5.6843418860808015E-14</v>
      </c>
      <c r="DP128" s="18">
        <f>DO128*VLOOKUP('Données projet'!$B$14,Paramètres!$A$1:$I$88,3,0)*VLOOKUP('Données projet'!$B$14,Paramètres!$A$1:$I$88,5,0)</f>
        <v>-4.5224624045658861E-14</v>
      </c>
      <c r="DQ128" s="14" t="e">
        <f t="shared" si="102"/>
        <v>#NUM!</v>
      </c>
      <c r="DR128" s="22" t="e">
        <f t="shared" si="75"/>
        <v>#NUM!</v>
      </c>
      <c r="DS128" s="62" t="e">
        <f t="shared" si="76"/>
        <v>#NUM!</v>
      </c>
      <c r="DT128" s="62">
        <f ca="1">AVERAGE(OFFSET($DS$3,0,0,'Données projet'!$E$14+1,1))-AVERAGE(OFFSET($H$3,0,0,'Données projet'!$E$14+1,1))</f>
        <v>290.20755061064017</v>
      </c>
      <c r="DU128" s="62">
        <f t="shared" si="77"/>
        <v>343.54750327717181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25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9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7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-1.1368683772161603E-13</v>
      </c>
      <c r="O129" s="14">
        <f>N129*VLOOKUP('Données projet'!$B$9,Paramètres!$A$1:$I$88,3,0)*VLOOKUP('Données projet'!$B$9,Paramètres!$A$1:$I$88,5,0)</f>
        <v>-5.3205440053716299E-14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300.03481708703549</v>
      </c>
      <c r="T129" s="62">
        <f t="shared" si="56"/>
        <v>102.6350860969182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-2.2737367544323206E-13</v>
      </c>
      <c r="AJ129" s="14">
        <f>AI129*VLOOKUP('Données projet'!$B$10,Paramètres!$A$1:$I$88,3,0)*VLOOKUP('Données projet'!$B$10,Paramètres!$A$1:$I$88,5,0)</f>
        <v>-1.2710188457276673E-13</v>
      </c>
      <c r="AK129" s="14" t="e">
        <f t="shared" si="98"/>
        <v>#NUM!</v>
      </c>
      <c r="AL129" s="22" t="e">
        <f t="shared" si="59"/>
        <v>#NUM!</v>
      </c>
      <c r="AM129" s="62" t="e">
        <f t="shared" si="60"/>
        <v>#NUM!</v>
      </c>
      <c r="AN129" s="62">
        <f ca="1">AVERAGE(OFFSET($AM$3,0,0,'Données projet'!$E$10+1,1))-AVERAGE(OFFSET($H$3,0,0,'Données projet'!$E$10+1,1))</f>
        <v>328.27336939084597</v>
      </c>
      <c r="AO129" s="62">
        <f t="shared" si="61"/>
        <v>448.79354389108755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0.80595670401955977</v>
      </c>
      <c r="AV129" s="23">
        <f>EXP(-LN(2)/25)*AV128+(1-EXP(-LN(2)/25))/(LN(2)/25)*Calculateur!AQ129*Calculateur!AS129*VLOOKUP('Données projet'!$B$9,Paramètres!$A$1:$I$88,3,0)*0.475*44/12</f>
        <v>0.96106748027439648</v>
      </c>
      <c r="AW129" s="23">
        <f>EXP(-LN(2)/2)*AW128+(1-EXP(-LN(2)/2))/(LN(2)/2)*AQ129*AT129*VLOOKUP('Données projet'!$B$9,Paramètres!$A$1:$I$88,3,0)*0.475*44/12</f>
        <v>5.175483133551427E-14</v>
      </c>
      <c r="AX129" s="23">
        <f t="shared" si="62"/>
        <v>1.767024184294008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-2.2737367544323206E-13</v>
      </c>
      <c r="BE129" s="14">
        <f>BD129*VLOOKUP('Données projet'!$B$11,Paramètres!$A$1:$I$88,3,0)*VLOOKUP('Données projet'!$B$11,Paramètres!$A$1:$I$88,5,0)</f>
        <v>-1.9863364286720756E-13</v>
      </c>
      <c r="BF129" s="14" t="e">
        <f t="shared" si="99"/>
        <v>#NUM!</v>
      </c>
      <c r="BG129" s="22" t="e">
        <f t="shared" si="63"/>
        <v>#NUM!</v>
      </c>
      <c r="BH129" s="62" t="e">
        <f t="shared" si="64"/>
        <v>#NUM!</v>
      </c>
      <c r="BI129" s="62">
        <f ca="1">AVERAGE(OFFSET($BH$3,0,0,'Données projet'!$E$11+1,1))-AVERAGE(OFFSET($H$3,0,0,'Données projet'!$E$11+1,1))</f>
        <v>348.65374983303883</v>
      </c>
      <c r="BJ129" s="62">
        <f t="shared" si="65"/>
        <v>312.05848669315151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-5.6843418860808015E-14</v>
      </c>
      <c r="BZ129" s="14">
        <f>BY129*VLOOKUP('Données projet'!$B$12,Paramètres!$A$1:$I$88,3,0)*VLOOKUP('Données projet'!$B$12,Paramètres!$A$1:$I$88,5,0)</f>
        <v>-4.1677594708744434E-14</v>
      </c>
      <c r="CA129" s="14" t="e">
        <f t="shared" si="100"/>
        <v>#NUM!</v>
      </c>
      <c r="CB129" s="22" t="e">
        <f t="shared" si="67"/>
        <v>#NUM!</v>
      </c>
      <c r="CC129" s="62" t="e">
        <f t="shared" si="68"/>
        <v>#NUM!</v>
      </c>
      <c r="CD129" s="62">
        <f ca="1">AVERAGE(OFFSET($CC$3,0,0,'Données projet'!$E$12+1,1))-AVERAGE(OFFSET($H$3,0,0,'Données projet'!$E$12+1,1))</f>
        <v>264.06656596707364</v>
      </c>
      <c r="CE129" s="62">
        <f t="shared" si="69"/>
        <v>315.34415130230195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5.6843418860808015E-14</v>
      </c>
      <c r="CU129" s="18">
        <f>CT129*VLOOKUP('Données projet'!$B$13,Paramètres!$A$1:$I$88,3,0)*VLOOKUP('Données projet'!$B$13,Paramètres!$A$1:$I$88,5,0)</f>
        <v>3.3992364478763198E-14</v>
      </c>
      <c r="CV129" s="14">
        <f t="shared" si="101"/>
        <v>5.790027782444094E-13</v>
      </c>
      <c r="CW129" s="22">
        <f t="shared" si="71"/>
        <v>1.0676332069095257E-12</v>
      </c>
      <c r="CX129" s="62">
        <f t="shared" si="72"/>
        <v>293.33333333333439</v>
      </c>
      <c r="CY129" s="62">
        <f ca="1">AVERAGE(OFFSET($CX$3,0,0,'Données projet'!$E$13+1,1))-AVERAGE(OFFSET($H$3,0,0,'Données projet'!$E$13+1,1))</f>
        <v>162.29089122912319</v>
      </c>
      <c r="CZ129" s="62">
        <f t="shared" si="73"/>
        <v>253.15422514195427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1.5778961945193739</v>
      </c>
      <c r="DG129" s="23">
        <f>EXP(-LN(2)/25)*DG128+(1-EXP(-LN(2)/25))/(LN(2)/25)*Calculateur!DB129*Calculateur!DD129*VLOOKUP('Données projet'!$B$9,Paramètres!$A$1:$I$88,3,0)*0.475*44/12</f>
        <v>0.37066761270806481</v>
      </c>
      <c r="DH129" s="23">
        <f>EXP(-LN(2)/2)*DH128+(1-EXP(-LN(2)/2))/(LN(2)/2)*DB129*DE129*VLOOKUP('Données projet'!$B$9,Paramètres!$A$1:$I$88,3,0)*0.475*44/12</f>
        <v>8.2994994464701221E-15</v>
      </c>
      <c r="DI129" s="24">
        <f t="shared" si="74"/>
        <v>1.9485638072274469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-5.6843418860808015E-14</v>
      </c>
      <c r="DP129" s="18">
        <f>DO129*VLOOKUP('Données projet'!$B$14,Paramètres!$A$1:$I$88,3,0)*VLOOKUP('Données projet'!$B$14,Paramètres!$A$1:$I$88,5,0)</f>
        <v>-4.5224624045658861E-14</v>
      </c>
      <c r="DQ129" s="14" t="e">
        <f t="shared" si="102"/>
        <v>#NUM!</v>
      </c>
      <c r="DR129" s="22" t="e">
        <f t="shared" si="75"/>
        <v>#NUM!</v>
      </c>
      <c r="DS129" s="62" t="e">
        <f t="shared" si="76"/>
        <v>#NUM!</v>
      </c>
      <c r="DT129" s="62">
        <f ca="1">AVERAGE(OFFSET($DS$3,0,0,'Données projet'!$E$14+1,1))-AVERAGE(OFFSET($H$3,0,0,'Données projet'!$E$14+1,1))</f>
        <v>290.20755061064017</v>
      </c>
      <c r="DU129" s="62">
        <f t="shared" si="77"/>
        <v>343.54750327717181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25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9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7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-1.1368683772161603E-13</v>
      </c>
      <c r="O130" s="14">
        <f>N130*VLOOKUP('Données projet'!$B$9,Paramètres!$A$1:$I$88,3,0)*VLOOKUP('Données projet'!$B$9,Paramètres!$A$1:$I$88,5,0)</f>
        <v>-5.3205440053716299E-14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300.03481708703549</v>
      </c>
      <c r="T130" s="62">
        <f t="shared" si="56"/>
        <v>102.6350860969182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-2.2737367544323206E-13</v>
      </c>
      <c r="AJ130" s="14">
        <f>AI130*VLOOKUP('Données projet'!$B$10,Paramètres!$A$1:$I$88,3,0)*VLOOKUP('Données projet'!$B$10,Paramètres!$A$1:$I$88,5,0)</f>
        <v>-1.2710188457276673E-13</v>
      </c>
      <c r="AK130" s="14" t="e">
        <f t="shared" si="98"/>
        <v>#NUM!</v>
      </c>
      <c r="AL130" s="22" t="e">
        <f t="shared" si="59"/>
        <v>#NUM!</v>
      </c>
      <c r="AM130" s="62" t="e">
        <f t="shared" si="60"/>
        <v>#NUM!</v>
      </c>
      <c r="AN130" s="62">
        <f ca="1">AVERAGE(OFFSET($AM$3,0,0,'Données projet'!$E$10+1,1))-AVERAGE(OFFSET($H$3,0,0,'Données projet'!$E$10+1,1))</f>
        <v>328.27336939084597</v>
      </c>
      <c r="AO130" s="62">
        <f t="shared" si="61"/>
        <v>448.79354389108755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0.79015238463878568</v>
      </c>
      <c r="AV130" s="23">
        <f>EXP(-LN(2)/25)*AV129+(1-EXP(-LN(2)/25))/(LN(2)/25)*Calculateur!AQ130*Calculateur!AS130*VLOOKUP('Données projet'!$B$9,Paramètres!$A$1:$I$88,3,0)*0.475*44/12</f>
        <v>0.93478703948595088</v>
      </c>
      <c r="AW130" s="23">
        <f>EXP(-LN(2)/2)*AW129+(1-EXP(-LN(2)/2))/(LN(2)/2)*AQ130*AT130*VLOOKUP('Données projet'!$B$9,Paramètres!$A$1:$I$88,3,0)*0.475*44/12</f>
        <v>3.6596192196508162E-14</v>
      </c>
      <c r="AX130" s="23">
        <f t="shared" si="62"/>
        <v>1.7249394241247733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-2.2737367544323206E-13</v>
      </c>
      <c r="BE130" s="14">
        <f>BD130*VLOOKUP('Données projet'!$B$11,Paramètres!$A$1:$I$88,3,0)*VLOOKUP('Données projet'!$B$11,Paramètres!$A$1:$I$88,5,0)</f>
        <v>-1.9863364286720756E-13</v>
      </c>
      <c r="BF130" s="14" t="e">
        <f t="shared" si="99"/>
        <v>#NUM!</v>
      </c>
      <c r="BG130" s="22" t="e">
        <f t="shared" si="63"/>
        <v>#NUM!</v>
      </c>
      <c r="BH130" s="62" t="e">
        <f t="shared" si="64"/>
        <v>#NUM!</v>
      </c>
      <c r="BI130" s="62">
        <f ca="1">AVERAGE(OFFSET($BH$3,0,0,'Données projet'!$E$11+1,1))-AVERAGE(OFFSET($H$3,0,0,'Données projet'!$E$11+1,1))</f>
        <v>348.65374983303883</v>
      </c>
      <c r="BJ130" s="62">
        <f t="shared" si="65"/>
        <v>312.05848669315151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-5.6843418860808015E-14</v>
      </c>
      <c r="BZ130" s="14">
        <f>BY130*VLOOKUP('Données projet'!$B$12,Paramètres!$A$1:$I$88,3,0)*VLOOKUP('Données projet'!$B$12,Paramètres!$A$1:$I$88,5,0)</f>
        <v>-4.1677594708744434E-14</v>
      </c>
      <c r="CA130" s="14" t="e">
        <f t="shared" si="100"/>
        <v>#NUM!</v>
      </c>
      <c r="CB130" s="22" t="e">
        <f t="shared" si="67"/>
        <v>#NUM!</v>
      </c>
      <c r="CC130" s="62" t="e">
        <f t="shared" si="68"/>
        <v>#NUM!</v>
      </c>
      <c r="CD130" s="62">
        <f ca="1">AVERAGE(OFFSET($CC$3,0,0,'Données projet'!$E$12+1,1))-AVERAGE(OFFSET($H$3,0,0,'Données projet'!$E$12+1,1))</f>
        <v>264.06656596707364</v>
      </c>
      <c r="CE130" s="62">
        <f t="shared" si="69"/>
        <v>315.34415130230195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5.6843418860808015E-14</v>
      </c>
      <c r="CU130" s="18">
        <f>CT130*VLOOKUP('Données projet'!$B$13,Paramètres!$A$1:$I$88,3,0)*VLOOKUP('Données projet'!$B$13,Paramètres!$A$1:$I$88,5,0)</f>
        <v>3.3992364478763198E-14</v>
      </c>
      <c r="CV130" s="14">
        <f t="shared" si="101"/>
        <v>5.790027782444094E-13</v>
      </c>
      <c r="CW130" s="22">
        <f t="shared" si="71"/>
        <v>1.0676332069095257E-12</v>
      </c>
      <c r="CX130" s="62">
        <f t="shared" si="72"/>
        <v>293.33333333333439</v>
      </c>
      <c r="CY130" s="62">
        <f ca="1">AVERAGE(OFFSET($CX$3,0,0,'Données projet'!$E$13+1,1))-AVERAGE(OFFSET($H$3,0,0,'Données projet'!$E$13+1,1))</f>
        <v>162.29089122912319</v>
      </c>
      <c r="CZ130" s="62">
        <f t="shared" si="73"/>
        <v>253.15422514195427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1.5469546125664964</v>
      </c>
      <c r="DG130" s="23">
        <f>EXP(-LN(2)/25)*DG129+(1-EXP(-LN(2)/25))/(LN(2)/25)*Calculateur!DB130*Calculateur!DD130*VLOOKUP('Données projet'!$B$9,Paramètres!$A$1:$I$88,3,0)*0.475*44/12</f>
        <v>0.36053168734600022</v>
      </c>
      <c r="DH130" s="23">
        <f>EXP(-LN(2)/2)*DH129+(1-EXP(-LN(2)/2))/(LN(2)/2)*DB130*DE130*VLOOKUP('Données projet'!$B$9,Paramètres!$A$1:$I$88,3,0)*0.475*44/12</f>
        <v>5.868632339053021E-15</v>
      </c>
      <c r="DI130" s="24">
        <f t="shared" si="74"/>
        <v>1.9074862999125024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-5.6843418860808015E-14</v>
      </c>
      <c r="DP130" s="18">
        <f>DO130*VLOOKUP('Données projet'!$B$14,Paramètres!$A$1:$I$88,3,0)*VLOOKUP('Données projet'!$B$14,Paramètres!$A$1:$I$88,5,0)</f>
        <v>-4.5224624045658861E-14</v>
      </c>
      <c r="DQ130" s="14" t="e">
        <f t="shared" si="102"/>
        <v>#NUM!</v>
      </c>
      <c r="DR130" s="22" t="e">
        <f t="shared" si="75"/>
        <v>#NUM!</v>
      </c>
      <c r="DS130" s="62" t="e">
        <f t="shared" si="76"/>
        <v>#NUM!</v>
      </c>
      <c r="DT130" s="62">
        <f ca="1">AVERAGE(OFFSET($DS$3,0,0,'Données projet'!$E$14+1,1))-AVERAGE(OFFSET($H$3,0,0,'Données projet'!$E$14+1,1))</f>
        <v>290.20755061064017</v>
      </c>
      <c r="DU130" s="62">
        <f t="shared" si="77"/>
        <v>343.54750327717181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25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9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7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-1.1368683772161603E-13</v>
      </c>
      <c r="O131" s="14">
        <f>N131*VLOOKUP('Données projet'!$B$9,Paramètres!$A$1:$I$88,3,0)*VLOOKUP('Données projet'!$B$9,Paramètres!$A$1:$I$88,5,0)</f>
        <v>-5.3205440053716299E-14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300.03481708703549</v>
      </c>
      <c r="T131" s="62">
        <f t="shared" ref="T131:T194" si="110">$R$33-$H$33</f>
        <v>102.6350860969182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-2.2737367544323206E-13</v>
      </c>
      <c r="AJ131" s="14">
        <f>AI131*VLOOKUP('Données projet'!$B$10,Paramètres!$A$1:$I$88,3,0)*VLOOKUP('Données projet'!$B$10,Paramètres!$A$1:$I$88,5,0)</f>
        <v>-1.2710188457276673E-13</v>
      </c>
      <c r="AK131" s="14" t="e">
        <f t="shared" si="98"/>
        <v>#NUM!</v>
      </c>
      <c r="AL131" s="22" t="e">
        <f t="shared" si="59"/>
        <v>#NUM!</v>
      </c>
      <c r="AM131" s="62" t="e">
        <f t="shared" si="60"/>
        <v>#NUM!</v>
      </c>
      <c r="AN131" s="62">
        <f ca="1">AVERAGE(OFFSET($AM$3,0,0,'Données projet'!$E$10+1,1))-AVERAGE(OFFSET($H$3,0,0,'Données projet'!$E$10+1,1))</f>
        <v>328.27336939084597</v>
      </c>
      <c r="AO131" s="62">
        <f t="shared" si="61"/>
        <v>448.79354389108755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0.77465797832138561</v>
      </c>
      <c r="AV131" s="23">
        <f>EXP(-LN(2)/25)*AV130+(1-EXP(-LN(2)/25))/(LN(2)/25)*Calculateur!AQ131*Calculateur!AS131*VLOOKUP('Données projet'!$B$9,Paramètres!$A$1:$I$88,3,0)*0.475*44/12</f>
        <v>0.90922523873289363</v>
      </c>
      <c r="AW131" s="23">
        <f>EXP(-LN(2)/2)*AW130+(1-EXP(-LN(2)/2))/(LN(2)/2)*AQ131*AT131*VLOOKUP('Données projet'!$B$9,Paramètres!$A$1:$I$88,3,0)*0.475*44/12</f>
        <v>2.5877415667757135E-14</v>
      </c>
      <c r="AX131" s="23">
        <f t="shared" si="62"/>
        <v>1.6838832170543052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-2.2737367544323206E-13</v>
      </c>
      <c r="BE131" s="14">
        <f>BD131*VLOOKUP('Données projet'!$B$11,Paramètres!$A$1:$I$88,3,0)*VLOOKUP('Données projet'!$B$11,Paramètres!$A$1:$I$88,5,0)</f>
        <v>-1.9863364286720756E-13</v>
      </c>
      <c r="BF131" s="14" t="e">
        <f t="shared" si="99"/>
        <v>#NUM!</v>
      </c>
      <c r="BG131" s="22" t="e">
        <f t="shared" si="63"/>
        <v>#NUM!</v>
      </c>
      <c r="BH131" s="62" t="e">
        <f t="shared" si="64"/>
        <v>#NUM!</v>
      </c>
      <c r="BI131" s="62">
        <f ca="1">AVERAGE(OFFSET($BH$3,0,0,'Données projet'!$E$11+1,1))-AVERAGE(OFFSET($H$3,0,0,'Données projet'!$E$11+1,1))</f>
        <v>348.65374983303883</v>
      </c>
      <c r="BJ131" s="62">
        <f t="shared" si="65"/>
        <v>312.05848669315151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-5.6843418860808015E-14</v>
      </c>
      <c r="BZ131" s="14">
        <f>BY131*VLOOKUP('Données projet'!$B$12,Paramètres!$A$1:$I$88,3,0)*VLOOKUP('Données projet'!$B$12,Paramètres!$A$1:$I$88,5,0)</f>
        <v>-4.1677594708744434E-14</v>
      </c>
      <c r="CA131" s="14" t="e">
        <f t="shared" si="100"/>
        <v>#NUM!</v>
      </c>
      <c r="CB131" s="22" t="e">
        <f t="shared" si="67"/>
        <v>#NUM!</v>
      </c>
      <c r="CC131" s="62" t="e">
        <f t="shared" si="68"/>
        <v>#NUM!</v>
      </c>
      <c r="CD131" s="62">
        <f ca="1">AVERAGE(OFFSET($CC$3,0,0,'Données projet'!$E$12+1,1))-AVERAGE(OFFSET($H$3,0,0,'Données projet'!$E$12+1,1))</f>
        <v>264.06656596707364</v>
      </c>
      <c r="CE131" s="62">
        <f t="shared" si="69"/>
        <v>315.34415130230195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5.6843418860808015E-14</v>
      </c>
      <c r="CU131" s="18">
        <f>CT131*VLOOKUP('Données projet'!$B$13,Paramètres!$A$1:$I$88,3,0)*VLOOKUP('Données projet'!$B$13,Paramètres!$A$1:$I$88,5,0)</f>
        <v>3.3992364478763198E-14</v>
      </c>
      <c r="CV131" s="14">
        <f t="shared" si="101"/>
        <v>5.790027782444094E-13</v>
      </c>
      <c r="CW131" s="22">
        <f t="shared" si="71"/>
        <v>1.0676332069095257E-12</v>
      </c>
      <c r="CX131" s="62">
        <f t="shared" si="72"/>
        <v>293.33333333333439</v>
      </c>
      <c r="CY131" s="62">
        <f ca="1">AVERAGE(OFFSET($CX$3,0,0,'Données projet'!$E$13+1,1))-AVERAGE(OFFSET($H$3,0,0,'Données projet'!$E$13+1,1))</f>
        <v>162.29089122912319</v>
      </c>
      <c r="CZ131" s="62">
        <f t="shared" si="73"/>
        <v>253.15422514195427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1.5166197761632132</v>
      </c>
      <c r="DG131" s="23">
        <f>EXP(-LN(2)/25)*DG130+(1-EXP(-LN(2)/25))/(LN(2)/25)*Calculateur!DB131*Calculateur!DD131*VLOOKUP('Données projet'!$B$9,Paramètres!$A$1:$I$88,3,0)*0.475*44/12</f>
        <v>0.35067292939598643</v>
      </c>
      <c r="DH131" s="23">
        <f>EXP(-LN(2)/2)*DH130+(1-EXP(-LN(2)/2))/(LN(2)/2)*DB131*DE131*VLOOKUP('Données projet'!$B$9,Paramètres!$A$1:$I$88,3,0)*0.475*44/12</f>
        <v>4.1497497232350611E-15</v>
      </c>
      <c r="DI131" s="24">
        <f t="shared" si="74"/>
        <v>1.8672927055592039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-5.6843418860808015E-14</v>
      </c>
      <c r="DP131" s="18">
        <f>DO131*VLOOKUP('Données projet'!$B$14,Paramètres!$A$1:$I$88,3,0)*VLOOKUP('Données projet'!$B$14,Paramètres!$A$1:$I$88,5,0)</f>
        <v>-4.5224624045658861E-14</v>
      </c>
      <c r="DQ131" s="14" t="e">
        <f t="shared" si="102"/>
        <v>#NUM!</v>
      </c>
      <c r="DR131" s="22" t="e">
        <f t="shared" si="75"/>
        <v>#NUM!</v>
      </c>
      <c r="DS131" s="62" t="e">
        <f t="shared" si="76"/>
        <v>#NUM!</v>
      </c>
      <c r="DT131" s="62">
        <f ca="1">AVERAGE(OFFSET($DS$3,0,0,'Données projet'!$E$14+1,1))-AVERAGE(OFFSET($H$3,0,0,'Données projet'!$E$14+1,1))</f>
        <v>290.20755061064017</v>
      </c>
      <c r="DU131" s="62">
        <f t="shared" si="77"/>
        <v>343.54750327717181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25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9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1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-1.1368683772161603E-13</v>
      </c>
      <c r="O132" s="14">
        <f>N132*VLOOKUP('Données projet'!$B$9,Paramètres!$A$1:$I$88,3,0)*VLOOKUP('Données projet'!$B$9,Paramètres!$A$1:$I$88,5,0)</f>
        <v>-5.3205440053716299E-14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300.03481708703549</v>
      </c>
      <c r="T132" s="62">
        <f t="shared" si="110"/>
        <v>102.6350860969182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-2.2737367544323206E-13</v>
      </c>
      <c r="AJ132" s="14">
        <f>AI132*VLOOKUP('Données projet'!$B$10,Paramètres!$A$1:$I$88,3,0)*VLOOKUP('Données projet'!$B$10,Paramètres!$A$1:$I$88,5,0)</f>
        <v>-1.2710188457276673E-13</v>
      </c>
      <c r="AK132" s="14" t="e">
        <f t="shared" si="98"/>
        <v>#NUM!</v>
      </c>
      <c r="AL132" s="22" t="e">
        <f t="shared" ref="AL132:AL153" si="113">(AJ132+AK132)*0.475*44/12</f>
        <v>#NUM!</v>
      </c>
      <c r="AM132" s="62" t="e">
        <f t="shared" ref="AM132:AM195" si="114">AL132+(AD132+AE132)*44/12</f>
        <v>#NUM!</v>
      </c>
      <c r="AN132" s="62">
        <f ca="1">AVERAGE(OFFSET($AM$3,0,0,'Données projet'!$E$10+1,1))-AVERAGE(OFFSET($H$3,0,0,'Données projet'!$E$10+1,1))</f>
        <v>328.27336939084597</v>
      </c>
      <c r="AO132" s="62">
        <f t="shared" ref="AO132:AO195" si="115">$AM$33-$H$33</f>
        <v>448.79354389108755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0.75946740786121503</v>
      </c>
      <c r="AV132" s="23">
        <f>EXP(-LN(2)/25)*AV131+(1-EXP(-LN(2)/25))/(LN(2)/25)*Calculateur!AQ132*Calculateur!AS132*VLOOKUP('Données projet'!$B$9,Paramètres!$A$1:$I$88,3,0)*0.475*44/12</f>
        <v>0.88436242676566545</v>
      </c>
      <c r="AW132" s="23">
        <f>EXP(-LN(2)/2)*AW131+(1-EXP(-LN(2)/2))/(LN(2)/2)*AQ132*AT132*VLOOKUP('Données projet'!$B$9,Paramètres!$A$1:$I$88,3,0)*0.475*44/12</f>
        <v>1.8298096098254081E-14</v>
      </c>
      <c r="AX132" s="23">
        <f t="shared" ref="AX132:AX153" si="116">SUM(AU132:AW132)</f>
        <v>1.6438298346268987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-2.2737367544323206E-13</v>
      </c>
      <c r="BE132" s="14">
        <f>BD132*VLOOKUP('Données projet'!$B$11,Paramètres!$A$1:$I$88,3,0)*VLOOKUP('Données projet'!$B$11,Paramètres!$A$1:$I$88,5,0)</f>
        <v>-1.9863364286720756E-13</v>
      </c>
      <c r="BF132" s="14" t="e">
        <f t="shared" si="99"/>
        <v>#NUM!</v>
      </c>
      <c r="BG132" s="22" t="e">
        <f t="shared" ref="BG132:BG153" si="117">(BE132+BF132)*0.475*44/12</f>
        <v>#NUM!</v>
      </c>
      <c r="BH132" s="62" t="e">
        <f t="shared" ref="BH132:BH195" si="118">BG132+(AY132+AZ132)*44/12</f>
        <v>#NUM!</v>
      </c>
      <c r="BI132" s="62">
        <f ca="1">AVERAGE(OFFSET($BH$3,0,0,'Données projet'!$E$11+1,1))-AVERAGE(OFFSET($H$3,0,0,'Données projet'!$E$11+1,1))</f>
        <v>348.65374983303883</v>
      </c>
      <c r="BJ132" s="62">
        <f t="shared" ref="BJ132:BJ195" si="119">$BH$33-$H$33</f>
        <v>312.05848669315151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-5.6843418860808015E-14</v>
      </c>
      <c r="BZ132" s="14">
        <f>BY132*VLOOKUP('Données projet'!$B$12,Paramètres!$A$1:$I$88,3,0)*VLOOKUP('Données projet'!$B$12,Paramètres!$A$1:$I$88,5,0)</f>
        <v>-4.1677594708744434E-14</v>
      </c>
      <c r="CA132" s="14" t="e">
        <f t="shared" si="100"/>
        <v>#NUM!</v>
      </c>
      <c r="CB132" s="22" t="e">
        <f t="shared" ref="CB132:CB153" si="121">(BZ132+CA132)*0.475*44/12</f>
        <v>#NUM!</v>
      </c>
      <c r="CC132" s="62" t="e">
        <f t="shared" ref="CC132:CC195" si="122">CB132+(BT132+BU132)*44/12</f>
        <v>#NUM!</v>
      </c>
      <c r="CD132" s="62">
        <f ca="1">AVERAGE(OFFSET($CC$3,0,0,'Données projet'!$E$12+1,1))-AVERAGE(OFFSET($H$3,0,0,'Données projet'!$E$12+1,1))</f>
        <v>264.06656596707364</v>
      </c>
      <c r="CE132" s="62">
        <f t="shared" ref="CE132:CE195" si="123">$CC$33-$H$33</f>
        <v>315.34415130230195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5.6843418860808015E-14</v>
      </c>
      <c r="CU132" s="18">
        <f>CT132*VLOOKUP('Données projet'!$B$13,Paramètres!$A$1:$I$88,3,0)*VLOOKUP('Données projet'!$B$13,Paramètres!$A$1:$I$88,5,0)</f>
        <v>3.3992364478763198E-14</v>
      </c>
      <c r="CV132" s="14">
        <f t="shared" si="101"/>
        <v>5.790027782444094E-13</v>
      </c>
      <c r="CW132" s="22">
        <f t="shared" ref="CW132:CW153" si="125">(CU132+CV132)*0.475*44/12</f>
        <v>1.0676332069095257E-12</v>
      </c>
      <c r="CX132" s="62">
        <f t="shared" ref="CX132:CX195" si="126">CW132+(CO132+CP132)*44/12</f>
        <v>293.33333333333439</v>
      </c>
      <c r="CY132" s="62">
        <f ca="1">AVERAGE(OFFSET($CX$3,0,0,'Données projet'!$E$13+1,1))-AVERAGE(OFFSET($H$3,0,0,'Données projet'!$E$13+1,1))</f>
        <v>162.29089122912319</v>
      </c>
      <c r="CZ132" s="62">
        <f t="shared" ref="CZ132:CZ195" si="127">$CX$33-$H$33</f>
        <v>253.15422514195427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1.4868797873993753</v>
      </c>
      <c r="DG132" s="23">
        <f>EXP(-LN(2)/25)*DG131+(1-EXP(-LN(2)/25))/(LN(2)/25)*Calculateur!DB132*Calculateur!DD132*VLOOKUP('Données projet'!$B$9,Paramètres!$A$1:$I$88,3,0)*0.475*44/12</f>
        <v>0.34108375970056531</v>
      </c>
      <c r="DH132" s="23">
        <f>EXP(-LN(2)/2)*DH131+(1-EXP(-LN(2)/2))/(LN(2)/2)*DB132*DE132*VLOOKUP('Données projet'!$B$9,Paramètres!$A$1:$I$88,3,0)*0.475*44/12</f>
        <v>2.9343161695265105E-15</v>
      </c>
      <c r="DI132" s="24">
        <f t="shared" ref="DI132:DI153" si="128">SUM(DF132:DH132)</f>
        <v>1.8279635470999436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-5.6843418860808015E-14</v>
      </c>
      <c r="DP132" s="18">
        <f>DO132*VLOOKUP('Données projet'!$B$14,Paramètres!$A$1:$I$88,3,0)*VLOOKUP('Données projet'!$B$14,Paramètres!$A$1:$I$88,5,0)</f>
        <v>-4.5224624045658861E-14</v>
      </c>
      <c r="DQ132" s="14" t="e">
        <f t="shared" si="102"/>
        <v>#NUM!</v>
      </c>
      <c r="DR132" s="22" t="e">
        <f t="shared" ref="DR132:DR153" si="129">(DP132+DQ132)*0.475*44/12</f>
        <v>#NUM!</v>
      </c>
      <c r="DS132" s="62" t="e">
        <f t="shared" ref="DS132:DS195" si="130">DR132+(DJ132+DK132)*44/12</f>
        <v>#NUM!</v>
      </c>
      <c r="DT132" s="62">
        <f ca="1">AVERAGE(OFFSET($DS$3,0,0,'Données projet'!$E$14+1,1))-AVERAGE(OFFSET($H$3,0,0,'Données projet'!$E$14+1,1))</f>
        <v>290.20755061064017</v>
      </c>
      <c r="DU132" s="62">
        <f t="shared" ref="DU132:DU195" si="131">$DS$33-$H$33</f>
        <v>343.54750327717181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25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5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1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-1.1368683772161603E-13</v>
      </c>
      <c r="O133" s="14">
        <f>N133*VLOOKUP('Données projet'!$B$9,Paramètres!$A$1:$I$88,3,0)*VLOOKUP('Données projet'!$B$9,Paramètres!$A$1:$I$88,5,0)</f>
        <v>-5.3205440053716299E-14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300.03481708703549</v>
      </c>
      <c r="T133" s="62">
        <f t="shared" si="110"/>
        <v>102.6350860969182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-2.2737367544323206E-13</v>
      </c>
      <c r="AJ133" s="14">
        <f>AI133*VLOOKUP('Données projet'!$B$10,Paramètres!$A$1:$I$88,3,0)*VLOOKUP('Données projet'!$B$10,Paramètres!$A$1:$I$88,5,0)</f>
        <v>-1.2710188457276673E-13</v>
      </c>
      <c r="AK133" s="14" t="e">
        <f t="shared" ref="AK133:AK153" si="152">EXP(-1.0587+0.8836*LN(AJ133)+0.284)</f>
        <v>#NUM!</v>
      </c>
      <c r="AL133" s="22" t="e">
        <f t="shared" si="113"/>
        <v>#NUM!</v>
      </c>
      <c r="AM133" s="62" t="e">
        <f t="shared" si="114"/>
        <v>#NUM!</v>
      </c>
      <c r="AN133" s="62">
        <f ca="1">AVERAGE(OFFSET($AM$3,0,0,'Données projet'!$E$10+1,1))-AVERAGE(OFFSET($H$3,0,0,'Données projet'!$E$10+1,1))</f>
        <v>328.27336939084597</v>
      </c>
      <c r="AO133" s="62">
        <f t="shared" si="115"/>
        <v>448.79354389108755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0.74457471522243535</v>
      </c>
      <c r="AV133" s="23">
        <f>EXP(-LN(2)/25)*AV132+(1-EXP(-LN(2)/25))/(LN(2)/25)*Calculateur!AQ133*Calculateur!AS133*VLOOKUP('Données projet'!$B$9,Paramètres!$A$1:$I$88,3,0)*0.475*44/12</f>
        <v>0.86017948969915958</v>
      </c>
      <c r="AW133" s="23">
        <f>EXP(-LN(2)/2)*AW132+(1-EXP(-LN(2)/2))/(LN(2)/2)*AQ133*AT133*VLOOKUP('Données projet'!$B$9,Paramètres!$A$1:$I$88,3,0)*0.475*44/12</f>
        <v>1.2938707833878568E-14</v>
      </c>
      <c r="AX133" s="23">
        <f t="shared" si="116"/>
        <v>1.6047542049216079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-2.2737367544323206E-13</v>
      </c>
      <c r="BE133" s="14">
        <f>BD133*VLOOKUP('Données projet'!$B$11,Paramètres!$A$1:$I$88,3,0)*VLOOKUP('Données projet'!$B$11,Paramètres!$A$1:$I$88,5,0)</f>
        <v>-1.9863364286720756E-13</v>
      </c>
      <c r="BF133" s="14" t="e">
        <f t="shared" ref="BF133:BF153" si="153">EXP(-1.0587+0.8836*LN(BE133)+0.284)</f>
        <v>#NUM!</v>
      </c>
      <c r="BG133" s="22" t="e">
        <f t="shared" si="117"/>
        <v>#NUM!</v>
      </c>
      <c r="BH133" s="62" t="e">
        <f t="shared" si="118"/>
        <v>#NUM!</v>
      </c>
      <c r="BI133" s="62">
        <f ca="1">AVERAGE(OFFSET($BH$3,0,0,'Données projet'!$E$11+1,1))-AVERAGE(OFFSET($H$3,0,0,'Données projet'!$E$11+1,1))</f>
        <v>348.65374983303883</v>
      </c>
      <c r="BJ133" s="62">
        <f t="shared" si="119"/>
        <v>312.05848669315151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-5.6843418860808015E-14</v>
      </c>
      <c r="BZ133" s="14">
        <f>BY133*VLOOKUP('Données projet'!$B$12,Paramètres!$A$1:$I$88,3,0)*VLOOKUP('Données projet'!$B$12,Paramètres!$A$1:$I$88,5,0)</f>
        <v>-4.1677594708744434E-14</v>
      </c>
      <c r="CA133" s="14" t="e">
        <f t="shared" ref="CA133:CA153" si="154">EXP(-1.0587+0.8836*LN(BZ133)+0.284)</f>
        <v>#NUM!</v>
      </c>
      <c r="CB133" s="22" t="e">
        <f t="shared" si="121"/>
        <v>#NUM!</v>
      </c>
      <c r="CC133" s="62" t="e">
        <f t="shared" si="122"/>
        <v>#NUM!</v>
      </c>
      <c r="CD133" s="62">
        <f ca="1">AVERAGE(OFFSET($CC$3,0,0,'Données projet'!$E$12+1,1))-AVERAGE(OFFSET($H$3,0,0,'Données projet'!$E$12+1,1))</f>
        <v>264.06656596707364</v>
      </c>
      <c r="CE133" s="62">
        <f t="shared" si="123"/>
        <v>315.34415130230195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5.6843418860808015E-14</v>
      </c>
      <c r="CU133" s="18">
        <f>CT133*VLOOKUP('Données projet'!$B$13,Paramètres!$A$1:$I$88,3,0)*VLOOKUP('Données projet'!$B$13,Paramètres!$A$1:$I$88,5,0)</f>
        <v>3.3992364478763198E-14</v>
      </c>
      <c r="CV133" s="14">
        <f t="shared" ref="CV133:CV153" si="155">EXP(-1.0587+0.8836*LN(CU133)+0.284)</f>
        <v>5.790027782444094E-13</v>
      </c>
      <c r="CW133" s="22">
        <f t="shared" si="125"/>
        <v>1.0676332069095257E-12</v>
      </c>
      <c r="CX133" s="62">
        <f t="shared" si="126"/>
        <v>293.33333333333439</v>
      </c>
      <c r="CY133" s="62">
        <f ca="1">AVERAGE(OFFSET($CX$3,0,0,'Données projet'!$E$13+1,1))-AVERAGE(OFFSET($H$3,0,0,'Données projet'!$E$13+1,1))</f>
        <v>162.29089122912319</v>
      </c>
      <c r="CZ133" s="62">
        <f t="shared" si="127"/>
        <v>253.15422514195427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1.4577229816755943</v>
      </c>
      <c r="DG133" s="23">
        <f>EXP(-LN(2)/25)*DG132+(1-EXP(-LN(2)/25))/(LN(2)/25)*Calculateur!DB133*Calculateur!DD133*VLOOKUP('Données projet'!$B$9,Paramètres!$A$1:$I$88,3,0)*0.475*44/12</f>
        <v>0.33175680635473798</v>
      </c>
      <c r="DH133" s="23">
        <f>EXP(-LN(2)/2)*DH132+(1-EXP(-LN(2)/2))/(LN(2)/2)*DB133*DE133*VLOOKUP('Données projet'!$B$9,Paramètres!$A$1:$I$88,3,0)*0.475*44/12</f>
        <v>2.0748748616175305E-15</v>
      </c>
      <c r="DI133" s="24">
        <f t="shared" si="128"/>
        <v>1.7894797880303344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-5.6843418860808015E-14</v>
      </c>
      <c r="DP133" s="18">
        <f>DO133*VLOOKUP('Données projet'!$B$14,Paramètres!$A$1:$I$88,3,0)*VLOOKUP('Données projet'!$B$14,Paramètres!$A$1:$I$88,5,0)</f>
        <v>-4.5224624045658861E-14</v>
      </c>
      <c r="DQ133" s="14" t="e">
        <f t="shared" ref="DQ133:DQ153" si="156">EXP(-1.0587+0.8836*LN(DP133)+0.284)</f>
        <v>#NUM!</v>
      </c>
      <c r="DR133" s="22" t="e">
        <f t="shared" si="129"/>
        <v>#NUM!</v>
      </c>
      <c r="DS133" s="62" t="e">
        <f t="shared" si="130"/>
        <v>#NUM!</v>
      </c>
      <c r="DT133" s="62">
        <f ca="1">AVERAGE(OFFSET($DS$3,0,0,'Données projet'!$E$14+1,1))-AVERAGE(OFFSET($H$3,0,0,'Données projet'!$E$14+1,1))</f>
        <v>290.20755061064017</v>
      </c>
      <c r="DU133" s="62">
        <f t="shared" si="131"/>
        <v>343.54750327717181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25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5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1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-1.1368683772161603E-13</v>
      </c>
      <c r="O134" s="14">
        <f>N134*VLOOKUP('Données projet'!$B$9,Paramètres!$A$1:$I$88,3,0)*VLOOKUP('Données projet'!$B$9,Paramètres!$A$1:$I$88,5,0)</f>
        <v>-5.3205440053716299E-14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300.03481708703549</v>
      </c>
      <c r="T134" s="62">
        <f t="shared" si="110"/>
        <v>102.6350860969182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-2.2737367544323206E-13</v>
      </c>
      <c r="AJ134" s="14">
        <f>AI134*VLOOKUP('Données projet'!$B$10,Paramètres!$A$1:$I$88,3,0)*VLOOKUP('Données projet'!$B$10,Paramètres!$A$1:$I$88,5,0)</f>
        <v>-1.2710188457276673E-13</v>
      </c>
      <c r="AK134" s="14" t="e">
        <f t="shared" si="152"/>
        <v>#NUM!</v>
      </c>
      <c r="AL134" s="22" t="e">
        <f t="shared" si="113"/>
        <v>#NUM!</v>
      </c>
      <c r="AM134" s="62" t="e">
        <f t="shared" si="114"/>
        <v>#NUM!</v>
      </c>
      <c r="AN134" s="62">
        <f ca="1">AVERAGE(OFFSET($AM$3,0,0,'Données projet'!$E$10+1,1))-AVERAGE(OFFSET($H$3,0,0,'Données projet'!$E$10+1,1))</f>
        <v>328.27336939084597</v>
      </c>
      <c r="AO134" s="62">
        <f t="shared" si="115"/>
        <v>448.79354389108755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0.72997405920265646</v>
      </c>
      <c r="AV134" s="23">
        <f>EXP(-LN(2)/25)*AV133+(1-EXP(-LN(2)/25))/(LN(2)/25)*Calculateur!AQ134*Calculateur!AS134*VLOOKUP('Données projet'!$B$9,Paramètres!$A$1:$I$88,3,0)*0.475*44/12</f>
        <v>0.83665783631846269</v>
      </c>
      <c r="AW134" s="23">
        <f>EXP(-LN(2)/2)*AW133+(1-EXP(-LN(2)/2))/(LN(2)/2)*AQ134*AT134*VLOOKUP('Données projet'!$B$9,Paramètres!$A$1:$I$88,3,0)*0.475*44/12</f>
        <v>9.1490480491270404E-15</v>
      </c>
      <c r="AX134" s="23">
        <f t="shared" si="116"/>
        <v>1.5666318955211282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-2.2737367544323206E-13</v>
      </c>
      <c r="BE134" s="14">
        <f>BD134*VLOOKUP('Données projet'!$B$11,Paramètres!$A$1:$I$88,3,0)*VLOOKUP('Données projet'!$B$11,Paramètres!$A$1:$I$88,5,0)</f>
        <v>-1.9863364286720756E-13</v>
      </c>
      <c r="BF134" s="14" t="e">
        <f t="shared" si="153"/>
        <v>#NUM!</v>
      </c>
      <c r="BG134" s="22" t="e">
        <f t="shared" si="117"/>
        <v>#NUM!</v>
      </c>
      <c r="BH134" s="62" t="e">
        <f t="shared" si="118"/>
        <v>#NUM!</v>
      </c>
      <c r="BI134" s="62">
        <f ca="1">AVERAGE(OFFSET($BH$3,0,0,'Données projet'!$E$11+1,1))-AVERAGE(OFFSET($H$3,0,0,'Données projet'!$E$11+1,1))</f>
        <v>348.65374983303883</v>
      </c>
      <c r="BJ134" s="62">
        <f t="shared" si="119"/>
        <v>312.05848669315151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-5.6843418860808015E-14</v>
      </c>
      <c r="BZ134" s="14">
        <f>BY134*VLOOKUP('Données projet'!$B$12,Paramètres!$A$1:$I$88,3,0)*VLOOKUP('Données projet'!$B$12,Paramètres!$A$1:$I$88,5,0)</f>
        <v>-4.1677594708744434E-14</v>
      </c>
      <c r="CA134" s="14" t="e">
        <f t="shared" si="154"/>
        <v>#NUM!</v>
      </c>
      <c r="CB134" s="22" t="e">
        <f t="shared" si="121"/>
        <v>#NUM!</v>
      </c>
      <c r="CC134" s="62" t="e">
        <f t="shared" si="122"/>
        <v>#NUM!</v>
      </c>
      <c r="CD134" s="62">
        <f ca="1">AVERAGE(OFFSET($CC$3,0,0,'Données projet'!$E$12+1,1))-AVERAGE(OFFSET($H$3,0,0,'Données projet'!$E$12+1,1))</f>
        <v>264.06656596707364</v>
      </c>
      <c r="CE134" s="62">
        <f t="shared" si="123"/>
        <v>315.34415130230195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5.6843418860808015E-14</v>
      </c>
      <c r="CU134" s="18">
        <f>CT134*VLOOKUP('Données projet'!$B$13,Paramètres!$A$1:$I$88,3,0)*VLOOKUP('Données projet'!$B$13,Paramètres!$A$1:$I$88,5,0)</f>
        <v>3.3992364478763198E-14</v>
      </c>
      <c r="CV134" s="14">
        <f t="shared" si="155"/>
        <v>5.790027782444094E-13</v>
      </c>
      <c r="CW134" s="22">
        <f t="shared" si="125"/>
        <v>1.0676332069095257E-12</v>
      </c>
      <c r="CX134" s="62">
        <f t="shared" si="126"/>
        <v>293.33333333333439</v>
      </c>
      <c r="CY134" s="62">
        <f ca="1">AVERAGE(OFFSET($CX$3,0,0,'Données projet'!$E$13+1,1))-AVERAGE(OFFSET($H$3,0,0,'Données projet'!$E$13+1,1))</f>
        <v>162.29089122912319</v>
      </c>
      <c r="CZ134" s="62">
        <f t="shared" si="127"/>
        <v>253.15422514195427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1.4291379231281611</v>
      </c>
      <c r="DG134" s="23">
        <f>EXP(-LN(2)/25)*DG133+(1-EXP(-LN(2)/25))/(LN(2)/25)*Calculateur!DB134*Calculateur!DD134*VLOOKUP('Données projet'!$B$9,Paramètres!$A$1:$I$88,3,0)*0.475*44/12</f>
        <v>0.32268489903863545</v>
      </c>
      <c r="DH134" s="23">
        <f>EXP(-LN(2)/2)*DH133+(1-EXP(-LN(2)/2))/(LN(2)/2)*DB134*DE134*VLOOKUP('Données projet'!$B$9,Paramètres!$A$1:$I$88,3,0)*0.475*44/12</f>
        <v>1.4671580847632553E-15</v>
      </c>
      <c r="DI134" s="24">
        <f t="shared" si="128"/>
        <v>1.7518228221667982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-5.6843418860808015E-14</v>
      </c>
      <c r="DP134" s="18">
        <f>DO134*VLOOKUP('Données projet'!$B$14,Paramètres!$A$1:$I$88,3,0)*VLOOKUP('Données projet'!$B$14,Paramètres!$A$1:$I$88,5,0)</f>
        <v>-4.5224624045658861E-14</v>
      </c>
      <c r="DQ134" s="14" t="e">
        <f t="shared" si="156"/>
        <v>#NUM!</v>
      </c>
      <c r="DR134" s="22" t="e">
        <f t="shared" si="129"/>
        <v>#NUM!</v>
      </c>
      <c r="DS134" s="62" t="e">
        <f t="shared" si="130"/>
        <v>#NUM!</v>
      </c>
      <c r="DT134" s="62">
        <f ca="1">AVERAGE(OFFSET($DS$3,0,0,'Données projet'!$E$14+1,1))-AVERAGE(OFFSET($H$3,0,0,'Données projet'!$E$14+1,1))</f>
        <v>290.20755061064017</v>
      </c>
      <c r="DU134" s="62">
        <f t="shared" si="131"/>
        <v>343.54750327717181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25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5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1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-1.1368683772161603E-13</v>
      </c>
      <c r="O135" s="14">
        <f>N135*VLOOKUP('Données projet'!$B$9,Paramètres!$A$1:$I$88,3,0)*VLOOKUP('Données projet'!$B$9,Paramètres!$A$1:$I$88,5,0)</f>
        <v>-5.3205440053716299E-14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300.03481708703549</v>
      </c>
      <c r="T135" s="62">
        <f t="shared" si="110"/>
        <v>102.6350860969182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-2.2737367544323206E-13</v>
      </c>
      <c r="AJ135" s="14">
        <f>AI135*VLOOKUP('Données projet'!$B$10,Paramètres!$A$1:$I$88,3,0)*VLOOKUP('Données projet'!$B$10,Paramètres!$A$1:$I$88,5,0)</f>
        <v>-1.2710188457276673E-13</v>
      </c>
      <c r="AK135" s="14" t="e">
        <f t="shared" si="152"/>
        <v>#NUM!</v>
      </c>
      <c r="AL135" s="22" t="e">
        <f t="shared" si="113"/>
        <v>#NUM!</v>
      </c>
      <c r="AM135" s="62" t="e">
        <f t="shared" si="114"/>
        <v>#NUM!</v>
      </c>
      <c r="AN135" s="62">
        <f ca="1">AVERAGE(OFFSET($AM$3,0,0,'Données projet'!$E$10+1,1))-AVERAGE(OFFSET($H$3,0,0,'Données projet'!$E$10+1,1))</f>
        <v>328.27336939084597</v>
      </c>
      <c r="AO135" s="62">
        <f t="shared" si="115"/>
        <v>448.79354389108755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0.71565971314190469</v>
      </c>
      <c r="AV135" s="23">
        <f>EXP(-LN(2)/25)*AV134+(1-EXP(-LN(2)/25))/(LN(2)/25)*Calculateur!AQ135*Calculateur!AS135*VLOOKUP('Données projet'!$B$9,Paramètres!$A$1:$I$88,3,0)*0.475*44/12</f>
        <v>0.8137793837864109</v>
      </c>
      <c r="AW135" s="23">
        <f>EXP(-LN(2)/2)*AW134+(1-EXP(-LN(2)/2))/(LN(2)/2)*AQ135*AT135*VLOOKUP('Données projet'!$B$9,Paramètres!$A$1:$I$88,3,0)*0.475*44/12</f>
        <v>6.4693539169392838E-15</v>
      </c>
      <c r="AX135" s="23">
        <f t="shared" si="116"/>
        <v>1.529439096928322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-2.2737367544323206E-13</v>
      </c>
      <c r="BE135" s="14">
        <f>BD135*VLOOKUP('Données projet'!$B$11,Paramètres!$A$1:$I$88,3,0)*VLOOKUP('Données projet'!$B$11,Paramètres!$A$1:$I$88,5,0)</f>
        <v>-1.9863364286720756E-13</v>
      </c>
      <c r="BF135" s="14" t="e">
        <f t="shared" si="153"/>
        <v>#NUM!</v>
      </c>
      <c r="BG135" s="22" t="e">
        <f t="shared" si="117"/>
        <v>#NUM!</v>
      </c>
      <c r="BH135" s="62" t="e">
        <f t="shared" si="118"/>
        <v>#NUM!</v>
      </c>
      <c r="BI135" s="62">
        <f ca="1">AVERAGE(OFFSET($BH$3,0,0,'Données projet'!$E$11+1,1))-AVERAGE(OFFSET($H$3,0,0,'Données projet'!$E$11+1,1))</f>
        <v>348.65374983303883</v>
      </c>
      <c r="BJ135" s="62">
        <f t="shared" si="119"/>
        <v>312.05848669315151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-5.6843418860808015E-14</v>
      </c>
      <c r="BZ135" s="14">
        <f>BY135*VLOOKUP('Données projet'!$B$12,Paramètres!$A$1:$I$88,3,0)*VLOOKUP('Données projet'!$B$12,Paramètres!$A$1:$I$88,5,0)</f>
        <v>-4.1677594708744434E-14</v>
      </c>
      <c r="CA135" s="14" t="e">
        <f t="shared" si="154"/>
        <v>#NUM!</v>
      </c>
      <c r="CB135" s="22" t="e">
        <f t="shared" si="121"/>
        <v>#NUM!</v>
      </c>
      <c r="CC135" s="62" t="e">
        <f t="shared" si="122"/>
        <v>#NUM!</v>
      </c>
      <c r="CD135" s="62">
        <f ca="1">AVERAGE(OFFSET($CC$3,0,0,'Données projet'!$E$12+1,1))-AVERAGE(OFFSET($H$3,0,0,'Données projet'!$E$12+1,1))</f>
        <v>264.06656596707364</v>
      </c>
      <c r="CE135" s="62">
        <f t="shared" si="123"/>
        <v>315.34415130230195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5.6843418860808015E-14</v>
      </c>
      <c r="CU135" s="18">
        <f>CT135*VLOOKUP('Données projet'!$B$13,Paramètres!$A$1:$I$88,3,0)*VLOOKUP('Données projet'!$B$13,Paramètres!$A$1:$I$88,5,0)</f>
        <v>3.3992364478763198E-14</v>
      </c>
      <c r="CV135" s="14">
        <f t="shared" si="155"/>
        <v>5.790027782444094E-13</v>
      </c>
      <c r="CW135" s="22">
        <f t="shared" si="125"/>
        <v>1.0676332069095257E-12</v>
      </c>
      <c r="CX135" s="62">
        <f t="shared" si="126"/>
        <v>293.33333333333439</v>
      </c>
      <c r="CY135" s="62">
        <f ca="1">AVERAGE(OFFSET($CX$3,0,0,'Données projet'!$E$13+1,1))-AVERAGE(OFFSET($H$3,0,0,'Données projet'!$E$13+1,1))</f>
        <v>162.29089122912319</v>
      </c>
      <c r="CZ135" s="62">
        <f t="shared" si="127"/>
        <v>253.15422514195427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1.4011134001436789</v>
      </c>
      <c r="DG135" s="23">
        <f>EXP(-LN(2)/25)*DG134+(1-EXP(-LN(2)/25))/(LN(2)/25)*Calculateur!DB135*Calculateur!DD135*VLOOKUP('Données projet'!$B$9,Paramètres!$A$1:$I$88,3,0)*0.475*44/12</f>
        <v>0.31386106350516263</v>
      </c>
      <c r="DH135" s="23">
        <f>EXP(-LN(2)/2)*DH134+(1-EXP(-LN(2)/2))/(LN(2)/2)*DB135*DE135*VLOOKUP('Données projet'!$B$9,Paramètres!$A$1:$I$88,3,0)*0.475*44/12</f>
        <v>1.0374374308087653E-15</v>
      </c>
      <c r="DI135" s="24">
        <f t="shared" si="128"/>
        <v>1.7149744636488427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-5.6843418860808015E-14</v>
      </c>
      <c r="DP135" s="18">
        <f>DO135*VLOOKUP('Données projet'!$B$14,Paramètres!$A$1:$I$88,3,0)*VLOOKUP('Données projet'!$B$14,Paramètres!$A$1:$I$88,5,0)</f>
        <v>-4.5224624045658861E-14</v>
      </c>
      <c r="DQ135" s="14" t="e">
        <f t="shared" si="156"/>
        <v>#NUM!</v>
      </c>
      <c r="DR135" s="22" t="e">
        <f t="shared" si="129"/>
        <v>#NUM!</v>
      </c>
      <c r="DS135" s="62" t="e">
        <f t="shared" si="130"/>
        <v>#NUM!</v>
      </c>
      <c r="DT135" s="62">
        <f ca="1">AVERAGE(OFFSET($DS$3,0,0,'Données projet'!$E$14+1,1))-AVERAGE(OFFSET($H$3,0,0,'Données projet'!$E$14+1,1))</f>
        <v>290.20755061064017</v>
      </c>
      <c r="DU135" s="62">
        <f t="shared" si="131"/>
        <v>343.54750327717181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25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5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1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-1.1368683772161603E-13</v>
      </c>
      <c r="O136" s="14">
        <f>N136*VLOOKUP('Données projet'!$B$9,Paramètres!$A$1:$I$88,3,0)*VLOOKUP('Données projet'!$B$9,Paramètres!$A$1:$I$88,5,0)</f>
        <v>-5.3205440053716299E-14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300.03481708703549</v>
      </c>
      <c r="T136" s="62">
        <f t="shared" si="110"/>
        <v>102.6350860969182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-2.2737367544323206E-13</v>
      </c>
      <c r="AJ136" s="14">
        <f>AI136*VLOOKUP('Données projet'!$B$10,Paramètres!$A$1:$I$88,3,0)*VLOOKUP('Données projet'!$B$10,Paramètres!$A$1:$I$88,5,0)</f>
        <v>-1.2710188457276673E-13</v>
      </c>
      <c r="AK136" s="14" t="e">
        <f t="shared" si="152"/>
        <v>#NUM!</v>
      </c>
      <c r="AL136" s="22" t="e">
        <f t="shared" si="113"/>
        <v>#NUM!</v>
      </c>
      <c r="AM136" s="62" t="e">
        <f t="shared" si="114"/>
        <v>#NUM!</v>
      </c>
      <c r="AN136" s="62">
        <f ca="1">AVERAGE(OFFSET($AM$3,0,0,'Données projet'!$E$10+1,1))-AVERAGE(OFFSET($H$3,0,0,'Données projet'!$E$10+1,1))</f>
        <v>328.27336939084597</v>
      </c>
      <c r="AO136" s="62">
        <f t="shared" si="115"/>
        <v>448.79354389108755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0.70162606267651528</v>
      </c>
      <c r="AV136" s="23">
        <f>EXP(-LN(2)/25)*AV135+(1-EXP(-LN(2)/25))/(LN(2)/25)*Calculateur!AQ136*Calculateur!AS136*VLOOKUP('Données projet'!$B$9,Paramètres!$A$1:$I$88,3,0)*0.475*44/12</f>
        <v>0.79152654374197362</v>
      </c>
      <c r="AW136" s="23">
        <f>EXP(-LN(2)/2)*AW135+(1-EXP(-LN(2)/2))/(LN(2)/2)*AQ136*AT136*VLOOKUP('Données projet'!$B$9,Paramètres!$A$1:$I$88,3,0)*0.475*44/12</f>
        <v>4.5745240245635202E-15</v>
      </c>
      <c r="AX136" s="23">
        <f t="shared" si="116"/>
        <v>1.4931526064184937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-2.2737367544323206E-13</v>
      </c>
      <c r="BE136" s="14">
        <f>BD136*VLOOKUP('Données projet'!$B$11,Paramètres!$A$1:$I$88,3,0)*VLOOKUP('Données projet'!$B$11,Paramètres!$A$1:$I$88,5,0)</f>
        <v>-1.9863364286720756E-13</v>
      </c>
      <c r="BF136" s="14" t="e">
        <f t="shared" si="153"/>
        <v>#NUM!</v>
      </c>
      <c r="BG136" s="22" t="e">
        <f t="shared" si="117"/>
        <v>#NUM!</v>
      </c>
      <c r="BH136" s="62" t="e">
        <f t="shared" si="118"/>
        <v>#NUM!</v>
      </c>
      <c r="BI136" s="62">
        <f ca="1">AVERAGE(OFFSET($BH$3,0,0,'Données projet'!$E$11+1,1))-AVERAGE(OFFSET($H$3,0,0,'Données projet'!$E$11+1,1))</f>
        <v>348.65374983303883</v>
      </c>
      <c r="BJ136" s="62">
        <f t="shared" si="119"/>
        <v>312.05848669315151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-5.6843418860808015E-14</v>
      </c>
      <c r="BZ136" s="14">
        <f>BY136*VLOOKUP('Données projet'!$B$12,Paramètres!$A$1:$I$88,3,0)*VLOOKUP('Données projet'!$B$12,Paramètres!$A$1:$I$88,5,0)</f>
        <v>-4.1677594708744434E-14</v>
      </c>
      <c r="CA136" s="14" t="e">
        <f t="shared" si="154"/>
        <v>#NUM!</v>
      </c>
      <c r="CB136" s="22" t="e">
        <f t="shared" si="121"/>
        <v>#NUM!</v>
      </c>
      <c r="CC136" s="62" t="e">
        <f t="shared" si="122"/>
        <v>#NUM!</v>
      </c>
      <c r="CD136" s="62">
        <f ca="1">AVERAGE(OFFSET($CC$3,0,0,'Données projet'!$E$12+1,1))-AVERAGE(OFFSET($H$3,0,0,'Données projet'!$E$12+1,1))</f>
        <v>264.06656596707364</v>
      </c>
      <c r="CE136" s="62">
        <f t="shared" si="123"/>
        <v>315.34415130230195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5.6843418860808015E-14</v>
      </c>
      <c r="CU136" s="18">
        <f>CT136*VLOOKUP('Données projet'!$B$13,Paramètres!$A$1:$I$88,3,0)*VLOOKUP('Données projet'!$B$13,Paramètres!$A$1:$I$88,5,0)</f>
        <v>3.3992364478763198E-14</v>
      </c>
      <c r="CV136" s="14">
        <f t="shared" si="155"/>
        <v>5.790027782444094E-13</v>
      </c>
      <c r="CW136" s="22">
        <f t="shared" si="125"/>
        <v>1.0676332069095257E-12</v>
      </c>
      <c r="CX136" s="62">
        <f t="shared" si="126"/>
        <v>293.33333333333439</v>
      </c>
      <c r="CY136" s="62">
        <f ca="1">AVERAGE(OFFSET($CX$3,0,0,'Données projet'!$E$13+1,1))-AVERAGE(OFFSET($H$3,0,0,'Données projet'!$E$13+1,1))</f>
        <v>162.29089122912319</v>
      </c>
      <c r="CZ136" s="62">
        <f t="shared" si="127"/>
        <v>253.15422514195427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1.3736384209616512</v>
      </c>
      <c r="DG136" s="23">
        <f>EXP(-LN(2)/25)*DG135+(1-EXP(-LN(2)/25))/(LN(2)/25)*Calculateur!DB136*Calculateur!DD136*VLOOKUP('Données projet'!$B$9,Paramètres!$A$1:$I$88,3,0)*0.475*44/12</f>
        <v>0.30527851621837798</v>
      </c>
      <c r="DH136" s="23">
        <f>EXP(-LN(2)/2)*DH135+(1-EXP(-LN(2)/2))/(LN(2)/2)*DB136*DE136*VLOOKUP('Données projet'!$B$9,Paramètres!$A$1:$I$88,3,0)*0.475*44/12</f>
        <v>7.3357904238162763E-16</v>
      </c>
      <c r="DI136" s="24">
        <f t="shared" si="128"/>
        <v>1.6789169371800299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-5.6843418860808015E-14</v>
      </c>
      <c r="DP136" s="18">
        <f>DO136*VLOOKUP('Données projet'!$B$14,Paramètres!$A$1:$I$88,3,0)*VLOOKUP('Données projet'!$B$14,Paramètres!$A$1:$I$88,5,0)</f>
        <v>-4.5224624045658861E-14</v>
      </c>
      <c r="DQ136" s="14" t="e">
        <f t="shared" si="156"/>
        <v>#NUM!</v>
      </c>
      <c r="DR136" s="22" t="e">
        <f t="shared" si="129"/>
        <v>#NUM!</v>
      </c>
      <c r="DS136" s="62" t="e">
        <f t="shared" si="130"/>
        <v>#NUM!</v>
      </c>
      <c r="DT136" s="62">
        <f ca="1">AVERAGE(OFFSET($DS$3,0,0,'Données projet'!$E$14+1,1))-AVERAGE(OFFSET($H$3,0,0,'Données projet'!$E$14+1,1))</f>
        <v>290.20755061064017</v>
      </c>
      <c r="DU136" s="62">
        <f t="shared" si="131"/>
        <v>343.54750327717181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25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5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1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-1.1368683772161603E-13</v>
      </c>
      <c r="O137" s="14">
        <f>N137*VLOOKUP('Données projet'!$B$9,Paramètres!$A$1:$I$88,3,0)*VLOOKUP('Données projet'!$B$9,Paramètres!$A$1:$I$88,5,0)</f>
        <v>-5.3205440053716299E-14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300.03481708703549</v>
      </c>
      <c r="T137" s="62">
        <f t="shared" si="110"/>
        <v>102.6350860969182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-2.2737367544323206E-13</v>
      </c>
      <c r="AJ137" s="14">
        <f>AI137*VLOOKUP('Données projet'!$B$10,Paramètres!$A$1:$I$88,3,0)*VLOOKUP('Données projet'!$B$10,Paramètres!$A$1:$I$88,5,0)</f>
        <v>-1.2710188457276673E-13</v>
      </c>
      <c r="AK137" s="14" t="e">
        <f t="shared" si="152"/>
        <v>#NUM!</v>
      </c>
      <c r="AL137" s="22" t="e">
        <f t="shared" si="113"/>
        <v>#NUM!</v>
      </c>
      <c r="AM137" s="62" t="e">
        <f t="shared" si="114"/>
        <v>#NUM!</v>
      </c>
      <c r="AN137" s="62">
        <f ca="1">AVERAGE(OFFSET($AM$3,0,0,'Données projet'!$E$10+1,1))-AVERAGE(OFFSET($H$3,0,0,'Données projet'!$E$10+1,1))</f>
        <v>328.27336939084597</v>
      </c>
      <c r="AO137" s="62">
        <f t="shared" si="115"/>
        <v>448.79354389108755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0.68786760353707055</v>
      </c>
      <c r="AV137" s="23">
        <f>EXP(-LN(2)/25)*AV136+(1-EXP(-LN(2)/25))/(LN(2)/25)*Calculateur!AQ137*Calculateur!AS137*VLOOKUP('Données projet'!$B$9,Paramètres!$A$1:$I$88,3,0)*0.475*44/12</f>
        <v>0.76988220877877744</v>
      </c>
      <c r="AW137" s="23">
        <f>EXP(-LN(2)/2)*AW136+(1-EXP(-LN(2)/2))/(LN(2)/2)*AQ137*AT137*VLOOKUP('Données projet'!$B$9,Paramètres!$A$1:$I$88,3,0)*0.475*44/12</f>
        <v>3.2346769584696419E-15</v>
      </c>
      <c r="AX137" s="23">
        <f t="shared" si="116"/>
        <v>1.4577498123158514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-2.2737367544323206E-13</v>
      </c>
      <c r="BE137" s="14">
        <f>BD137*VLOOKUP('Données projet'!$B$11,Paramètres!$A$1:$I$88,3,0)*VLOOKUP('Données projet'!$B$11,Paramètres!$A$1:$I$88,5,0)</f>
        <v>-1.9863364286720756E-13</v>
      </c>
      <c r="BF137" s="14" t="e">
        <f t="shared" si="153"/>
        <v>#NUM!</v>
      </c>
      <c r="BG137" s="22" t="e">
        <f t="shared" si="117"/>
        <v>#NUM!</v>
      </c>
      <c r="BH137" s="62" t="e">
        <f t="shared" si="118"/>
        <v>#NUM!</v>
      </c>
      <c r="BI137" s="62">
        <f ca="1">AVERAGE(OFFSET($BH$3,0,0,'Données projet'!$E$11+1,1))-AVERAGE(OFFSET($H$3,0,0,'Données projet'!$E$11+1,1))</f>
        <v>348.65374983303883</v>
      </c>
      <c r="BJ137" s="62">
        <f t="shared" si="119"/>
        <v>312.05848669315151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-5.6843418860808015E-14</v>
      </c>
      <c r="BZ137" s="14">
        <f>BY137*VLOOKUP('Données projet'!$B$12,Paramètres!$A$1:$I$88,3,0)*VLOOKUP('Données projet'!$B$12,Paramètres!$A$1:$I$88,5,0)</f>
        <v>-4.1677594708744434E-14</v>
      </c>
      <c r="CA137" s="14" t="e">
        <f t="shared" si="154"/>
        <v>#NUM!</v>
      </c>
      <c r="CB137" s="22" t="e">
        <f t="shared" si="121"/>
        <v>#NUM!</v>
      </c>
      <c r="CC137" s="62" t="e">
        <f t="shared" si="122"/>
        <v>#NUM!</v>
      </c>
      <c r="CD137" s="62">
        <f ca="1">AVERAGE(OFFSET($CC$3,0,0,'Données projet'!$E$12+1,1))-AVERAGE(OFFSET($H$3,0,0,'Données projet'!$E$12+1,1))</f>
        <v>264.06656596707364</v>
      </c>
      <c r="CE137" s="62">
        <f t="shared" si="123"/>
        <v>315.34415130230195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5.6843418860808015E-14</v>
      </c>
      <c r="CU137" s="18">
        <f>CT137*VLOOKUP('Données projet'!$B$13,Paramètres!$A$1:$I$88,3,0)*VLOOKUP('Données projet'!$B$13,Paramètres!$A$1:$I$88,5,0)</f>
        <v>3.3992364478763198E-14</v>
      </c>
      <c r="CV137" s="14">
        <f t="shared" si="155"/>
        <v>5.790027782444094E-13</v>
      </c>
      <c r="CW137" s="22">
        <f t="shared" si="125"/>
        <v>1.0676332069095257E-12</v>
      </c>
      <c r="CX137" s="62">
        <f t="shared" si="126"/>
        <v>293.33333333333439</v>
      </c>
      <c r="CY137" s="62">
        <f ca="1">AVERAGE(OFFSET($CX$3,0,0,'Données projet'!$E$13+1,1))-AVERAGE(OFFSET($H$3,0,0,'Données projet'!$E$13+1,1))</f>
        <v>162.29089122912319</v>
      </c>
      <c r="CZ137" s="62">
        <f t="shared" si="127"/>
        <v>253.15422514195427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1.3467022093633005</v>
      </c>
      <c r="DG137" s="23">
        <f>EXP(-LN(2)/25)*DG136+(1-EXP(-LN(2)/25))/(LN(2)/25)*Calculateur!DB137*Calculateur!DD137*VLOOKUP('Données projet'!$B$9,Paramètres!$A$1:$I$88,3,0)*0.475*44/12</f>
        <v>0.29693065913848699</v>
      </c>
      <c r="DH137" s="23">
        <f>EXP(-LN(2)/2)*DH136+(1-EXP(-LN(2)/2))/(LN(2)/2)*DB137*DE137*VLOOKUP('Données projet'!$B$9,Paramètres!$A$1:$I$88,3,0)*0.475*44/12</f>
        <v>5.1871871540438263E-16</v>
      </c>
      <c r="DI137" s="24">
        <f t="shared" si="128"/>
        <v>1.643632868501788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-5.6843418860808015E-14</v>
      </c>
      <c r="DP137" s="18">
        <f>DO137*VLOOKUP('Données projet'!$B$14,Paramètres!$A$1:$I$88,3,0)*VLOOKUP('Données projet'!$B$14,Paramètres!$A$1:$I$88,5,0)</f>
        <v>-4.5224624045658861E-14</v>
      </c>
      <c r="DQ137" s="14" t="e">
        <f t="shared" si="156"/>
        <v>#NUM!</v>
      </c>
      <c r="DR137" s="22" t="e">
        <f t="shared" si="129"/>
        <v>#NUM!</v>
      </c>
      <c r="DS137" s="62" t="e">
        <f t="shared" si="130"/>
        <v>#NUM!</v>
      </c>
      <c r="DT137" s="62">
        <f ca="1">AVERAGE(OFFSET($DS$3,0,0,'Données projet'!$E$14+1,1))-AVERAGE(OFFSET($H$3,0,0,'Données projet'!$E$14+1,1))</f>
        <v>290.20755061064017</v>
      </c>
      <c r="DU137" s="62">
        <f t="shared" si="131"/>
        <v>343.54750327717181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25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5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1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-1.1368683772161603E-13</v>
      </c>
      <c r="O138" s="14">
        <f>N138*VLOOKUP('Données projet'!$B$9,Paramètres!$A$1:$I$88,3,0)*VLOOKUP('Données projet'!$B$9,Paramètres!$A$1:$I$88,5,0)</f>
        <v>-5.3205440053716299E-14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300.03481708703549</v>
      </c>
      <c r="T138" s="62">
        <f t="shared" si="110"/>
        <v>102.6350860969182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-2.2737367544323206E-13</v>
      </c>
      <c r="AJ138" s="14">
        <f>AI138*VLOOKUP('Données projet'!$B$10,Paramètres!$A$1:$I$88,3,0)*VLOOKUP('Données projet'!$B$10,Paramètres!$A$1:$I$88,5,0)</f>
        <v>-1.2710188457276673E-13</v>
      </c>
      <c r="AK138" s="14" t="e">
        <f t="shared" si="152"/>
        <v>#NUM!</v>
      </c>
      <c r="AL138" s="22" t="e">
        <f t="shared" si="113"/>
        <v>#NUM!</v>
      </c>
      <c r="AM138" s="62" t="e">
        <f t="shared" si="114"/>
        <v>#NUM!</v>
      </c>
      <c r="AN138" s="62">
        <f ca="1">AVERAGE(OFFSET($AM$3,0,0,'Données projet'!$E$10+1,1))-AVERAGE(OFFSET($H$3,0,0,'Données projet'!$E$10+1,1))</f>
        <v>328.27336939084597</v>
      </c>
      <c r="AO138" s="62">
        <f t="shared" si="115"/>
        <v>448.79354389108755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0.67437893938951887</v>
      </c>
      <c r="AV138" s="23">
        <f>EXP(-LN(2)/25)*AV137+(1-EXP(-LN(2)/25))/(LN(2)/25)*Calculateur!AQ138*Calculateur!AS138*VLOOKUP('Données projet'!$B$9,Paramètres!$A$1:$I$88,3,0)*0.475*44/12</f>
        <v>0.74882973929337604</v>
      </c>
      <c r="AW138" s="23">
        <f>EXP(-LN(2)/2)*AW137+(1-EXP(-LN(2)/2))/(LN(2)/2)*AQ138*AT138*VLOOKUP('Données projet'!$B$9,Paramètres!$A$1:$I$88,3,0)*0.475*44/12</f>
        <v>2.2872620122817601E-15</v>
      </c>
      <c r="AX138" s="23">
        <f t="shared" si="116"/>
        <v>1.4232086786828972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-2.2737367544323206E-13</v>
      </c>
      <c r="BE138" s="14">
        <f>BD138*VLOOKUP('Données projet'!$B$11,Paramètres!$A$1:$I$88,3,0)*VLOOKUP('Données projet'!$B$11,Paramètres!$A$1:$I$88,5,0)</f>
        <v>-1.9863364286720756E-13</v>
      </c>
      <c r="BF138" s="14" t="e">
        <f t="shared" si="153"/>
        <v>#NUM!</v>
      </c>
      <c r="BG138" s="22" t="e">
        <f t="shared" si="117"/>
        <v>#NUM!</v>
      </c>
      <c r="BH138" s="62" t="e">
        <f t="shared" si="118"/>
        <v>#NUM!</v>
      </c>
      <c r="BI138" s="62">
        <f ca="1">AVERAGE(OFFSET($BH$3,0,0,'Données projet'!$E$11+1,1))-AVERAGE(OFFSET($H$3,0,0,'Données projet'!$E$11+1,1))</f>
        <v>348.65374983303883</v>
      </c>
      <c r="BJ138" s="62">
        <f t="shared" si="119"/>
        <v>312.05848669315151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-5.6843418860808015E-14</v>
      </c>
      <c r="BZ138" s="14">
        <f>BY138*VLOOKUP('Données projet'!$B$12,Paramètres!$A$1:$I$88,3,0)*VLOOKUP('Données projet'!$B$12,Paramètres!$A$1:$I$88,5,0)</f>
        <v>-4.1677594708744434E-14</v>
      </c>
      <c r="CA138" s="14" t="e">
        <f t="shared" si="154"/>
        <v>#NUM!</v>
      </c>
      <c r="CB138" s="22" t="e">
        <f t="shared" si="121"/>
        <v>#NUM!</v>
      </c>
      <c r="CC138" s="62" t="e">
        <f t="shared" si="122"/>
        <v>#NUM!</v>
      </c>
      <c r="CD138" s="62">
        <f ca="1">AVERAGE(OFFSET($CC$3,0,0,'Données projet'!$E$12+1,1))-AVERAGE(OFFSET($H$3,0,0,'Données projet'!$E$12+1,1))</f>
        <v>264.06656596707364</v>
      </c>
      <c r="CE138" s="62">
        <f t="shared" si="123"/>
        <v>315.34415130230195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5.6843418860808015E-14</v>
      </c>
      <c r="CU138" s="18">
        <f>CT138*VLOOKUP('Données projet'!$B$13,Paramètres!$A$1:$I$88,3,0)*VLOOKUP('Données projet'!$B$13,Paramètres!$A$1:$I$88,5,0)</f>
        <v>3.3992364478763198E-14</v>
      </c>
      <c r="CV138" s="14">
        <f t="shared" si="155"/>
        <v>5.790027782444094E-13</v>
      </c>
      <c r="CW138" s="22">
        <f t="shared" si="125"/>
        <v>1.0676332069095257E-12</v>
      </c>
      <c r="CX138" s="62">
        <f t="shared" si="126"/>
        <v>293.33333333333439</v>
      </c>
      <c r="CY138" s="62">
        <f ca="1">AVERAGE(OFFSET($CX$3,0,0,'Données projet'!$E$13+1,1))-AVERAGE(OFFSET($H$3,0,0,'Données projet'!$E$13+1,1))</f>
        <v>162.29089122912319</v>
      </c>
      <c r="CZ138" s="62">
        <f t="shared" si="127"/>
        <v>253.15422514195427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1.3202942004449267</v>
      </c>
      <c r="DG138" s="23">
        <f>EXP(-LN(2)/25)*DG137+(1-EXP(-LN(2)/25))/(LN(2)/25)*Calculateur!DB138*Calculateur!DD138*VLOOKUP('Données projet'!$B$9,Paramètres!$A$1:$I$88,3,0)*0.475*44/12</f>
        <v>0.28881107464944034</v>
      </c>
      <c r="DH138" s="23">
        <f>EXP(-LN(2)/2)*DH137+(1-EXP(-LN(2)/2))/(LN(2)/2)*DB138*DE138*VLOOKUP('Données projet'!$B$9,Paramètres!$A$1:$I$88,3,0)*0.475*44/12</f>
        <v>3.6678952119081382E-16</v>
      </c>
      <c r="DI138" s="24">
        <f t="shared" si="128"/>
        <v>1.6091052750943675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-5.6843418860808015E-14</v>
      </c>
      <c r="DP138" s="18">
        <f>DO138*VLOOKUP('Données projet'!$B$14,Paramètres!$A$1:$I$88,3,0)*VLOOKUP('Données projet'!$B$14,Paramètres!$A$1:$I$88,5,0)</f>
        <v>-4.5224624045658861E-14</v>
      </c>
      <c r="DQ138" s="14" t="e">
        <f t="shared" si="156"/>
        <v>#NUM!</v>
      </c>
      <c r="DR138" s="22" t="e">
        <f t="shared" si="129"/>
        <v>#NUM!</v>
      </c>
      <c r="DS138" s="62" t="e">
        <f t="shared" si="130"/>
        <v>#NUM!</v>
      </c>
      <c r="DT138" s="62">
        <f ca="1">AVERAGE(OFFSET($DS$3,0,0,'Données projet'!$E$14+1,1))-AVERAGE(OFFSET($H$3,0,0,'Données projet'!$E$14+1,1))</f>
        <v>290.20755061064017</v>
      </c>
      <c r="DU138" s="62">
        <f t="shared" si="131"/>
        <v>343.54750327717181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25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5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1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-1.1368683772161603E-13</v>
      </c>
      <c r="O139" s="14">
        <f>N139*VLOOKUP('Données projet'!$B$9,Paramètres!$A$1:$I$88,3,0)*VLOOKUP('Données projet'!$B$9,Paramètres!$A$1:$I$88,5,0)</f>
        <v>-5.3205440053716299E-14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300.03481708703549</v>
      </c>
      <c r="T139" s="62">
        <f t="shared" si="110"/>
        <v>102.6350860969182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-2.2737367544323206E-13</v>
      </c>
      <c r="AJ139" s="14">
        <f>AI139*VLOOKUP('Données projet'!$B$10,Paramètres!$A$1:$I$88,3,0)*VLOOKUP('Données projet'!$B$10,Paramètres!$A$1:$I$88,5,0)</f>
        <v>-1.2710188457276673E-13</v>
      </c>
      <c r="AK139" s="14" t="e">
        <f t="shared" si="152"/>
        <v>#NUM!</v>
      </c>
      <c r="AL139" s="22" t="e">
        <f t="shared" si="113"/>
        <v>#NUM!</v>
      </c>
      <c r="AM139" s="62" t="e">
        <f t="shared" si="114"/>
        <v>#NUM!</v>
      </c>
      <c r="AN139" s="62">
        <f ca="1">AVERAGE(OFFSET($AM$3,0,0,'Données projet'!$E$10+1,1))-AVERAGE(OFFSET($H$3,0,0,'Données projet'!$E$10+1,1))</f>
        <v>328.27336939084597</v>
      </c>
      <c r="AO139" s="62">
        <f t="shared" si="115"/>
        <v>448.79354389108755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0.66115477971862791</v>
      </c>
      <c r="AV139" s="23">
        <f>EXP(-LN(2)/25)*AV138+(1-EXP(-LN(2)/25))/(LN(2)/25)*Calculateur!AQ139*Calculateur!AS139*VLOOKUP('Données projet'!$B$9,Paramètres!$A$1:$I$88,3,0)*0.475*44/12</f>
        <v>0.7283529506931542</v>
      </c>
      <c r="AW139" s="23">
        <f>EXP(-LN(2)/2)*AW138+(1-EXP(-LN(2)/2))/(LN(2)/2)*AQ139*AT139*VLOOKUP('Données projet'!$B$9,Paramètres!$A$1:$I$88,3,0)*0.475*44/12</f>
        <v>1.6173384792348209E-15</v>
      </c>
      <c r="AX139" s="23">
        <f t="shared" si="116"/>
        <v>1.3895077304117838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-2.2737367544323206E-13</v>
      </c>
      <c r="BE139" s="14">
        <f>BD139*VLOOKUP('Données projet'!$B$11,Paramètres!$A$1:$I$88,3,0)*VLOOKUP('Données projet'!$B$11,Paramètres!$A$1:$I$88,5,0)</f>
        <v>-1.9863364286720756E-13</v>
      </c>
      <c r="BF139" s="14" t="e">
        <f t="shared" si="153"/>
        <v>#NUM!</v>
      </c>
      <c r="BG139" s="22" t="e">
        <f t="shared" si="117"/>
        <v>#NUM!</v>
      </c>
      <c r="BH139" s="62" t="e">
        <f t="shared" si="118"/>
        <v>#NUM!</v>
      </c>
      <c r="BI139" s="62">
        <f ca="1">AVERAGE(OFFSET($BH$3,0,0,'Données projet'!$E$11+1,1))-AVERAGE(OFFSET($H$3,0,0,'Données projet'!$E$11+1,1))</f>
        <v>348.65374983303883</v>
      </c>
      <c r="BJ139" s="62">
        <f t="shared" si="119"/>
        <v>312.05848669315151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-5.6843418860808015E-14</v>
      </c>
      <c r="BZ139" s="14">
        <f>BY139*VLOOKUP('Données projet'!$B$12,Paramètres!$A$1:$I$88,3,0)*VLOOKUP('Données projet'!$B$12,Paramètres!$A$1:$I$88,5,0)</f>
        <v>-4.1677594708744434E-14</v>
      </c>
      <c r="CA139" s="14" t="e">
        <f t="shared" si="154"/>
        <v>#NUM!</v>
      </c>
      <c r="CB139" s="22" t="e">
        <f t="shared" si="121"/>
        <v>#NUM!</v>
      </c>
      <c r="CC139" s="62" t="e">
        <f t="shared" si="122"/>
        <v>#NUM!</v>
      </c>
      <c r="CD139" s="62">
        <f ca="1">AVERAGE(OFFSET($CC$3,0,0,'Données projet'!$E$12+1,1))-AVERAGE(OFFSET($H$3,0,0,'Données projet'!$E$12+1,1))</f>
        <v>264.06656596707364</v>
      </c>
      <c r="CE139" s="62">
        <f t="shared" si="123"/>
        <v>315.34415130230195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5.6843418860808015E-14</v>
      </c>
      <c r="CU139" s="18">
        <f>CT139*VLOOKUP('Données projet'!$B$13,Paramètres!$A$1:$I$88,3,0)*VLOOKUP('Données projet'!$B$13,Paramètres!$A$1:$I$88,5,0)</f>
        <v>3.3992364478763198E-14</v>
      </c>
      <c r="CV139" s="14">
        <f t="shared" si="155"/>
        <v>5.790027782444094E-13</v>
      </c>
      <c r="CW139" s="22">
        <f t="shared" si="125"/>
        <v>1.0676332069095257E-12</v>
      </c>
      <c r="CX139" s="62">
        <f t="shared" si="126"/>
        <v>293.33333333333439</v>
      </c>
      <c r="CY139" s="62">
        <f ca="1">AVERAGE(OFFSET($CX$3,0,0,'Données projet'!$E$13+1,1))-AVERAGE(OFFSET($H$3,0,0,'Données projet'!$E$13+1,1))</f>
        <v>162.29089122912319</v>
      </c>
      <c r="CZ139" s="62">
        <f t="shared" si="127"/>
        <v>253.15422514195427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1.2944040364741471</v>
      </c>
      <c r="DG139" s="23">
        <f>EXP(-LN(2)/25)*DG138+(1-EXP(-LN(2)/25))/(LN(2)/25)*Calculateur!DB139*Calculateur!DD139*VLOOKUP('Données projet'!$B$9,Paramètres!$A$1:$I$88,3,0)*0.475*44/12</f>
        <v>0.28091352062523706</v>
      </c>
      <c r="DH139" s="23">
        <f>EXP(-LN(2)/2)*DH138+(1-EXP(-LN(2)/2))/(LN(2)/2)*DB139*DE139*VLOOKUP('Données projet'!$B$9,Paramètres!$A$1:$I$88,3,0)*0.475*44/12</f>
        <v>2.5935935770219132E-16</v>
      </c>
      <c r="DI139" s="24">
        <f t="shared" si="128"/>
        <v>1.5753175570993845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-5.6843418860808015E-14</v>
      </c>
      <c r="DP139" s="18">
        <f>DO139*VLOOKUP('Données projet'!$B$14,Paramètres!$A$1:$I$88,3,0)*VLOOKUP('Données projet'!$B$14,Paramètres!$A$1:$I$88,5,0)</f>
        <v>-4.5224624045658861E-14</v>
      </c>
      <c r="DQ139" s="14" t="e">
        <f t="shared" si="156"/>
        <v>#NUM!</v>
      </c>
      <c r="DR139" s="22" t="e">
        <f t="shared" si="129"/>
        <v>#NUM!</v>
      </c>
      <c r="DS139" s="62" t="e">
        <f t="shared" si="130"/>
        <v>#NUM!</v>
      </c>
      <c r="DT139" s="62">
        <f ca="1">AVERAGE(OFFSET($DS$3,0,0,'Données projet'!$E$14+1,1))-AVERAGE(OFFSET($H$3,0,0,'Données projet'!$E$14+1,1))</f>
        <v>290.20755061064017</v>
      </c>
      <c r="DU139" s="62">
        <f t="shared" si="131"/>
        <v>343.54750327717181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25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5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1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-1.1368683772161603E-13</v>
      </c>
      <c r="O140" s="14">
        <f>N140*VLOOKUP('Données projet'!$B$9,Paramètres!$A$1:$I$88,3,0)*VLOOKUP('Données projet'!$B$9,Paramètres!$A$1:$I$88,5,0)</f>
        <v>-5.3205440053716299E-14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300.03481708703549</v>
      </c>
      <c r="T140" s="62">
        <f t="shared" si="110"/>
        <v>102.6350860969182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-2.2737367544323206E-13</v>
      </c>
      <c r="AJ140" s="14">
        <f>AI140*VLOOKUP('Données projet'!$B$10,Paramètres!$A$1:$I$88,3,0)*VLOOKUP('Données projet'!$B$10,Paramètres!$A$1:$I$88,5,0)</f>
        <v>-1.2710188457276673E-13</v>
      </c>
      <c r="AK140" s="14" t="e">
        <f t="shared" si="152"/>
        <v>#NUM!</v>
      </c>
      <c r="AL140" s="22" t="e">
        <f t="shared" si="113"/>
        <v>#NUM!</v>
      </c>
      <c r="AM140" s="62" t="e">
        <f t="shared" si="114"/>
        <v>#NUM!</v>
      </c>
      <c r="AN140" s="62">
        <f ca="1">AVERAGE(OFFSET($AM$3,0,0,'Données projet'!$E$10+1,1))-AVERAGE(OFFSET($H$3,0,0,'Données projet'!$E$10+1,1))</f>
        <v>328.27336939084597</v>
      </c>
      <c r="AO140" s="62">
        <f t="shared" si="115"/>
        <v>448.79354389108755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0.6481899377529422</v>
      </c>
      <c r="AV140" s="23">
        <f>EXP(-LN(2)/25)*AV139+(1-EXP(-LN(2)/25))/(LN(2)/25)*Calculateur!AQ140*Calculateur!AS140*VLOOKUP('Données projet'!$B$9,Paramètres!$A$1:$I$88,3,0)*0.475*44/12</f>
        <v>0.70843610095403287</v>
      </c>
      <c r="AW140" s="23">
        <f>EXP(-LN(2)/2)*AW139+(1-EXP(-LN(2)/2))/(LN(2)/2)*AQ140*AT140*VLOOKUP('Données projet'!$B$9,Paramètres!$A$1:$I$88,3,0)*0.475*44/12</f>
        <v>1.1436310061408801E-15</v>
      </c>
      <c r="AX140" s="23">
        <f t="shared" si="116"/>
        <v>1.3566260387069762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-2.2737367544323206E-13</v>
      </c>
      <c r="BE140" s="14">
        <f>BD140*VLOOKUP('Données projet'!$B$11,Paramètres!$A$1:$I$88,3,0)*VLOOKUP('Données projet'!$B$11,Paramètres!$A$1:$I$88,5,0)</f>
        <v>-1.9863364286720756E-13</v>
      </c>
      <c r="BF140" s="14" t="e">
        <f t="shared" si="153"/>
        <v>#NUM!</v>
      </c>
      <c r="BG140" s="22" t="e">
        <f t="shared" si="117"/>
        <v>#NUM!</v>
      </c>
      <c r="BH140" s="62" t="e">
        <f t="shared" si="118"/>
        <v>#NUM!</v>
      </c>
      <c r="BI140" s="62">
        <f ca="1">AVERAGE(OFFSET($BH$3,0,0,'Données projet'!$E$11+1,1))-AVERAGE(OFFSET($H$3,0,0,'Données projet'!$E$11+1,1))</f>
        <v>348.65374983303883</v>
      </c>
      <c r="BJ140" s="62">
        <f t="shared" si="119"/>
        <v>312.05848669315151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-5.6843418860808015E-14</v>
      </c>
      <c r="BZ140" s="14">
        <f>BY140*VLOOKUP('Données projet'!$B$12,Paramètres!$A$1:$I$88,3,0)*VLOOKUP('Données projet'!$B$12,Paramètres!$A$1:$I$88,5,0)</f>
        <v>-4.1677594708744434E-14</v>
      </c>
      <c r="CA140" s="14" t="e">
        <f t="shared" si="154"/>
        <v>#NUM!</v>
      </c>
      <c r="CB140" s="22" t="e">
        <f t="shared" si="121"/>
        <v>#NUM!</v>
      </c>
      <c r="CC140" s="62" t="e">
        <f t="shared" si="122"/>
        <v>#NUM!</v>
      </c>
      <c r="CD140" s="62">
        <f ca="1">AVERAGE(OFFSET($CC$3,0,0,'Données projet'!$E$12+1,1))-AVERAGE(OFFSET($H$3,0,0,'Données projet'!$E$12+1,1))</f>
        <v>264.06656596707364</v>
      </c>
      <c r="CE140" s="62">
        <f t="shared" si="123"/>
        <v>315.34415130230195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5.6843418860808015E-14</v>
      </c>
      <c r="CU140" s="18">
        <f>CT140*VLOOKUP('Données projet'!$B$13,Paramètres!$A$1:$I$88,3,0)*VLOOKUP('Données projet'!$B$13,Paramètres!$A$1:$I$88,5,0)</f>
        <v>3.3992364478763198E-14</v>
      </c>
      <c r="CV140" s="14">
        <f t="shared" si="155"/>
        <v>5.790027782444094E-13</v>
      </c>
      <c r="CW140" s="22">
        <f t="shared" si="125"/>
        <v>1.0676332069095257E-12</v>
      </c>
      <c r="CX140" s="62">
        <f t="shared" si="126"/>
        <v>293.33333333333439</v>
      </c>
      <c r="CY140" s="62">
        <f ca="1">AVERAGE(OFFSET($CX$3,0,0,'Données projet'!$E$13+1,1))-AVERAGE(OFFSET($H$3,0,0,'Données projet'!$E$13+1,1))</f>
        <v>162.29089122912319</v>
      </c>
      <c r="CZ140" s="62">
        <f t="shared" si="127"/>
        <v>253.15422514195427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1.269021562827394</v>
      </c>
      <c r="DG140" s="23">
        <f>EXP(-LN(2)/25)*DG139+(1-EXP(-LN(2)/25))/(LN(2)/25)*Calculateur!DB140*Calculateur!DD140*VLOOKUP('Données projet'!$B$9,Paramètres!$A$1:$I$88,3,0)*0.475*44/12</f>
        <v>0.27323192563113996</v>
      </c>
      <c r="DH140" s="23">
        <f>EXP(-LN(2)/2)*DH139+(1-EXP(-LN(2)/2))/(LN(2)/2)*DB140*DE140*VLOOKUP('Données projet'!$B$9,Paramètres!$A$1:$I$88,3,0)*0.475*44/12</f>
        <v>1.8339476059540691E-16</v>
      </c>
      <c r="DI140" s="24">
        <f t="shared" si="128"/>
        <v>1.5422534884585342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-5.6843418860808015E-14</v>
      </c>
      <c r="DP140" s="18">
        <f>DO140*VLOOKUP('Données projet'!$B$14,Paramètres!$A$1:$I$88,3,0)*VLOOKUP('Données projet'!$B$14,Paramètres!$A$1:$I$88,5,0)</f>
        <v>-4.5224624045658861E-14</v>
      </c>
      <c r="DQ140" s="14" t="e">
        <f t="shared" si="156"/>
        <v>#NUM!</v>
      </c>
      <c r="DR140" s="22" t="e">
        <f t="shared" si="129"/>
        <v>#NUM!</v>
      </c>
      <c r="DS140" s="62" t="e">
        <f t="shared" si="130"/>
        <v>#NUM!</v>
      </c>
      <c r="DT140" s="62">
        <f ca="1">AVERAGE(OFFSET($DS$3,0,0,'Données projet'!$E$14+1,1))-AVERAGE(OFFSET($H$3,0,0,'Données projet'!$E$14+1,1))</f>
        <v>290.20755061064017</v>
      </c>
      <c r="DU140" s="62">
        <f t="shared" si="131"/>
        <v>343.54750327717181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25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5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1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-1.1368683772161603E-13</v>
      </c>
      <c r="O141" s="14">
        <f>N141*VLOOKUP('Données projet'!$B$9,Paramètres!$A$1:$I$88,3,0)*VLOOKUP('Données projet'!$B$9,Paramètres!$A$1:$I$88,5,0)</f>
        <v>-5.3205440053716299E-14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300.03481708703549</v>
      </c>
      <c r="T141" s="62">
        <f t="shared" si="110"/>
        <v>102.6350860969182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-2.2737367544323206E-13</v>
      </c>
      <c r="AJ141" s="14">
        <f>AI141*VLOOKUP('Données projet'!$B$10,Paramètres!$A$1:$I$88,3,0)*VLOOKUP('Données projet'!$B$10,Paramètres!$A$1:$I$88,5,0)</f>
        <v>-1.2710188457276673E-13</v>
      </c>
      <c r="AK141" s="14" t="e">
        <f t="shared" si="152"/>
        <v>#NUM!</v>
      </c>
      <c r="AL141" s="22" t="e">
        <f t="shared" si="113"/>
        <v>#NUM!</v>
      </c>
      <c r="AM141" s="62" t="e">
        <f t="shared" si="114"/>
        <v>#NUM!</v>
      </c>
      <c r="AN141" s="62">
        <f ca="1">AVERAGE(OFFSET($AM$3,0,0,'Données projet'!$E$10+1,1))-AVERAGE(OFFSET($H$3,0,0,'Données projet'!$E$10+1,1))</f>
        <v>328.27336939084597</v>
      </c>
      <c r="AO141" s="62">
        <f t="shared" si="115"/>
        <v>448.79354389108755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0.63547932843043076</v>
      </c>
      <c r="AV141" s="23">
        <f>EXP(-LN(2)/25)*AV140+(1-EXP(-LN(2)/25))/(LN(2)/25)*Calculateur!AQ141*Calculateur!AS141*VLOOKUP('Données projet'!$B$9,Paramètres!$A$1:$I$88,3,0)*0.475*44/12</f>
        <v>0.68906387851840945</v>
      </c>
      <c r="AW141" s="23">
        <f>EXP(-LN(2)/2)*AW140+(1-EXP(-LN(2)/2))/(LN(2)/2)*AQ141*AT141*VLOOKUP('Données projet'!$B$9,Paramètres!$A$1:$I$88,3,0)*0.475*44/12</f>
        <v>8.0866923961741047E-16</v>
      </c>
      <c r="AX141" s="23">
        <f t="shared" si="116"/>
        <v>1.324543206948841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-2.2737367544323206E-13</v>
      </c>
      <c r="BE141" s="14">
        <f>BD141*VLOOKUP('Données projet'!$B$11,Paramètres!$A$1:$I$88,3,0)*VLOOKUP('Données projet'!$B$11,Paramètres!$A$1:$I$88,5,0)</f>
        <v>-1.9863364286720756E-13</v>
      </c>
      <c r="BF141" s="14" t="e">
        <f t="shared" si="153"/>
        <v>#NUM!</v>
      </c>
      <c r="BG141" s="22" t="e">
        <f t="shared" si="117"/>
        <v>#NUM!</v>
      </c>
      <c r="BH141" s="62" t="e">
        <f t="shared" si="118"/>
        <v>#NUM!</v>
      </c>
      <c r="BI141" s="62">
        <f ca="1">AVERAGE(OFFSET($BH$3,0,0,'Données projet'!$E$11+1,1))-AVERAGE(OFFSET($H$3,0,0,'Données projet'!$E$11+1,1))</f>
        <v>348.65374983303883</v>
      </c>
      <c r="BJ141" s="62">
        <f t="shared" si="119"/>
        <v>312.05848669315151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-5.6843418860808015E-14</v>
      </c>
      <c r="BZ141" s="14">
        <f>BY141*VLOOKUP('Données projet'!$B$12,Paramètres!$A$1:$I$88,3,0)*VLOOKUP('Données projet'!$B$12,Paramètres!$A$1:$I$88,5,0)</f>
        <v>-4.1677594708744434E-14</v>
      </c>
      <c r="CA141" s="14" t="e">
        <f t="shared" si="154"/>
        <v>#NUM!</v>
      </c>
      <c r="CB141" s="22" t="e">
        <f t="shared" si="121"/>
        <v>#NUM!</v>
      </c>
      <c r="CC141" s="62" t="e">
        <f t="shared" si="122"/>
        <v>#NUM!</v>
      </c>
      <c r="CD141" s="62">
        <f ca="1">AVERAGE(OFFSET($CC$3,0,0,'Données projet'!$E$12+1,1))-AVERAGE(OFFSET($H$3,0,0,'Données projet'!$E$12+1,1))</f>
        <v>264.06656596707364</v>
      </c>
      <c r="CE141" s="62">
        <f t="shared" si="123"/>
        <v>315.34415130230195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5.6843418860808015E-14</v>
      </c>
      <c r="CU141" s="18">
        <f>CT141*VLOOKUP('Données projet'!$B$13,Paramètres!$A$1:$I$88,3,0)*VLOOKUP('Données projet'!$B$13,Paramètres!$A$1:$I$88,5,0)</f>
        <v>3.3992364478763198E-14</v>
      </c>
      <c r="CV141" s="14">
        <f t="shared" si="155"/>
        <v>5.790027782444094E-13</v>
      </c>
      <c r="CW141" s="22">
        <f t="shared" si="125"/>
        <v>1.0676332069095257E-12</v>
      </c>
      <c r="CX141" s="62">
        <f t="shared" si="126"/>
        <v>293.33333333333439</v>
      </c>
      <c r="CY141" s="62">
        <f ca="1">AVERAGE(OFFSET($CX$3,0,0,'Données projet'!$E$13+1,1))-AVERAGE(OFFSET($H$3,0,0,'Données projet'!$E$13+1,1))</f>
        <v>162.29089122912319</v>
      </c>
      <c r="CZ141" s="62">
        <f t="shared" si="127"/>
        <v>253.15422514195427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1.2441368240070734</v>
      </c>
      <c r="DG141" s="23">
        <f>EXP(-LN(2)/25)*DG140+(1-EXP(-LN(2)/25))/(LN(2)/25)*Calculateur!DB141*Calculateur!DD141*VLOOKUP('Données projet'!$B$9,Paramètres!$A$1:$I$88,3,0)*0.475*44/12</f>
        <v>0.26576038425611392</v>
      </c>
      <c r="DH141" s="23">
        <f>EXP(-LN(2)/2)*DH140+(1-EXP(-LN(2)/2))/(LN(2)/2)*DB141*DE141*VLOOKUP('Données projet'!$B$9,Paramètres!$A$1:$I$88,3,0)*0.475*44/12</f>
        <v>1.2967967885109566E-16</v>
      </c>
      <c r="DI141" s="24">
        <f t="shared" si="128"/>
        <v>1.5098972082631874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-5.6843418860808015E-14</v>
      </c>
      <c r="DP141" s="18">
        <f>DO141*VLOOKUP('Données projet'!$B$14,Paramètres!$A$1:$I$88,3,0)*VLOOKUP('Données projet'!$B$14,Paramètres!$A$1:$I$88,5,0)</f>
        <v>-4.5224624045658861E-14</v>
      </c>
      <c r="DQ141" s="14" t="e">
        <f t="shared" si="156"/>
        <v>#NUM!</v>
      </c>
      <c r="DR141" s="22" t="e">
        <f t="shared" si="129"/>
        <v>#NUM!</v>
      </c>
      <c r="DS141" s="62" t="e">
        <f t="shared" si="130"/>
        <v>#NUM!</v>
      </c>
      <c r="DT141" s="62">
        <f ca="1">AVERAGE(OFFSET($DS$3,0,0,'Données projet'!$E$14+1,1))-AVERAGE(OFFSET($H$3,0,0,'Données projet'!$E$14+1,1))</f>
        <v>290.20755061064017</v>
      </c>
      <c r="DU141" s="62">
        <f t="shared" si="131"/>
        <v>343.54750327717181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25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5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1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-1.1368683772161603E-13</v>
      </c>
      <c r="O142" s="14">
        <f>N142*VLOOKUP('Données projet'!$B$9,Paramètres!$A$1:$I$88,3,0)*VLOOKUP('Données projet'!$B$9,Paramètres!$A$1:$I$88,5,0)</f>
        <v>-5.3205440053716299E-14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300.03481708703549</v>
      </c>
      <c r="T142" s="62">
        <f t="shared" si="110"/>
        <v>102.6350860969182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-2.2737367544323206E-13</v>
      </c>
      <c r="AJ142" s="14">
        <f>AI142*VLOOKUP('Données projet'!$B$10,Paramètres!$A$1:$I$88,3,0)*VLOOKUP('Données projet'!$B$10,Paramètres!$A$1:$I$88,5,0)</f>
        <v>-1.2710188457276673E-13</v>
      </c>
      <c r="AK142" s="14" t="e">
        <f t="shared" si="152"/>
        <v>#NUM!</v>
      </c>
      <c r="AL142" s="22" t="e">
        <f t="shared" si="113"/>
        <v>#NUM!</v>
      </c>
      <c r="AM142" s="62" t="e">
        <f t="shared" si="114"/>
        <v>#NUM!</v>
      </c>
      <c r="AN142" s="62">
        <f ca="1">AVERAGE(OFFSET($AM$3,0,0,'Données projet'!$E$10+1,1))-AVERAGE(OFFSET($H$3,0,0,'Données projet'!$E$10+1,1))</f>
        <v>328.27336939084597</v>
      </c>
      <c r="AO142" s="62">
        <f t="shared" si="115"/>
        <v>448.79354389108755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0.62301796640402762</v>
      </c>
      <c r="AV142" s="23">
        <f>EXP(-LN(2)/25)*AV141+(1-EXP(-LN(2)/25))/(LN(2)/25)*Calculateur!AQ142*Calculateur!AS142*VLOOKUP('Données projet'!$B$9,Paramètres!$A$1:$I$88,3,0)*0.475*44/12</f>
        <v>0.67022139052402907</v>
      </c>
      <c r="AW142" s="23">
        <f>EXP(-LN(2)/2)*AW141+(1-EXP(-LN(2)/2))/(LN(2)/2)*AQ142*AT142*VLOOKUP('Données projet'!$B$9,Paramètres!$A$1:$I$88,3,0)*0.475*44/12</f>
        <v>5.7181550307044003E-16</v>
      </c>
      <c r="AX142" s="23">
        <f t="shared" si="116"/>
        <v>1.2932393569280574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-2.2737367544323206E-13</v>
      </c>
      <c r="BE142" s="14">
        <f>BD142*VLOOKUP('Données projet'!$B$11,Paramètres!$A$1:$I$88,3,0)*VLOOKUP('Données projet'!$B$11,Paramètres!$A$1:$I$88,5,0)</f>
        <v>-1.9863364286720756E-13</v>
      </c>
      <c r="BF142" s="14" t="e">
        <f t="shared" si="153"/>
        <v>#NUM!</v>
      </c>
      <c r="BG142" s="22" t="e">
        <f t="shared" si="117"/>
        <v>#NUM!</v>
      </c>
      <c r="BH142" s="62" t="e">
        <f t="shared" si="118"/>
        <v>#NUM!</v>
      </c>
      <c r="BI142" s="62">
        <f ca="1">AVERAGE(OFFSET($BH$3,0,0,'Données projet'!$E$11+1,1))-AVERAGE(OFFSET($H$3,0,0,'Données projet'!$E$11+1,1))</f>
        <v>348.65374983303883</v>
      </c>
      <c r="BJ142" s="62">
        <f t="shared" si="119"/>
        <v>312.05848669315151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-5.6843418860808015E-14</v>
      </c>
      <c r="BZ142" s="14">
        <f>BY142*VLOOKUP('Données projet'!$B$12,Paramètres!$A$1:$I$88,3,0)*VLOOKUP('Données projet'!$B$12,Paramètres!$A$1:$I$88,5,0)</f>
        <v>-4.1677594708744434E-14</v>
      </c>
      <c r="CA142" s="14" t="e">
        <f t="shared" si="154"/>
        <v>#NUM!</v>
      </c>
      <c r="CB142" s="22" t="e">
        <f t="shared" si="121"/>
        <v>#NUM!</v>
      </c>
      <c r="CC142" s="62" t="e">
        <f t="shared" si="122"/>
        <v>#NUM!</v>
      </c>
      <c r="CD142" s="62">
        <f ca="1">AVERAGE(OFFSET($CC$3,0,0,'Données projet'!$E$12+1,1))-AVERAGE(OFFSET($H$3,0,0,'Données projet'!$E$12+1,1))</f>
        <v>264.06656596707364</v>
      </c>
      <c r="CE142" s="62">
        <f t="shared" si="123"/>
        <v>315.34415130230195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5.6843418860808015E-14</v>
      </c>
      <c r="CU142" s="18">
        <f>CT142*VLOOKUP('Données projet'!$B$13,Paramètres!$A$1:$I$88,3,0)*VLOOKUP('Données projet'!$B$13,Paramètres!$A$1:$I$88,5,0)</f>
        <v>3.3992364478763198E-14</v>
      </c>
      <c r="CV142" s="14">
        <f t="shared" si="155"/>
        <v>5.790027782444094E-13</v>
      </c>
      <c r="CW142" s="22">
        <f t="shared" si="125"/>
        <v>1.0676332069095257E-12</v>
      </c>
      <c r="CX142" s="62">
        <f t="shared" si="126"/>
        <v>293.33333333333439</v>
      </c>
      <c r="CY142" s="62">
        <f ca="1">AVERAGE(OFFSET($CX$3,0,0,'Données projet'!$E$13+1,1))-AVERAGE(OFFSET($H$3,0,0,'Données projet'!$E$13+1,1))</f>
        <v>162.29089122912319</v>
      </c>
      <c r="CZ142" s="62">
        <f t="shared" si="127"/>
        <v>253.15422514195427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1.2197400597368273</v>
      </c>
      <c r="DG142" s="23">
        <f>EXP(-LN(2)/25)*DG141+(1-EXP(-LN(2)/25))/(LN(2)/25)*Calculateur!DB142*Calculateur!DD142*VLOOKUP('Données projet'!$B$9,Paramètres!$A$1:$I$88,3,0)*0.475*44/12</f>
        <v>0.25849315257289929</v>
      </c>
      <c r="DH142" s="23">
        <f>EXP(-LN(2)/2)*DH141+(1-EXP(-LN(2)/2))/(LN(2)/2)*DB142*DE142*VLOOKUP('Données projet'!$B$9,Paramètres!$A$1:$I$88,3,0)*0.475*44/12</f>
        <v>9.1697380297703454E-17</v>
      </c>
      <c r="DI142" s="24">
        <f t="shared" si="128"/>
        <v>1.4782332123097266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-5.6843418860808015E-14</v>
      </c>
      <c r="DP142" s="18">
        <f>DO142*VLOOKUP('Données projet'!$B$14,Paramètres!$A$1:$I$88,3,0)*VLOOKUP('Données projet'!$B$14,Paramètres!$A$1:$I$88,5,0)</f>
        <v>-4.5224624045658861E-14</v>
      </c>
      <c r="DQ142" s="14" t="e">
        <f t="shared" si="156"/>
        <v>#NUM!</v>
      </c>
      <c r="DR142" s="22" t="e">
        <f t="shared" si="129"/>
        <v>#NUM!</v>
      </c>
      <c r="DS142" s="62" t="e">
        <f t="shared" si="130"/>
        <v>#NUM!</v>
      </c>
      <c r="DT142" s="62">
        <f ca="1">AVERAGE(OFFSET($DS$3,0,0,'Données projet'!$E$14+1,1))-AVERAGE(OFFSET($H$3,0,0,'Données projet'!$E$14+1,1))</f>
        <v>290.20755061064017</v>
      </c>
      <c r="DU142" s="62">
        <f t="shared" si="131"/>
        <v>343.54750327717181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25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5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1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-1.1368683772161603E-13</v>
      </c>
      <c r="O143" s="14">
        <f>N143*VLOOKUP('Données projet'!$B$9,Paramètres!$A$1:$I$88,3,0)*VLOOKUP('Données projet'!$B$9,Paramètres!$A$1:$I$88,5,0)</f>
        <v>-5.3205440053716299E-14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300.03481708703549</v>
      </c>
      <c r="T143" s="62">
        <f t="shared" si="110"/>
        <v>102.6350860969182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-2.2737367544323206E-13</v>
      </c>
      <c r="AJ143" s="14">
        <f>AI143*VLOOKUP('Données projet'!$B$10,Paramètres!$A$1:$I$88,3,0)*VLOOKUP('Données projet'!$B$10,Paramètres!$A$1:$I$88,5,0)</f>
        <v>-1.2710188457276673E-13</v>
      </c>
      <c r="AK143" s="14" t="e">
        <f t="shared" si="152"/>
        <v>#NUM!</v>
      </c>
      <c r="AL143" s="22" t="e">
        <f t="shared" si="113"/>
        <v>#NUM!</v>
      </c>
      <c r="AM143" s="62" t="e">
        <f t="shared" si="114"/>
        <v>#NUM!</v>
      </c>
      <c r="AN143" s="62">
        <f ca="1">AVERAGE(OFFSET($AM$3,0,0,'Données projet'!$E$10+1,1))-AVERAGE(OFFSET($H$3,0,0,'Données projet'!$E$10+1,1))</f>
        <v>328.27336939084597</v>
      </c>
      <c r="AO143" s="62">
        <f t="shared" si="115"/>
        <v>448.79354389108755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0.61080096408628193</v>
      </c>
      <c r="AV143" s="23">
        <f>EXP(-LN(2)/25)*AV142+(1-EXP(-LN(2)/25))/(LN(2)/25)*Calculateur!AQ143*Calculateur!AS143*VLOOKUP('Données projet'!$B$9,Paramètres!$A$1:$I$88,3,0)*0.475*44/12</f>
        <v>0.65189415135473838</v>
      </c>
      <c r="AW143" s="23">
        <f>EXP(-LN(2)/2)*AW142+(1-EXP(-LN(2)/2))/(LN(2)/2)*AQ143*AT143*VLOOKUP('Données projet'!$B$9,Paramètres!$A$1:$I$88,3,0)*0.475*44/12</f>
        <v>4.0433461980870524E-16</v>
      </c>
      <c r="AX143" s="23">
        <f t="shared" si="116"/>
        <v>1.2626951154410206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-2.2737367544323206E-13</v>
      </c>
      <c r="BE143" s="14">
        <f>BD143*VLOOKUP('Données projet'!$B$11,Paramètres!$A$1:$I$88,3,0)*VLOOKUP('Données projet'!$B$11,Paramètres!$A$1:$I$88,5,0)</f>
        <v>-1.9863364286720756E-13</v>
      </c>
      <c r="BF143" s="14" t="e">
        <f t="shared" si="153"/>
        <v>#NUM!</v>
      </c>
      <c r="BG143" s="22" t="e">
        <f t="shared" si="117"/>
        <v>#NUM!</v>
      </c>
      <c r="BH143" s="62" t="e">
        <f t="shared" si="118"/>
        <v>#NUM!</v>
      </c>
      <c r="BI143" s="62">
        <f ca="1">AVERAGE(OFFSET($BH$3,0,0,'Données projet'!$E$11+1,1))-AVERAGE(OFFSET($H$3,0,0,'Données projet'!$E$11+1,1))</f>
        <v>348.65374983303883</v>
      </c>
      <c r="BJ143" s="62">
        <f t="shared" si="119"/>
        <v>312.05848669315151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-5.6843418860808015E-14</v>
      </c>
      <c r="BZ143" s="14">
        <f>BY143*VLOOKUP('Données projet'!$B$12,Paramètres!$A$1:$I$88,3,0)*VLOOKUP('Données projet'!$B$12,Paramètres!$A$1:$I$88,5,0)</f>
        <v>-4.1677594708744434E-14</v>
      </c>
      <c r="CA143" s="14" t="e">
        <f t="shared" si="154"/>
        <v>#NUM!</v>
      </c>
      <c r="CB143" s="22" t="e">
        <f t="shared" si="121"/>
        <v>#NUM!</v>
      </c>
      <c r="CC143" s="62" t="e">
        <f t="shared" si="122"/>
        <v>#NUM!</v>
      </c>
      <c r="CD143" s="62">
        <f ca="1">AVERAGE(OFFSET($CC$3,0,0,'Données projet'!$E$12+1,1))-AVERAGE(OFFSET($H$3,0,0,'Données projet'!$E$12+1,1))</f>
        <v>264.06656596707364</v>
      </c>
      <c r="CE143" s="62">
        <f t="shared" si="123"/>
        <v>315.34415130230195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5.6843418860808015E-14</v>
      </c>
      <c r="CU143" s="18">
        <f>CT143*VLOOKUP('Données projet'!$B$13,Paramètres!$A$1:$I$88,3,0)*VLOOKUP('Données projet'!$B$13,Paramètres!$A$1:$I$88,5,0)</f>
        <v>3.3992364478763198E-14</v>
      </c>
      <c r="CV143" s="14">
        <f t="shared" si="155"/>
        <v>5.790027782444094E-13</v>
      </c>
      <c r="CW143" s="22">
        <f t="shared" si="125"/>
        <v>1.0676332069095257E-12</v>
      </c>
      <c r="CX143" s="62">
        <f t="shared" si="126"/>
        <v>293.33333333333439</v>
      </c>
      <c r="CY143" s="62">
        <f ca="1">AVERAGE(OFFSET($CX$3,0,0,'Données projet'!$E$13+1,1))-AVERAGE(OFFSET($H$3,0,0,'Données projet'!$E$13+1,1))</f>
        <v>162.29089122912319</v>
      </c>
      <c r="CZ143" s="62">
        <f t="shared" si="127"/>
        <v>253.15422514195427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1.1958217011333638</v>
      </c>
      <c r="DG143" s="23">
        <f>EXP(-LN(2)/25)*DG142+(1-EXP(-LN(2)/25))/(LN(2)/25)*Calculateur!DB143*Calculateur!DD143*VLOOKUP('Données projet'!$B$9,Paramètres!$A$1:$I$88,3,0)*0.475*44/12</f>
        <v>0.25142464372222928</v>
      </c>
      <c r="DH143" s="23">
        <f>EXP(-LN(2)/2)*DH142+(1-EXP(-LN(2)/2))/(LN(2)/2)*DB143*DE143*VLOOKUP('Données projet'!$B$9,Paramètres!$A$1:$I$88,3,0)*0.475*44/12</f>
        <v>6.4839839425547829E-17</v>
      </c>
      <c r="DI143" s="24">
        <f t="shared" si="128"/>
        <v>1.4472463448555932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-5.6843418860808015E-14</v>
      </c>
      <c r="DP143" s="18">
        <f>DO143*VLOOKUP('Données projet'!$B$14,Paramètres!$A$1:$I$88,3,0)*VLOOKUP('Données projet'!$B$14,Paramètres!$A$1:$I$88,5,0)</f>
        <v>-4.5224624045658861E-14</v>
      </c>
      <c r="DQ143" s="14" t="e">
        <f t="shared" si="156"/>
        <v>#NUM!</v>
      </c>
      <c r="DR143" s="22" t="e">
        <f t="shared" si="129"/>
        <v>#NUM!</v>
      </c>
      <c r="DS143" s="62" t="e">
        <f t="shared" si="130"/>
        <v>#NUM!</v>
      </c>
      <c r="DT143" s="62">
        <f ca="1">AVERAGE(OFFSET($DS$3,0,0,'Données projet'!$E$14+1,1))-AVERAGE(OFFSET($H$3,0,0,'Données projet'!$E$14+1,1))</f>
        <v>290.20755061064017</v>
      </c>
      <c r="DU143" s="62">
        <f t="shared" si="131"/>
        <v>343.54750327717181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25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5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1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-1.1368683772161603E-13</v>
      </c>
      <c r="O144" s="14">
        <f>N144*VLOOKUP('Données projet'!$B$9,Paramètres!$A$1:$I$88,3,0)*VLOOKUP('Données projet'!$B$9,Paramètres!$A$1:$I$88,5,0)</f>
        <v>-5.3205440053716299E-14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300.03481708703549</v>
      </c>
      <c r="T144" s="62">
        <f t="shared" si="110"/>
        <v>102.6350860969182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-2.2737367544323206E-13</v>
      </c>
      <c r="AJ144" s="14">
        <f>AI144*VLOOKUP('Données projet'!$B$10,Paramètres!$A$1:$I$88,3,0)*VLOOKUP('Données projet'!$B$10,Paramètres!$A$1:$I$88,5,0)</f>
        <v>-1.2710188457276673E-13</v>
      </c>
      <c r="AK144" s="14" t="e">
        <f t="shared" si="152"/>
        <v>#NUM!</v>
      </c>
      <c r="AL144" s="22" t="e">
        <f t="shared" si="113"/>
        <v>#NUM!</v>
      </c>
      <c r="AM144" s="62" t="e">
        <f t="shared" si="114"/>
        <v>#NUM!</v>
      </c>
      <c r="AN144" s="62">
        <f ca="1">AVERAGE(OFFSET($AM$3,0,0,'Données projet'!$E$10+1,1))-AVERAGE(OFFSET($H$3,0,0,'Données projet'!$E$10+1,1))</f>
        <v>328.27336939084597</v>
      </c>
      <c r="AO144" s="62">
        <f t="shared" si="115"/>
        <v>448.79354389108755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0.59882352973235164</v>
      </c>
      <c r="AV144" s="23">
        <f>EXP(-LN(2)/25)*AV143+(1-EXP(-LN(2)/25))/(LN(2)/25)*Calculateur!AQ144*Calculateur!AS144*VLOOKUP('Données projet'!$B$9,Paramètres!$A$1:$I$88,3,0)*0.475*44/12</f>
        <v>0.63406807150431954</v>
      </c>
      <c r="AW144" s="23">
        <f>EXP(-LN(2)/2)*AW143+(1-EXP(-LN(2)/2))/(LN(2)/2)*AQ144*AT144*VLOOKUP('Données projet'!$B$9,Paramètres!$A$1:$I$88,3,0)*0.475*44/12</f>
        <v>2.8590775153522001E-16</v>
      </c>
      <c r="AX144" s="23">
        <f t="shared" si="116"/>
        <v>1.2328916012366713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-2.2737367544323206E-13</v>
      </c>
      <c r="BE144" s="14">
        <f>BD144*VLOOKUP('Données projet'!$B$11,Paramètres!$A$1:$I$88,3,0)*VLOOKUP('Données projet'!$B$11,Paramètres!$A$1:$I$88,5,0)</f>
        <v>-1.9863364286720756E-13</v>
      </c>
      <c r="BF144" s="14" t="e">
        <f t="shared" si="153"/>
        <v>#NUM!</v>
      </c>
      <c r="BG144" s="22" t="e">
        <f t="shared" si="117"/>
        <v>#NUM!</v>
      </c>
      <c r="BH144" s="62" t="e">
        <f t="shared" si="118"/>
        <v>#NUM!</v>
      </c>
      <c r="BI144" s="62">
        <f ca="1">AVERAGE(OFFSET($BH$3,0,0,'Données projet'!$E$11+1,1))-AVERAGE(OFFSET($H$3,0,0,'Données projet'!$E$11+1,1))</f>
        <v>348.65374983303883</v>
      </c>
      <c r="BJ144" s="62">
        <f t="shared" si="119"/>
        <v>312.05848669315151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-5.6843418860808015E-14</v>
      </c>
      <c r="BZ144" s="14">
        <f>BY144*VLOOKUP('Données projet'!$B$12,Paramètres!$A$1:$I$88,3,0)*VLOOKUP('Données projet'!$B$12,Paramètres!$A$1:$I$88,5,0)</f>
        <v>-4.1677594708744434E-14</v>
      </c>
      <c r="CA144" s="14" t="e">
        <f t="shared" si="154"/>
        <v>#NUM!</v>
      </c>
      <c r="CB144" s="22" t="e">
        <f t="shared" si="121"/>
        <v>#NUM!</v>
      </c>
      <c r="CC144" s="62" t="e">
        <f t="shared" si="122"/>
        <v>#NUM!</v>
      </c>
      <c r="CD144" s="62">
        <f ca="1">AVERAGE(OFFSET($CC$3,0,0,'Données projet'!$E$12+1,1))-AVERAGE(OFFSET($H$3,0,0,'Données projet'!$E$12+1,1))</f>
        <v>264.06656596707364</v>
      </c>
      <c r="CE144" s="62">
        <f t="shared" si="123"/>
        <v>315.34415130230195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5.6843418860808015E-14</v>
      </c>
      <c r="CU144" s="18">
        <f>CT144*VLOOKUP('Données projet'!$B$13,Paramètres!$A$1:$I$88,3,0)*VLOOKUP('Données projet'!$B$13,Paramètres!$A$1:$I$88,5,0)</f>
        <v>3.3992364478763198E-14</v>
      </c>
      <c r="CV144" s="14">
        <f t="shared" si="155"/>
        <v>5.790027782444094E-13</v>
      </c>
      <c r="CW144" s="22">
        <f t="shared" si="125"/>
        <v>1.0676332069095257E-12</v>
      </c>
      <c r="CX144" s="62">
        <f t="shared" si="126"/>
        <v>293.33333333333439</v>
      </c>
      <c r="CY144" s="62">
        <f ca="1">AVERAGE(OFFSET($CX$3,0,0,'Données projet'!$E$13+1,1))-AVERAGE(OFFSET($H$3,0,0,'Données projet'!$E$13+1,1))</f>
        <v>162.29089122912319</v>
      </c>
      <c r="CZ144" s="62">
        <f t="shared" si="127"/>
        <v>253.15422514195427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1.1723723669533561</v>
      </c>
      <c r="DG144" s="23">
        <f>EXP(-LN(2)/25)*DG143+(1-EXP(-LN(2)/25))/(LN(2)/25)*Calculateur!DB144*Calculateur!DD144*VLOOKUP('Données projet'!$B$9,Paramètres!$A$1:$I$88,3,0)*0.475*44/12</f>
        <v>0.24454942361779755</v>
      </c>
      <c r="DH144" s="23">
        <f>EXP(-LN(2)/2)*DH143+(1-EXP(-LN(2)/2))/(LN(2)/2)*DB144*DE144*VLOOKUP('Données projet'!$B$9,Paramètres!$A$1:$I$88,3,0)*0.475*44/12</f>
        <v>4.5848690148851727E-17</v>
      </c>
      <c r="DI144" s="24">
        <f t="shared" si="128"/>
        <v>1.4169217905711537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-5.6843418860808015E-14</v>
      </c>
      <c r="DP144" s="18">
        <f>DO144*VLOOKUP('Données projet'!$B$14,Paramètres!$A$1:$I$88,3,0)*VLOOKUP('Données projet'!$B$14,Paramètres!$A$1:$I$88,5,0)</f>
        <v>-4.5224624045658861E-14</v>
      </c>
      <c r="DQ144" s="14" t="e">
        <f t="shared" si="156"/>
        <v>#NUM!</v>
      </c>
      <c r="DR144" s="22" t="e">
        <f t="shared" si="129"/>
        <v>#NUM!</v>
      </c>
      <c r="DS144" s="62" t="e">
        <f t="shared" si="130"/>
        <v>#NUM!</v>
      </c>
      <c r="DT144" s="62">
        <f ca="1">AVERAGE(OFFSET($DS$3,0,0,'Données projet'!$E$14+1,1))-AVERAGE(OFFSET($H$3,0,0,'Données projet'!$E$14+1,1))</f>
        <v>290.20755061064017</v>
      </c>
      <c r="DU144" s="62">
        <f t="shared" si="131"/>
        <v>343.54750327717181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25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5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1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-1.1368683772161603E-13</v>
      </c>
      <c r="O145" s="14">
        <f>N145*VLOOKUP('Données projet'!$B$9,Paramètres!$A$1:$I$88,3,0)*VLOOKUP('Données projet'!$B$9,Paramètres!$A$1:$I$88,5,0)</f>
        <v>-5.3205440053716299E-14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300.03481708703549</v>
      </c>
      <c r="T145" s="62">
        <f t="shared" si="110"/>
        <v>102.6350860969182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-2.2737367544323206E-13</v>
      </c>
      <c r="AJ145" s="14">
        <f>AI145*VLOOKUP('Données projet'!$B$10,Paramètres!$A$1:$I$88,3,0)*VLOOKUP('Données projet'!$B$10,Paramètres!$A$1:$I$88,5,0)</f>
        <v>-1.2710188457276673E-13</v>
      </c>
      <c r="AK145" s="14" t="e">
        <f t="shared" si="152"/>
        <v>#NUM!</v>
      </c>
      <c r="AL145" s="22" t="e">
        <f t="shared" si="113"/>
        <v>#NUM!</v>
      </c>
      <c r="AM145" s="62" t="e">
        <f t="shared" si="114"/>
        <v>#NUM!</v>
      </c>
      <c r="AN145" s="62">
        <f ca="1">AVERAGE(OFFSET($AM$3,0,0,'Données projet'!$E$10+1,1))-AVERAGE(OFFSET($H$3,0,0,'Données projet'!$E$10+1,1))</f>
        <v>328.27336939084597</v>
      </c>
      <c r="AO145" s="62">
        <f t="shared" si="115"/>
        <v>448.79354389108755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0.58708096556058831</v>
      </c>
      <c r="AV145" s="23">
        <f>EXP(-LN(2)/25)*AV144+(1-EXP(-LN(2)/25))/(LN(2)/25)*Calculateur!AQ145*Calculateur!AS145*VLOOKUP('Données projet'!$B$9,Paramètres!$A$1:$I$88,3,0)*0.475*44/12</f>
        <v>0.6167294467448432</v>
      </c>
      <c r="AW145" s="23">
        <f>EXP(-LN(2)/2)*AW144+(1-EXP(-LN(2)/2))/(LN(2)/2)*AQ145*AT145*VLOOKUP('Données projet'!$B$9,Paramètres!$A$1:$I$88,3,0)*0.475*44/12</f>
        <v>2.0216730990435262E-16</v>
      </c>
      <c r="AX145" s="23">
        <f t="shared" si="116"/>
        <v>1.2038104123054316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-2.2737367544323206E-13</v>
      </c>
      <c r="BE145" s="14">
        <f>BD145*VLOOKUP('Données projet'!$B$11,Paramètres!$A$1:$I$88,3,0)*VLOOKUP('Données projet'!$B$11,Paramètres!$A$1:$I$88,5,0)</f>
        <v>-1.9863364286720756E-13</v>
      </c>
      <c r="BF145" s="14" t="e">
        <f t="shared" si="153"/>
        <v>#NUM!</v>
      </c>
      <c r="BG145" s="22" t="e">
        <f t="shared" si="117"/>
        <v>#NUM!</v>
      </c>
      <c r="BH145" s="62" t="e">
        <f t="shared" si="118"/>
        <v>#NUM!</v>
      </c>
      <c r="BI145" s="62">
        <f ca="1">AVERAGE(OFFSET($BH$3,0,0,'Données projet'!$E$11+1,1))-AVERAGE(OFFSET($H$3,0,0,'Données projet'!$E$11+1,1))</f>
        <v>348.65374983303883</v>
      </c>
      <c r="BJ145" s="62">
        <f t="shared" si="119"/>
        <v>312.05848669315151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-5.6843418860808015E-14</v>
      </c>
      <c r="BZ145" s="14">
        <f>BY145*VLOOKUP('Données projet'!$B$12,Paramètres!$A$1:$I$88,3,0)*VLOOKUP('Données projet'!$B$12,Paramètres!$A$1:$I$88,5,0)</f>
        <v>-4.1677594708744434E-14</v>
      </c>
      <c r="CA145" s="14" t="e">
        <f t="shared" si="154"/>
        <v>#NUM!</v>
      </c>
      <c r="CB145" s="22" t="e">
        <f t="shared" si="121"/>
        <v>#NUM!</v>
      </c>
      <c r="CC145" s="62" t="e">
        <f t="shared" si="122"/>
        <v>#NUM!</v>
      </c>
      <c r="CD145" s="62">
        <f ca="1">AVERAGE(OFFSET($CC$3,0,0,'Données projet'!$E$12+1,1))-AVERAGE(OFFSET($H$3,0,0,'Données projet'!$E$12+1,1))</f>
        <v>264.06656596707364</v>
      </c>
      <c r="CE145" s="62">
        <f t="shared" si="123"/>
        <v>315.34415130230195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5.6843418860808015E-14</v>
      </c>
      <c r="CU145" s="18">
        <f>CT145*VLOOKUP('Données projet'!$B$13,Paramètres!$A$1:$I$88,3,0)*VLOOKUP('Données projet'!$B$13,Paramètres!$A$1:$I$88,5,0)</f>
        <v>3.3992364478763198E-14</v>
      </c>
      <c r="CV145" s="14">
        <f t="shared" si="155"/>
        <v>5.790027782444094E-13</v>
      </c>
      <c r="CW145" s="22">
        <f t="shared" si="125"/>
        <v>1.0676332069095257E-12</v>
      </c>
      <c r="CX145" s="62">
        <f t="shared" si="126"/>
        <v>293.33333333333439</v>
      </c>
      <c r="CY145" s="62">
        <f ca="1">AVERAGE(OFFSET($CX$3,0,0,'Données projet'!$E$13+1,1))-AVERAGE(OFFSET($H$3,0,0,'Données projet'!$E$13+1,1))</f>
        <v>162.29089122912319</v>
      </c>
      <c r="CZ145" s="62">
        <f t="shared" si="127"/>
        <v>253.15422514195427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1.1493828599139366</v>
      </c>
      <c r="DG145" s="23">
        <f>EXP(-LN(2)/25)*DG144+(1-EXP(-LN(2)/25))/(LN(2)/25)*Calculateur!DB145*Calculateur!DD145*VLOOKUP('Données projet'!$B$9,Paramètres!$A$1:$I$88,3,0)*0.475*44/12</f>
        <v>0.23786220676867362</v>
      </c>
      <c r="DH145" s="23">
        <f>EXP(-LN(2)/2)*DH144+(1-EXP(-LN(2)/2))/(LN(2)/2)*DB145*DE145*VLOOKUP('Données projet'!$B$9,Paramètres!$A$1:$I$88,3,0)*0.475*44/12</f>
        <v>3.2419919712773915E-17</v>
      </c>
      <c r="DI145" s="24">
        <f t="shared" si="128"/>
        <v>1.3872450666826102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-5.6843418860808015E-14</v>
      </c>
      <c r="DP145" s="18">
        <f>DO145*VLOOKUP('Données projet'!$B$14,Paramètres!$A$1:$I$88,3,0)*VLOOKUP('Données projet'!$B$14,Paramètres!$A$1:$I$88,5,0)</f>
        <v>-4.5224624045658861E-14</v>
      </c>
      <c r="DQ145" s="14" t="e">
        <f t="shared" si="156"/>
        <v>#NUM!</v>
      </c>
      <c r="DR145" s="22" t="e">
        <f t="shared" si="129"/>
        <v>#NUM!</v>
      </c>
      <c r="DS145" s="62" t="e">
        <f t="shared" si="130"/>
        <v>#NUM!</v>
      </c>
      <c r="DT145" s="62">
        <f ca="1">AVERAGE(OFFSET($DS$3,0,0,'Données projet'!$E$14+1,1))-AVERAGE(OFFSET($H$3,0,0,'Données projet'!$E$14+1,1))</f>
        <v>290.20755061064017</v>
      </c>
      <c r="DU145" s="62">
        <f t="shared" si="131"/>
        <v>343.54750327717181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25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5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1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-1.1368683772161603E-13</v>
      </c>
      <c r="O146" s="14">
        <f>N146*VLOOKUP('Données projet'!$B$9,Paramètres!$A$1:$I$88,3,0)*VLOOKUP('Données projet'!$B$9,Paramètres!$A$1:$I$88,5,0)</f>
        <v>-5.3205440053716299E-14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300.03481708703549</v>
      </c>
      <c r="T146" s="62">
        <f t="shared" si="110"/>
        <v>102.6350860969182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-2.2737367544323206E-13</v>
      </c>
      <c r="AJ146" s="14">
        <f>AI146*VLOOKUP('Données projet'!$B$10,Paramètres!$A$1:$I$88,3,0)*VLOOKUP('Données projet'!$B$10,Paramètres!$A$1:$I$88,5,0)</f>
        <v>-1.2710188457276673E-13</v>
      </c>
      <c r="AK146" s="14" t="e">
        <f t="shared" si="152"/>
        <v>#NUM!</v>
      </c>
      <c r="AL146" s="22" t="e">
        <f t="shared" si="113"/>
        <v>#NUM!</v>
      </c>
      <c r="AM146" s="62" t="e">
        <f t="shared" si="114"/>
        <v>#NUM!</v>
      </c>
      <c r="AN146" s="62">
        <f ca="1">AVERAGE(OFFSET($AM$3,0,0,'Données projet'!$E$10+1,1))-AVERAGE(OFFSET($H$3,0,0,'Données projet'!$E$10+1,1))</f>
        <v>328.27336939084597</v>
      </c>
      <c r="AO146" s="62">
        <f t="shared" si="115"/>
        <v>448.79354389108755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0.57556866590997635</v>
      </c>
      <c r="AV146" s="23">
        <f>EXP(-LN(2)/25)*AV145+(1-EXP(-LN(2)/25))/(LN(2)/25)*Calculateur!AQ146*Calculateur!AS146*VLOOKUP('Données projet'!$B$9,Paramètres!$A$1:$I$88,3,0)*0.475*44/12</f>
        <v>0.59986494759121345</v>
      </c>
      <c r="AW146" s="23">
        <f>EXP(-LN(2)/2)*AW145+(1-EXP(-LN(2)/2))/(LN(2)/2)*AQ146*AT146*VLOOKUP('Données projet'!$B$9,Paramètres!$A$1:$I$88,3,0)*0.475*44/12</f>
        <v>1.4295387576761001E-16</v>
      </c>
      <c r="AX146" s="23">
        <f t="shared" si="116"/>
        <v>1.17543361350119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-2.2737367544323206E-13</v>
      </c>
      <c r="BE146" s="14">
        <f>BD146*VLOOKUP('Données projet'!$B$11,Paramètres!$A$1:$I$88,3,0)*VLOOKUP('Données projet'!$B$11,Paramètres!$A$1:$I$88,5,0)</f>
        <v>-1.9863364286720756E-13</v>
      </c>
      <c r="BF146" s="14" t="e">
        <f t="shared" si="153"/>
        <v>#NUM!</v>
      </c>
      <c r="BG146" s="22" t="e">
        <f t="shared" si="117"/>
        <v>#NUM!</v>
      </c>
      <c r="BH146" s="62" t="e">
        <f t="shared" si="118"/>
        <v>#NUM!</v>
      </c>
      <c r="BI146" s="62">
        <f ca="1">AVERAGE(OFFSET($BH$3,0,0,'Données projet'!$E$11+1,1))-AVERAGE(OFFSET($H$3,0,0,'Données projet'!$E$11+1,1))</f>
        <v>348.65374983303883</v>
      </c>
      <c r="BJ146" s="62">
        <f t="shared" si="119"/>
        <v>312.05848669315151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-5.6843418860808015E-14</v>
      </c>
      <c r="BZ146" s="14">
        <f>BY146*VLOOKUP('Données projet'!$B$12,Paramètres!$A$1:$I$88,3,0)*VLOOKUP('Données projet'!$B$12,Paramètres!$A$1:$I$88,5,0)</f>
        <v>-4.1677594708744434E-14</v>
      </c>
      <c r="CA146" s="14" t="e">
        <f t="shared" si="154"/>
        <v>#NUM!</v>
      </c>
      <c r="CB146" s="22" t="e">
        <f t="shared" si="121"/>
        <v>#NUM!</v>
      </c>
      <c r="CC146" s="62" t="e">
        <f t="shared" si="122"/>
        <v>#NUM!</v>
      </c>
      <c r="CD146" s="62">
        <f ca="1">AVERAGE(OFFSET($CC$3,0,0,'Données projet'!$E$12+1,1))-AVERAGE(OFFSET($H$3,0,0,'Données projet'!$E$12+1,1))</f>
        <v>264.06656596707364</v>
      </c>
      <c r="CE146" s="62">
        <f t="shared" si="123"/>
        <v>315.34415130230195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5.6843418860808015E-14</v>
      </c>
      <c r="CU146" s="18">
        <f>CT146*VLOOKUP('Données projet'!$B$13,Paramètres!$A$1:$I$88,3,0)*VLOOKUP('Données projet'!$B$13,Paramètres!$A$1:$I$88,5,0)</f>
        <v>3.3992364478763198E-14</v>
      </c>
      <c r="CV146" s="14">
        <f t="shared" si="155"/>
        <v>5.790027782444094E-13</v>
      </c>
      <c r="CW146" s="22">
        <f t="shared" si="125"/>
        <v>1.0676332069095257E-12</v>
      </c>
      <c r="CX146" s="62">
        <f t="shared" si="126"/>
        <v>293.33333333333439</v>
      </c>
      <c r="CY146" s="62">
        <f ca="1">AVERAGE(OFFSET($CX$3,0,0,'Données projet'!$E$13+1,1))-AVERAGE(OFFSET($H$3,0,0,'Données projet'!$E$13+1,1))</f>
        <v>162.29089122912319</v>
      </c>
      <c r="CZ146" s="62">
        <f t="shared" si="127"/>
        <v>253.15422514195427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1.1268441630853454</v>
      </c>
      <c r="DG146" s="23">
        <f>EXP(-LN(2)/25)*DG145+(1-EXP(-LN(2)/25))/(LN(2)/25)*Calculateur!DB146*Calculateur!DD146*VLOOKUP('Données projet'!$B$9,Paramètres!$A$1:$I$88,3,0)*0.475*44/12</f>
        <v>0.23135785221595442</v>
      </c>
      <c r="DH146" s="23">
        <f>EXP(-LN(2)/2)*DH145+(1-EXP(-LN(2)/2))/(LN(2)/2)*DB146*DE146*VLOOKUP('Données projet'!$B$9,Paramètres!$A$1:$I$88,3,0)*0.475*44/12</f>
        <v>2.2924345074425863E-17</v>
      </c>
      <c r="DI146" s="24">
        <f t="shared" si="128"/>
        <v>1.3582020153012999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-5.6843418860808015E-14</v>
      </c>
      <c r="DP146" s="18">
        <f>DO146*VLOOKUP('Données projet'!$B$14,Paramètres!$A$1:$I$88,3,0)*VLOOKUP('Données projet'!$B$14,Paramètres!$A$1:$I$88,5,0)</f>
        <v>-4.5224624045658861E-14</v>
      </c>
      <c r="DQ146" s="14" t="e">
        <f t="shared" si="156"/>
        <v>#NUM!</v>
      </c>
      <c r="DR146" s="22" t="e">
        <f t="shared" si="129"/>
        <v>#NUM!</v>
      </c>
      <c r="DS146" s="62" t="e">
        <f t="shared" si="130"/>
        <v>#NUM!</v>
      </c>
      <c r="DT146" s="62">
        <f ca="1">AVERAGE(OFFSET($DS$3,0,0,'Données projet'!$E$14+1,1))-AVERAGE(OFFSET($H$3,0,0,'Données projet'!$E$14+1,1))</f>
        <v>290.20755061064017</v>
      </c>
      <c r="DU146" s="62">
        <f t="shared" si="131"/>
        <v>343.54750327717181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25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5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1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-1.1368683772161603E-13</v>
      </c>
      <c r="O147" s="14">
        <f>N147*VLOOKUP('Données projet'!$B$9,Paramètres!$A$1:$I$88,3,0)*VLOOKUP('Données projet'!$B$9,Paramètres!$A$1:$I$88,5,0)</f>
        <v>-5.3205440053716299E-14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300.03481708703549</v>
      </c>
      <c r="T147" s="62">
        <f t="shared" si="110"/>
        <v>102.6350860969182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-2.2737367544323206E-13</v>
      </c>
      <c r="AJ147" s="14">
        <f>AI147*VLOOKUP('Données projet'!$B$10,Paramètres!$A$1:$I$88,3,0)*VLOOKUP('Données projet'!$B$10,Paramètres!$A$1:$I$88,5,0)</f>
        <v>-1.2710188457276673E-13</v>
      </c>
      <c r="AK147" s="14" t="e">
        <f t="shared" si="152"/>
        <v>#NUM!</v>
      </c>
      <c r="AL147" s="22" t="e">
        <f t="shared" si="113"/>
        <v>#NUM!</v>
      </c>
      <c r="AM147" s="62" t="e">
        <f t="shared" si="114"/>
        <v>#NUM!</v>
      </c>
      <c r="AN147" s="62">
        <f ca="1">AVERAGE(OFFSET($AM$3,0,0,'Données projet'!$E$10+1,1))-AVERAGE(OFFSET($H$3,0,0,'Données projet'!$E$10+1,1))</f>
        <v>328.27336939084597</v>
      </c>
      <c r="AO147" s="62">
        <f t="shared" si="115"/>
        <v>448.79354389108755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0.56428211543370344</v>
      </c>
      <c r="AV147" s="23">
        <f>EXP(-LN(2)/25)*AV146+(1-EXP(-LN(2)/25))/(LN(2)/25)*Calculateur!AQ147*Calculateur!AS147*VLOOKUP('Données projet'!$B$9,Paramètres!$A$1:$I$88,3,0)*0.475*44/12</f>
        <v>0.58346160905380517</v>
      </c>
      <c r="AW147" s="23">
        <f>EXP(-LN(2)/2)*AW146+(1-EXP(-LN(2)/2))/(LN(2)/2)*AQ147*AT147*VLOOKUP('Données projet'!$B$9,Paramètres!$A$1:$I$88,3,0)*0.475*44/12</f>
        <v>1.0108365495217631E-16</v>
      </c>
      <c r="AX147" s="23">
        <f t="shared" si="116"/>
        <v>1.1477437244875086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-2.2737367544323206E-13</v>
      </c>
      <c r="BE147" s="14">
        <f>BD147*VLOOKUP('Données projet'!$B$11,Paramètres!$A$1:$I$88,3,0)*VLOOKUP('Données projet'!$B$11,Paramètres!$A$1:$I$88,5,0)</f>
        <v>-1.9863364286720756E-13</v>
      </c>
      <c r="BF147" s="14" t="e">
        <f t="shared" si="153"/>
        <v>#NUM!</v>
      </c>
      <c r="BG147" s="22" t="e">
        <f t="shared" si="117"/>
        <v>#NUM!</v>
      </c>
      <c r="BH147" s="62" t="e">
        <f t="shared" si="118"/>
        <v>#NUM!</v>
      </c>
      <c r="BI147" s="62">
        <f ca="1">AVERAGE(OFFSET($BH$3,0,0,'Données projet'!$E$11+1,1))-AVERAGE(OFFSET($H$3,0,0,'Données projet'!$E$11+1,1))</f>
        <v>348.65374983303883</v>
      </c>
      <c r="BJ147" s="62">
        <f t="shared" si="119"/>
        <v>312.05848669315151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-5.6843418860808015E-14</v>
      </c>
      <c r="BZ147" s="14">
        <f>BY147*VLOOKUP('Données projet'!$B$12,Paramètres!$A$1:$I$88,3,0)*VLOOKUP('Données projet'!$B$12,Paramètres!$A$1:$I$88,5,0)</f>
        <v>-4.1677594708744434E-14</v>
      </c>
      <c r="CA147" s="14" t="e">
        <f t="shared" si="154"/>
        <v>#NUM!</v>
      </c>
      <c r="CB147" s="22" t="e">
        <f t="shared" si="121"/>
        <v>#NUM!</v>
      </c>
      <c r="CC147" s="62" t="e">
        <f t="shared" si="122"/>
        <v>#NUM!</v>
      </c>
      <c r="CD147" s="62">
        <f ca="1">AVERAGE(OFFSET($CC$3,0,0,'Données projet'!$E$12+1,1))-AVERAGE(OFFSET($H$3,0,0,'Données projet'!$E$12+1,1))</f>
        <v>264.06656596707364</v>
      </c>
      <c r="CE147" s="62">
        <f t="shared" si="123"/>
        <v>315.34415130230195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5.6843418860808015E-14</v>
      </c>
      <c r="CU147" s="18">
        <f>CT147*VLOOKUP('Données projet'!$B$13,Paramètres!$A$1:$I$88,3,0)*VLOOKUP('Données projet'!$B$13,Paramètres!$A$1:$I$88,5,0)</f>
        <v>3.3992364478763198E-14</v>
      </c>
      <c r="CV147" s="14">
        <f t="shared" si="155"/>
        <v>5.790027782444094E-13</v>
      </c>
      <c r="CW147" s="22">
        <f t="shared" si="125"/>
        <v>1.0676332069095257E-12</v>
      </c>
      <c r="CX147" s="62">
        <f t="shared" si="126"/>
        <v>293.33333333333439</v>
      </c>
      <c r="CY147" s="62">
        <f ca="1">AVERAGE(OFFSET($CX$3,0,0,'Données projet'!$E$13+1,1))-AVERAGE(OFFSET($H$3,0,0,'Données projet'!$E$13+1,1))</f>
        <v>162.29089122912319</v>
      </c>
      <c r="CZ147" s="62">
        <f t="shared" si="127"/>
        <v>253.15422514195427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1.1047474363543153</v>
      </c>
      <c r="DG147" s="23">
        <f>EXP(-LN(2)/25)*DG146+(1-EXP(-LN(2)/25))/(LN(2)/25)*Calculateur!DB147*Calculateur!DD147*VLOOKUP('Données projet'!$B$9,Paramètres!$A$1:$I$88,3,0)*0.475*44/12</f>
        <v>0.22503135958052847</v>
      </c>
      <c r="DH147" s="23">
        <f>EXP(-LN(2)/2)*DH146+(1-EXP(-LN(2)/2))/(LN(2)/2)*DB147*DE147*VLOOKUP('Données projet'!$B$9,Paramètres!$A$1:$I$88,3,0)*0.475*44/12</f>
        <v>1.6209959856386957E-17</v>
      </c>
      <c r="DI147" s="24">
        <f t="shared" si="128"/>
        <v>1.3297787959348437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-5.6843418860808015E-14</v>
      </c>
      <c r="DP147" s="18">
        <f>DO147*VLOOKUP('Données projet'!$B$14,Paramètres!$A$1:$I$88,3,0)*VLOOKUP('Données projet'!$B$14,Paramètres!$A$1:$I$88,5,0)</f>
        <v>-4.5224624045658861E-14</v>
      </c>
      <c r="DQ147" s="14" t="e">
        <f t="shared" si="156"/>
        <v>#NUM!</v>
      </c>
      <c r="DR147" s="22" t="e">
        <f t="shared" si="129"/>
        <v>#NUM!</v>
      </c>
      <c r="DS147" s="62" t="e">
        <f t="shared" si="130"/>
        <v>#NUM!</v>
      </c>
      <c r="DT147" s="62">
        <f ca="1">AVERAGE(OFFSET($DS$3,0,0,'Données projet'!$E$14+1,1))-AVERAGE(OFFSET($H$3,0,0,'Données projet'!$E$14+1,1))</f>
        <v>290.20755061064017</v>
      </c>
      <c r="DU147" s="62">
        <f t="shared" si="131"/>
        <v>343.54750327717181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25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5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1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-1.1368683772161603E-13</v>
      </c>
      <c r="O148" s="14">
        <f>N148*VLOOKUP('Données projet'!$B$9,Paramètres!$A$1:$I$88,3,0)*VLOOKUP('Données projet'!$B$9,Paramètres!$A$1:$I$88,5,0)</f>
        <v>-5.3205440053716299E-14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300.03481708703549</v>
      </c>
      <c r="T148" s="62">
        <f t="shared" si="110"/>
        <v>102.6350860969182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-2.2737367544323206E-13</v>
      </c>
      <c r="AJ148" s="14">
        <f>AI148*VLOOKUP('Données projet'!$B$10,Paramètres!$A$1:$I$88,3,0)*VLOOKUP('Données projet'!$B$10,Paramètres!$A$1:$I$88,5,0)</f>
        <v>-1.2710188457276673E-13</v>
      </c>
      <c r="AK148" s="14" t="e">
        <f t="shared" si="152"/>
        <v>#NUM!</v>
      </c>
      <c r="AL148" s="22" t="e">
        <f t="shared" si="113"/>
        <v>#NUM!</v>
      </c>
      <c r="AM148" s="62" t="e">
        <f t="shared" si="114"/>
        <v>#NUM!</v>
      </c>
      <c r="AN148" s="62">
        <f ca="1">AVERAGE(OFFSET($AM$3,0,0,'Données projet'!$E$10+1,1))-AVERAGE(OFFSET($H$3,0,0,'Données projet'!$E$10+1,1))</f>
        <v>328.27336939084597</v>
      </c>
      <c r="AO148" s="62">
        <f t="shared" si="115"/>
        <v>448.79354389108755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0.55321688732815411</v>
      </c>
      <c r="AV148" s="23">
        <f>EXP(-LN(2)/25)*AV147+(1-EXP(-LN(2)/25))/(LN(2)/25)*Calculateur!AQ148*Calculateur!AS148*VLOOKUP('Données projet'!$B$9,Paramètres!$A$1:$I$88,3,0)*0.475*44/12</f>
        <v>0.56750682067131641</v>
      </c>
      <c r="AW148" s="23">
        <f>EXP(-LN(2)/2)*AW147+(1-EXP(-LN(2)/2))/(LN(2)/2)*AQ148*AT148*VLOOKUP('Données projet'!$B$9,Paramètres!$A$1:$I$88,3,0)*0.475*44/12</f>
        <v>7.1476937883805003E-17</v>
      </c>
      <c r="AX148" s="23">
        <f t="shared" si="116"/>
        <v>1.1207237079994705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-2.2737367544323206E-13</v>
      </c>
      <c r="BE148" s="14">
        <f>BD148*VLOOKUP('Données projet'!$B$11,Paramètres!$A$1:$I$88,3,0)*VLOOKUP('Données projet'!$B$11,Paramètres!$A$1:$I$88,5,0)</f>
        <v>-1.9863364286720756E-13</v>
      </c>
      <c r="BF148" s="14" t="e">
        <f t="shared" si="153"/>
        <v>#NUM!</v>
      </c>
      <c r="BG148" s="22" t="e">
        <f t="shared" si="117"/>
        <v>#NUM!</v>
      </c>
      <c r="BH148" s="62" t="e">
        <f t="shared" si="118"/>
        <v>#NUM!</v>
      </c>
      <c r="BI148" s="62">
        <f ca="1">AVERAGE(OFFSET($BH$3,0,0,'Données projet'!$E$11+1,1))-AVERAGE(OFFSET($H$3,0,0,'Données projet'!$E$11+1,1))</f>
        <v>348.65374983303883</v>
      </c>
      <c r="BJ148" s="62">
        <f t="shared" si="119"/>
        <v>312.05848669315151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-5.6843418860808015E-14</v>
      </c>
      <c r="BZ148" s="14">
        <f>BY148*VLOOKUP('Données projet'!$B$12,Paramètres!$A$1:$I$88,3,0)*VLOOKUP('Données projet'!$B$12,Paramètres!$A$1:$I$88,5,0)</f>
        <v>-4.1677594708744434E-14</v>
      </c>
      <c r="CA148" s="14" t="e">
        <f t="shared" si="154"/>
        <v>#NUM!</v>
      </c>
      <c r="CB148" s="22" t="e">
        <f t="shared" si="121"/>
        <v>#NUM!</v>
      </c>
      <c r="CC148" s="62" t="e">
        <f t="shared" si="122"/>
        <v>#NUM!</v>
      </c>
      <c r="CD148" s="62">
        <f ca="1">AVERAGE(OFFSET($CC$3,0,0,'Données projet'!$E$12+1,1))-AVERAGE(OFFSET($H$3,0,0,'Données projet'!$E$12+1,1))</f>
        <v>264.06656596707364</v>
      </c>
      <c r="CE148" s="62">
        <f t="shared" si="123"/>
        <v>315.34415130230195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5.6843418860808015E-14</v>
      </c>
      <c r="CU148" s="18">
        <f>CT148*VLOOKUP('Données projet'!$B$13,Paramètres!$A$1:$I$88,3,0)*VLOOKUP('Données projet'!$B$13,Paramètres!$A$1:$I$88,5,0)</f>
        <v>3.3992364478763198E-14</v>
      </c>
      <c r="CV148" s="14">
        <f t="shared" si="155"/>
        <v>5.790027782444094E-13</v>
      </c>
      <c r="CW148" s="22">
        <f t="shared" si="125"/>
        <v>1.0676332069095257E-12</v>
      </c>
      <c r="CX148" s="62">
        <f t="shared" si="126"/>
        <v>293.33333333333439</v>
      </c>
      <c r="CY148" s="62">
        <f ca="1">AVERAGE(OFFSET($CX$3,0,0,'Données projet'!$E$13+1,1))-AVERAGE(OFFSET($H$3,0,0,'Données projet'!$E$13+1,1))</f>
        <v>162.29089122912319</v>
      </c>
      <c r="CZ148" s="62">
        <f t="shared" si="127"/>
        <v>253.15422514195427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1.0830840129568082</v>
      </c>
      <c r="DG148" s="23">
        <f>EXP(-LN(2)/25)*DG147+(1-EXP(-LN(2)/25))/(LN(2)/25)*Calculateur!DB148*Calculateur!DD148*VLOOKUP('Données projet'!$B$9,Paramètres!$A$1:$I$88,3,0)*0.475*44/12</f>
        <v>0.21887786521891403</v>
      </c>
      <c r="DH148" s="23">
        <f>EXP(-LN(2)/2)*DH147+(1-EXP(-LN(2)/2))/(LN(2)/2)*DB148*DE148*VLOOKUP('Données projet'!$B$9,Paramètres!$A$1:$I$88,3,0)*0.475*44/12</f>
        <v>1.1462172537212932E-17</v>
      </c>
      <c r="DI148" s="24">
        <f t="shared" si="128"/>
        <v>1.3019618781757223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-5.6843418860808015E-14</v>
      </c>
      <c r="DP148" s="18">
        <f>DO148*VLOOKUP('Données projet'!$B$14,Paramètres!$A$1:$I$88,3,0)*VLOOKUP('Données projet'!$B$14,Paramètres!$A$1:$I$88,5,0)</f>
        <v>-4.5224624045658861E-14</v>
      </c>
      <c r="DQ148" s="14" t="e">
        <f t="shared" si="156"/>
        <v>#NUM!</v>
      </c>
      <c r="DR148" s="22" t="e">
        <f t="shared" si="129"/>
        <v>#NUM!</v>
      </c>
      <c r="DS148" s="62" t="e">
        <f t="shared" si="130"/>
        <v>#NUM!</v>
      </c>
      <c r="DT148" s="62">
        <f ca="1">AVERAGE(OFFSET($DS$3,0,0,'Données projet'!$E$14+1,1))-AVERAGE(OFFSET($H$3,0,0,'Données projet'!$E$14+1,1))</f>
        <v>290.20755061064017</v>
      </c>
      <c r="DU148" s="62">
        <f t="shared" si="131"/>
        <v>343.54750327717181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25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5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1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-1.1368683772161603E-13</v>
      </c>
      <c r="O149" s="14">
        <f>N149*VLOOKUP('Données projet'!$B$9,Paramètres!$A$1:$I$88,3,0)*VLOOKUP('Données projet'!$B$9,Paramètres!$A$1:$I$88,5,0)</f>
        <v>-5.3205440053716299E-14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300.03481708703549</v>
      </c>
      <c r="T149" s="62">
        <f t="shared" si="110"/>
        <v>102.6350860969182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-2.2737367544323206E-13</v>
      </c>
      <c r="AJ149" s="14">
        <f>AI149*VLOOKUP('Données projet'!$B$10,Paramètres!$A$1:$I$88,3,0)*VLOOKUP('Données projet'!$B$10,Paramètres!$A$1:$I$88,5,0)</f>
        <v>-1.2710188457276673E-13</v>
      </c>
      <c r="AK149" s="14" t="e">
        <f t="shared" si="152"/>
        <v>#NUM!</v>
      </c>
      <c r="AL149" s="22" t="e">
        <f t="shared" si="113"/>
        <v>#NUM!</v>
      </c>
      <c r="AM149" s="62" t="e">
        <f t="shared" si="114"/>
        <v>#NUM!</v>
      </c>
      <c r="AN149" s="62">
        <f ca="1">AVERAGE(OFFSET($AM$3,0,0,'Données projet'!$E$10+1,1))-AVERAGE(OFFSET($H$3,0,0,'Données projet'!$E$10+1,1))</f>
        <v>328.27336939084597</v>
      </c>
      <c r="AO149" s="62">
        <f t="shared" si="115"/>
        <v>448.79354389108755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0.5423686415966319</v>
      </c>
      <c r="AV149" s="23">
        <f>EXP(-LN(2)/25)*AV148+(1-EXP(-LN(2)/25))/(LN(2)/25)*Calculateur!AQ149*Calculateur!AS149*VLOOKUP('Données projet'!$B$9,Paramètres!$A$1:$I$88,3,0)*0.475*44/12</f>
        <v>0.55198831681617266</v>
      </c>
      <c r="AW149" s="23">
        <f>EXP(-LN(2)/2)*AW148+(1-EXP(-LN(2)/2))/(LN(2)/2)*AQ149*AT149*VLOOKUP('Données projet'!$B$9,Paramètres!$A$1:$I$88,3,0)*0.475*44/12</f>
        <v>5.0541827476088154E-17</v>
      </c>
      <c r="AX149" s="23">
        <f t="shared" si="116"/>
        <v>1.0943569584128046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-2.2737367544323206E-13</v>
      </c>
      <c r="BE149" s="14">
        <f>BD149*VLOOKUP('Données projet'!$B$11,Paramètres!$A$1:$I$88,3,0)*VLOOKUP('Données projet'!$B$11,Paramètres!$A$1:$I$88,5,0)</f>
        <v>-1.9863364286720756E-13</v>
      </c>
      <c r="BF149" s="14" t="e">
        <f t="shared" si="153"/>
        <v>#NUM!</v>
      </c>
      <c r="BG149" s="22" t="e">
        <f t="shared" si="117"/>
        <v>#NUM!</v>
      </c>
      <c r="BH149" s="62" t="e">
        <f t="shared" si="118"/>
        <v>#NUM!</v>
      </c>
      <c r="BI149" s="62">
        <f ca="1">AVERAGE(OFFSET($BH$3,0,0,'Données projet'!$E$11+1,1))-AVERAGE(OFFSET($H$3,0,0,'Données projet'!$E$11+1,1))</f>
        <v>348.65374983303883</v>
      </c>
      <c r="BJ149" s="62">
        <f t="shared" si="119"/>
        <v>312.05848669315151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-5.6843418860808015E-14</v>
      </c>
      <c r="BZ149" s="14">
        <f>BY149*VLOOKUP('Données projet'!$B$12,Paramètres!$A$1:$I$88,3,0)*VLOOKUP('Données projet'!$B$12,Paramètres!$A$1:$I$88,5,0)</f>
        <v>-4.1677594708744434E-14</v>
      </c>
      <c r="CA149" s="14" t="e">
        <f t="shared" si="154"/>
        <v>#NUM!</v>
      </c>
      <c r="CB149" s="22" t="e">
        <f t="shared" si="121"/>
        <v>#NUM!</v>
      </c>
      <c r="CC149" s="62" t="e">
        <f t="shared" si="122"/>
        <v>#NUM!</v>
      </c>
      <c r="CD149" s="62">
        <f ca="1">AVERAGE(OFFSET($CC$3,0,0,'Données projet'!$E$12+1,1))-AVERAGE(OFFSET($H$3,0,0,'Données projet'!$E$12+1,1))</f>
        <v>264.06656596707364</v>
      </c>
      <c r="CE149" s="62">
        <f t="shared" si="123"/>
        <v>315.34415130230195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5.6843418860808015E-14</v>
      </c>
      <c r="CU149" s="18">
        <f>CT149*VLOOKUP('Données projet'!$B$13,Paramètres!$A$1:$I$88,3,0)*VLOOKUP('Données projet'!$B$13,Paramètres!$A$1:$I$88,5,0)</f>
        <v>3.3992364478763198E-14</v>
      </c>
      <c r="CV149" s="14">
        <f t="shared" si="155"/>
        <v>5.790027782444094E-13</v>
      </c>
      <c r="CW149" s="22">
        <f t="shared" si="125"/>
        <v>1.0676332069095257E-12</v>
      </c>
      <c r="CX149" s="62">
        <f t="shared" si="126"/>
        <v>293.33333333333439</v>
      </c>
      <c r="CY149" s="62">
        <f ca="1">AVERAGE(OFFSET($CX$3,0,0,'Données projet'!$E$13+1,1))-AVERAGE(OFFSET($H$3,0,0,'Données projet'!$E$13+1,1))</f>
        <v>162.29089122912319</v>
      </c>
      <c r="CZ149" s="62">
        <f t="shared" si="127"/>
        <v>253.15422514195427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1.0618453960787426</v>
      </c>
      <c r="DG149" s="23">
        <f>EXP(-LN(2)/25)*DG148+(1-EXP(-LN(2)/25))/(LN(2)/25)*Calculateur!DB149*Calculateur!DD149*VLOOKUP('Données projet'!$B$9,Paramètres!$A$1:$I$88,3,0)*0.475*44/12</f>
        <v>0.21289263848421613</v>
      </c>
      <c r="DH149" s="23">
        <f>EXP(-LN(2)/2)*DH148+(1-EXP(-LN(2)/2))/(LN(2)/2)*DB149*DE149*VLOOKUP('Données projet'!$B$9,Paramètres!$A$1:$I$88,3,0)*0.475*44/12</f>
        <v>8.1049799281934786E-18</v>
      </c>
      <c r="DI149" s="24">
        <f t="shared" si="128"/>
        <v>1.2747380345629589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-5.6843418860808015E-14</v>
      </c>
      <c r="DP149" s="18">
        <f>DO149*VLOOKUP('Données projet'!$B$14,Paramètres!$A$1:$I$88,3,0)*VLOOKUP('Données projet'!$B$14,Paramètres!$A$1:$I$88,5,0)</f>
        <v>-4.5224624045658861E-14</v>
      </c>
      <c r="DQ149" s="14" t="e">
        <f t="shared" si="156"/>
        <v>#NUM!</v>
      </c>
      <c r="DR149" s="22" t="e">
        <f t="shared" si="129"/>
        <v>#NUM!</v>
      </c>
      <c r="DS149" s="62" t="e">
        <f t="shared" si="130"/>
        <v>#NUM!</v>
      </c>
      <c r="DT149" s="62">
        <f ca="1">AVERAGE(OFFSET($DS$3,0,0,'Données projet'!$E$14+1,1))-AVERAGE(OFFSET($H$3,0,0,'Données projet'!$E$14+1,1))</f>
        <v>290.20755061064017</v>
      </c>
      <c r="DU149" s="62">
        <f t="shared" si="131"/>
        <v>343.54750327717181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25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5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1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-1.1368683772161603E-13</v>
      </c>
      <c r="O150" s="14">
        <f>N150*VLOOKUP('Données projet'!$B$9,Paramètres!$A$1:$I$88,3,0)*VLOOKUP('Données projet'!$B$9,Paramètres!$A$1:$I$88,5,0)</f>
        <v>-5.3205440053716299E-14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300.03481708703549</v>
      </c>
      <c r="T150" s="62">
        <f t="shared" si="110"/>
        <v>102.6350860969182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-2.2737367544323206E-13</v>
      </c>
      <c r="AJ150" s="14">
        <f>AI150*VLOOKUP('Données projet'!$B$10,Paramètres!$A$1:$I$88,3,0)*VLOOKUP('Données projet'!$B$10,Paramètres!$A$1:$I$88,5,0)</f>
        <v>-1.2710188457276673E-13</v>
      </c>
      <c r="AK150" s="14" t="e">
        <f t="shared" si="152"/>
        <v>#NUM!</v>
      </c>
      <c r="AL150" s="22" t="e">
        <f t="shared" si="113"/>
        <v>#NUM!</v>
      </c>
      <c r="AM150" s="62" t="e">
        <f t="shared" si="114"/>
        <v>#NUM!</v>
      </c>
      <c r="AN150" s="62">
        <f ca="1">AVERAGE(OFFSET($AM$3,0,0,'Données projet'!$E$10+1,1))-AVERAGE(OFFSET($H$3,0,0,'Données projet'!$E$10+1,1))</f>
        <v>328.27336939084597</v>
      </c>
      <c r="AO150" s="62">
        <f t="shared" si="115"/>
        <v>448.79354389108755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0.5317331233471283</v>
      </c>
      <c r="AV150" s="23">
        <f>EXP(-LN(2)/25)*AV149+(1-EXP(-LN(2)/25))/(LN(2)/25)*Calculateur!AQ150*Calculateur!AS150*VLOOKUP('Données projet'!$B$9,Paramètres!$A$1:$I$88,3,0)*0.475*44/12</f>
        <v>0.53689416726503048</v>
      </c>
      <c r="AW150" s="23">
        <f>EXP(-LN(2)/2)*AW149+(1-EXP(-LN(2)/2))/(LN(2)/2)*AQ150*AT150*VLOOKUP('Données projet'!$B$9,Paramètres!$A$1:$I$88,3,0)*0.475*44/12</f>
        <v>3.5738468941902502E-17</v>
      </c>
      <c r="AX150" s="23">
        <f t="shared" si="116"/>
        <v>1.0686272906121588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-2.2737367544323206E-13</v>
      </c>
      <c r="BE150" s="14">
        <f>BD150*VLOOKUP('Données projet'!$B$11,Paramètres!$A$1:$I$88,3,0)*VLOOKUP('Données projet'!$B$11,Paramètres!$A$1:$I$88,5,0)</f>
        <v>-1.9863364286720756E-13</v>
      </c>
      <c r="BF150" s="14" t="e">
        <f t="shared" si="153"/>
        <v>#NUM!</v>
      </c>
      <c r="BG150" s="22" t="e">
        <f t="shared" si="117"/>
        <v>#NUM!</v>
      </c>
      <c r="BH150" s="62" t="e">
        <f t="shared" si="118"/>
        <v>#NUM!</v>
      </c>
      <c r="BI150" s="62">
        <f ca="1">AVERAGE(OFFSET($BH$3,0,0,'Données projet'!$E$11+1,1))-AVERAGE(OFFSET($H$3,0,0,'Données projet'!$E$11+1,1))</f>
        <v>348.65374983303883</v>
      </c>
      <c r="BJ150" s="62">
        <f t="shared" si="119"/>
        <v>312.05848669315151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-5.6843418860808015E-14</v>
      </c>
      <c r="BZ150" s="14">
        <f>BY150*VLOOKUP('Données projet'!$B$12,Paramètres!$A$1:$I$88,3,0)*VLOOKUP('Données projet'!$B$12,Paramètres!$A$1:$I$88,5,0)</f>
        <v>-4.1677594708744434E-14</v>
      </c>
      <c r="CA150" s="14" t="e">
        <f t="shared" si="154"/>
        <v>#NUM!</v>
      </c>
      <c r="CB150" s="22" t="e">
        <f t="shared" si="121"/>
        <v>#NUM!</v>
      </c>
      <c r="CC150" s="62" t="e">
        <f t="shared" si="122"/>
        <v>#NUM!</v>
      </c>
      <c r="CD150" s="62">
        <f ca="1">AVERAGE(OFFSET($CC$3,0,0,'Données projet'!$E$12+1,1))-AVERAGE(OFFSET($H$3,0,0,'Données projet'!$E$12+1,1))</f>
        <v>264.06656596707364</v>
      </c>
      <c r="CE150" s="62">
        <f t="shared" si="123"/>
        <v>315.34415130230195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5.6843418860808015E-14</v>
      </c>
      <c r="CU150" s="18">
        <f>CT150*VLOOKUP('Données projet'!$B$13,Paramètres!$A$1:$I$88,3,0)*VLOOKUP('Données projet'!$B$13,Paramètres!$A$1:$I$88,5,0)</f>
        <v>3.3992364478763198E-14</v>
      </c>
      <c r="CV150" s="14">
        <f t="shared" si="155"/>
        <v>5.790027782444094E-13</v>
      </c>
      <c r="CW150" s="22">
        <f t="shared" si="125"/>
        <v>1.0676332069095257E-12</v>
      </c>
      <c r="CX150" s="62">
        <f t="shared" si="126"/>
        <v>293.33333333333439</v>
      </c>
      <c r="CY150" s="62">
        <f ca="1">AVERAGE(OFFSET($CX$3,0,0,'Données projet'!$E$13+1,1))-AVERAGE(OFFSET($H$3,0,0,'Données projet'!$E$13+1,1))</f>
        <v>162.29089122912319</v>
      </c>
      <c r="CZ150" s="62">
        <f t="shared" si="127"/>
        <v>253.15422514195427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1.0410232555233787</v>
      </c>
      <c r="DG150" s="23">
        <f>EXP(-LN(2)/25)*DG149+(1-EXP(-LN(2)/25))/(LN(2)/25)*Calculateur!DB150*Calculateur!DD150*VLOOKUP('Données projet'!$B$9,Paramètres!$A$1:$I$88,3,0)*0.475*44/12</f>
        <v>0.20707107808932795</v>
      </c>
      <c r="DH150" s="23">
        <f>EXP(-LN(2)/2)*DH149+(1-EXP(-LN(2)/2))/(LN(2)/2)*DB150*DE150*VLOOKUP('Données projet'!$B$9,Paramètres!$A$1:$I$88,3,0)*0.475*44/12</f>
        <v>5.7310862686064659E-18</v>
      </c>
      <c r="DI150" s="24">
        <f t="shared" si="128"/>
        <v>1.2480943336127066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-5.6843418860808015E-14</v>
      </c>
      <c r="DP150" s="18">
        <f>DO150*VLOOKUP('Données projet'!$B$14,Paramètres!$A$1:$I$88,3,0)*VLOOKUP('Données projet'!$B$14,Paramètres!$A$1:$I$88,5,0)</f>
        <v>-4.5224624045658861E-14</v>
      </c>
      <c r="DQ150" s="14" t="e">
        <f t="shared" si="156"/>
        <v>#NUM!</v>
      </c>
      <c r="DR150" s="22" t="e">
        <f t="shared" si="129"/>
        <v>#NUM!</v>
      </c>
      <c r="DS150" s="62" t="e">
        <f t="shared" si="130"/>
        <v>#NUM!</v>
      </c>
      <c r="DT150" s="62">
        <f ca="1">AVERAGE(OFFSET($DS$3,0,0,'Données projet'!$E$14+1,1))-AVERAGE(OFFSET($H$3,0,0,'Données projet'!$E$14+1,1))</f>
        <v>290.20755061064017</v>
      </c>
      <c r="DU150" s="62">
        <f t="shared" si="131"/>
        <v>343.54750327717181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25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5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1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-1.1368683772161603E-13</v>
      </c>
      <c r="O151" s="14">
        <f>N151*VLOOKUP('Données projet'!$B$9,Paramètres!$A$1:$I$88,3,0)*VLOOKUP('Données projet'!$B$9,Paramètres!$A$1:$I$88,5,0)</f>
        <v>-5.3205440053716299E-14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300.03481708703549</v>
      </c>
      <c r="T151" s="62">
        <f t="shared" si="110"/>
        <v>102.6350860969182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-2.2737367544323206E-13</v>
      </c>
      <c r="AJ151" s="14">
        <f>AI151*VLOOKUP('Données projet'!$B$10,Paramètres!$A$1:$I$88,3,0)*VLOOKUP('Données projet'!$B$10,Paramètres!$A$1:$I$88,5,0)</f>
        <v>-1.2710188457276673E-13</v>
      </c>
      <c r="AK151" s="14" t="e">
        <f t="shared" si="152"/>
        <v>#NUM!</v>
      </c>
      <c r="AL151" s="22" t="e">
        <f t="shared" si="113"/>
        <v>#NUM!</v>
      </c>
      <c r="AM151" s="62" t="e">
        <f t="shared" si="114"/>
        <v>#NUM!</v>
      </c>
      <c r="AN151" s="62">
        <f ca="1">AVERAGE(OFFSET($AM$3,0,0,'Données projet'!$E$10+1,1))-AVERAGE(OFFSET($H$3,0,0,'Données projet'!$E$10+1,1))</f>
        <v>328.27336939084597</v>
      </c>
      <c r="AO151" s="62">
        <f t="shared" si="115"/>
        <v>448.79354389108755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0.52130616112347195</v>
      </c>
      <c r="AV151" s="23">
        <f>EXP(-LN(2)/25)*AV150+(1-EXP(-LN(2)/25))/(LN(2)/25)*Calculateur!AQ151*Calculateur!AS151*VLOOKUP('Données projet'!$B$9,Paramètres!$A$1:$I$88,3,0)*0.475*44/12</f>
        <v>0.52221276802713101</v>
      </c>
      <c r="AW151" s="23">
        <f>EXP(-LN(2)/2)*AW150+(1-EXP(-LN(2)/2))/(LN(2)/2)*AQ151*AT151*VLOOKUP('Données projet'!$B$9,Paramètres!$A$1:$I$88,3,0)*0.475*44/12</f>
        <v>2.5270913738044077E-17</v>
      </c>
      <c r="AX151" s="23">
        <f t="shared" si="116"/>
        <v>1.0435189291506028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-2.2737367544323206E-13</v>
      </c>
      <c r="BE151" s="14">
        <f>BD151*VLOOKUP('Données projet'!$B$11,Paramètres!$A$1:$I$88,3,0)*VLOOKUP('Données projet'!$B$11,Paramètres!$A$1:$I$88,5,0)</f>
        <v>-1.9863364286720756E-13</v>
      </c>
      <c r="BF151" s="14" t="e">
        <f t="shared" si="153"/>
        <v>#NUM!</v>
      </c>
      <c r="BG151" s="22" t="e">
        <f t="shared" si="117"/>
        <v>#NUM!</v>
      </c>
      <c r="BH151" s="62" t="e">
        <f t="shared" si="118"/>
        <v>#NUM!</v>
      </c>
      <c r="BI151" s="62">
        <f ca="1">AVERAGE(OFFSET($BH$3,0,0,'Données projet'!$E$11+1,1))-AVERAGE(OFFSET($H$3,0,0,'Données projet'!$E$11+1,1))</f>
        <v>348.65374983303883</v>
      </c>
      <c r="BJ151" s="62">
        <f t="shared" si="119"/>
        <v>312.05848669315151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-5.6843418860808015E-14</v>
      </c>
      <c r="BZ151" s="14">
        <f>BY151*VLOOKUP('Données projet'!$B$12,Paramètres!$A$1:$I$88,3,0)*VLOOKUP('Données projet'!$B$12,Paramètres!$A$1:$I$88,5,0)</f>
        <v>-4.1677594708744434E-14</v>
      </c>
      <c r="CA151" s="14" t="e">
        <f t="shared" si="154"/>
        <v>#NUM!</v>
      </c>
      <c r="CB151" s="22" t="e">
        <f t="shared" si="121"/>
        <v>#NUM!</v>
      </c>
      <c r="CC151" s="62" t="e">
        <f t="shared" si="122"/>
        <v>#NUM!</v>
      </c>
      <c r="CD151" s="62">
        <f ca="1">AVERAGE(OFFSET($CC$3,0,0,'Données projet'!$E$12+1,1))-AVERAGE(OFFSET($H$3,0,0,'Données projet'!$E$12+1,1))</f>
        <v>264.06656596707364</v>
      </c>
      <c r="CE151" s="62">
        <f t="shared" si="123"/>
        <v>315.34415130230195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5.6843418860808015E-14</v>
      </c>
      <c r="CU151" s="18">
        <f>CT151*VLOOKUP('Données projet'!$B$13,Paramètres!$A$1:$I$88,3,0)*VLOOKUP('Données projet'!$B$13,Paramètres!$A$1:$I$88,5,0)</f>
        <v>3.3992364478763198E-14</v>
      </c>
      <c r="CV151" s="14">
        <f t="shared" si="155"/>
        <v>5.790027782444094E-13</v>
      </c>
      <c r="CW151" s="22">
        <f t="shared" si="125"/>
        <v>1.0676332069095257E-12</v>
      </c>
      <c r="CX151" s="62">
        <f t="shared" si="126"/>
        <v>293.33333333333439</v>
      </c>
      <c r="CY151" s="62">
        <f ca="1">AVERAGE(OFFSET($CX$3,0,0,'Données projet'!$E$13+1,1))-AVERAGE(OFFSET($H$3,0,0,'Données projet'!$E$13+1,1))</f>
        <v>162.29089122912319</v>
      </c>
      <c r="CZ151" s="62">
        <f t="shared" si="127"/>
        <v>253.15422514195427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1.0206094244440538</v>
      </c>
      <c r="DG151" s="23">
        <f>EXP(-LN(2)/25)*DG150+(1-EXP(-LN(2)/25))/(LN(2)/25)*Calculateur!DB151*Calculateur!DD151*VLOOKUP('Données projet'!$B$9,Paramètres!$A$1:$I$88,3,0)*0.475*44/12</f>
        <v>0.20140870856958054</v>
      </c>
      <c r="DH151" s="23">
        <f>EXP(-LN(2)/2)*DH150+(1-EXP(-LN(2)/2))/(LN(2)/2)*DB151*DE151*VLOOKUP('Données projet'!$B$9,Paramètres!$A$1:$I$88,3,0)*0.475*44/12</f>
        <v>4.0524899640967393E-18</v>
      </c>
      <c r="DI151" s="24">
        <f t="shared" si="128"/>
        <v>1.2220181330136344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-5.6843418860808015E-14</v>
      </c>
      <c r="DP151" s="18">
        <f>DO151*VLOOKUP('Données projet'!$B$14,Paramètres!$A$1:$I$88,3,0)*VLOOKUP('Données projet'!$B$14,Paramètres!$A$1:$I$88,5,0)</f>
        <v>-4.5224624045658861E-14</v>
      </c>
      <c r="DQ151" s="14" t="e">
        <f t="shared" si="156"/>
        <v>#NUM!</v>
      </c>
      <c r="DR151" s="22" t="e">
        <f t="shared" si="129"/>
        <v>#NUM!</v>
      </c>
      <c r="DS151" s="62" t="e">
        <f t="shared" si="130"/>
        <v>#NUM!</v>
      </c>
      <c r="DT151" s="62">
        <f ca="1">AVERAGE(OFFSET($DS$3,0,0,'Données projet'!$E$14+1,1))-AVERAGE(OFFSET($H$3,0,0,'Données projet'!$E$14+1,1))</f>
        <v>290.20755061064017</v>
      </c>
      <c r="DU151" s="62">
        <f t="shared" si="131"/>
        <v>343.54750327717181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25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5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1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-1.1368683772161603E-13</v>
      </c>
      <c r="O152" s="14">
        <f>N152*VLOOKUP('Données projet'!$B$9,Paramètres!$A$1:$I$88,3,0)*VLOOKUP('Données projet'!$B$9,Paramètres!$A$1:$I$88,5,0)</f>
        <v>-5.3205440053716299E-14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300.03481708703549</v>
      </c>
      <c r="T152" s="62">
        <f t="shared" si="110"/>
        <v>102.6350860969182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-2.2737367544323206E-13</v>
      </c>
      <c r="AJ152" s="14">
        <f>AI152*VLOOKUP('Données projet'!$B$10,Paramètres!$A$1:$I$88,3,0)*VLOOKUP('Données projet'!$B$10,Paramètres!$A$1:$I$88,5,0)</f>
        <v>-1.2710188457276673E-13</v>
      </c>
      <c r="AK152" s="14" t="e">
        <f t="shared" si="152"/>
        <v>#NUM!</v>
      </c>
      <c r="AL152" s="22" t="e">
        <f t="shared" si="113"/>
        <v>#NUM!</v>
      </c>
      <c r="AM152" s="62" t="e">
        <f t="shared" si="114"/>
        <v>#NUM!</v>
      </c>
      <c r="AN152" s="62">
        <f ca="1">AVERAGE(OFFSET($AM$3,0,0,'Données projet'!$E$10+1,1))-AVERAGE(OFFSET($H$3,0,0,'Données projet'!$E$10+1,1))</f>
        <v>328.27336939084597</v>
      </c>
      <c r="AO152" s="62">
        <f t="shared" si="115"/>
        <v>448.79354389108755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0.51108366526920246</v>
      </c>
      <c r="AV152" s="23">
        <f>EXP(-LN(2)/25)*AV151+(1-EXP(-LN(2)/25))/(LN(2)/25)*Calculateur!AQ152*Calculateur!AS152*VLOOKUP('Données projet'!$B$9,Paramètres!$A$1:$I$88,3,0)*0.475*44/12</f>
        <v>0.50793283242345322</v>
      </c>
      <c r="AW152" s="23">
        <f>EXP(-LN(2)/2)*AW151+(1-EXP(-LN(2)/2))/(LN(2)/2)*AQ152*AT152*VLOOKUP('Données projet'!$B$9,Paramètres!$A$1:$I$88,3,0)*0.475*44/12</f>
        <v>1.7869234470951251E-17</v>
      </c>
      <c r="AX152" s="23">
        <f t="shared" si="116"/>
        <v>1.0190164976926557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-2.2737367544323206E-13</v>
      </c>
      <c r="BE152" s="14">
        <f>BD152*VLOOKUP('Données projet'!$B$11,Paramètres!$A$1:$I$88,3,0)*VLOOKUP('Données projet'!$B$11,Paramètres!$A$1:$I$88,5,0)</f>
        <v>-1.9863364286720756E-13</v>
      </c>
      <c r="BF152" s="14" t="e">
        <f t="shared" si="153"/>
        <v>#NUM!</v>
      </c>
      <c r="BG152" s="22" t="e">
        <f t="shared" si="117"/>
        <v>#NUM!</v>
      </c>
      <c r="BH152" s="62" t="e">
        <f t="shared" si="118"/>
        <v>#NUM!</v>
      </c>
      <c r="BI152" s="62">
        <f ca="1">AVERAGE(OFFSET($BH$3,0,0,'Données projet'!$E$11+1,1))-AVERAGE(OFFSET($H$3,0,0,'Données projet'!$E$11+1,1))</f>
        <v>348.65374983303883</v>
      </c>
      <c r="BJ152" s="62">
        <f t="shared" si="119"/>
        <v>312.05848669315151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-5.6843418860808015E-14</v>
      </c>
      <c r="BZ152" s="14">
        <f>BY152*VLOOKUP('Données projet'!$B$12,Paramètres!$A$1:$I$88,3,0)*VLOOKUP('Données projet'!$B$12,Paramètres!$A$1:$I$88,5,0)</f>
        <v>-4.1677594708744434E-14</v>
      </c>
      <c r="CA152" s="14" t="e">
        <f t="shared" si="154"/>
        <v>#NUM!</v>
      </c>
      <c r="CB152" s="22" t="e">
        <f t="shared" si="121"/>
        <v>#NUM!</v>
      </c>
      <c r="CC152" s="62" t="e">
        <f t="shared" si="122"/>
        <v>#NUM!</v>
      </c>
      <c r="CD152" s="62">
        <f ca="1">AVERAGE(OFFSET($CC$3,0,0,'Données projet'!$E$12+1,1))-AVERAGE(OFFSET($H$3,0,0,'Données projet'!$E$12+1,1))</f>
        <v>264.06656596707364</v>
      </c>
      <c r="CE152" s="62">
        <f t="shared" si="123"/>
        <v>315.34415130230195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5.6843418860808015E-14</v>
      </c>
      <c r="CU152" s="18">
        <f>CT152*VLOOKUP('Données projet'!$B$13,Paramètres!$A$1:$I$88,3,0)*VLOOKUP('Données projet'!$B$13,Paramètres!$A$1:$I$88,5,0)</f>
        <v>3.3992364478763198E-14</v>
      </c>
      <c r="CV152" s="14">
        <f t="shared" si="155"/>
        <v>5.790027782444094E-13</v>
      </c>
      <c r="CW152" s="22">
        <f t="shared" si="125"/>
        <v>1.0676332069095257E-12</v>
      </c>
      <c r="CX152" s="62">
        <f t="shared" si="126"/>
        <v>293.33333333333439</v>
      </c>
      <c r="CY152" s="62">
        <f ca="1">AVERAGE(OFFSET($CX$3,0,0,'Données projet'!$E$13+1,1))-AVERAGE(OFFSET($H$3,0,0,'Données projet'!$E$13+1,1))</f>
        <v>162.29089122912319</v>
      </c>
      <c r="CZ152" s="62">
        <f t="shared" si="127"/>
        <v>253.15422514195427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1.0005958961409871</v>
      </c>
      <c r="DG152" s="23">
        <f>EXP(-LN(2)/25)*DG151+(1-EXP(-LN(2)/25))/(LN(2)/25)*Calculateur!DB152*Calculateur!DD152*VLOOKUP('Données projet'!$B$9,Paramètres!$A$1:$I$88,3,0)*0.475*44/12</f>
        <v>0.19590117684212172</v>
      </c>
      <c r="DH152" s="23">
        <f>EXP(-LN(2)/2)*DH151+(1-EXP(-LN(2)/2))/(LN(2)/2)*DB152*DE152*VLOOKUP('Données projet'!$B$9,Paramètres!$A$1:$I$88,3,0)*0.475*44/12</f>
        <v>2.8655431343032329E-18</v>
      </c>
      <c r="DI152" s="24">
        <f t="shared" si="128"/>
        <v>1.1964970729831088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-5.6843418860808015E-14</v>
      </c>
      <c r="DP152" s="18">
        <f>DO152*VLOOKUP('Données projet'!$B$14,Paramètres!$A$1:$I$88,3,0)*VLOOKUP('Données projet'!$B$14,Paramètres!$A$1:$I$88,5,0)</f>
        <v>-4.5224624045658861E-14</v>
      </c>
      <c r="DQ152" s="14" t="e">
        <f t="shared" si="156"/>
        <v>#NUM!</v>
      </c>
      <c r="DR152" s="22" t="e">
        <f t="shared" si="129"/>
        <v>#NUM!</v>
      </c>
      <c r="DS152" s="62" t="e">
        <f t="shared" si="130"/>
        <v>#NUM!</v>
      </c>
      <c r="DT152" s="62">
        <f ca="1">AVERAGE(OFFSET($DS$3,0,0,'Données projet'!$E$14+1,1))-AVERAGE(OFFSET($H$3,0,0,'Données projet'!$E$14+1,1))</f>
        <v>290.20755061064017</v>
      </c>
      <c r="DU152" s="62">
        <f t="shared" si="131"/>
        <v>343.54750327717181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5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1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-1.1368683772161603E-13</v>
      </c>
      <c r="O153" s="14">
        <f>N153*VLOOKUP('Données projet'!$B$9,Paramètres!$A$1:$I$88,3,0)*VLOOKUP('Données projet'!$B$9,Paramètres!$A$1:$I$88,5,0)</f>
        <v>-5.3205440053716299E-14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300.03481708703549</v>
      </c>
      <c r="T153" s="62">
        <f t="shared" si="110"/>
        <v>102.6350860969182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-2.2737367544323206E-13</v>
      </c>
      <c r="AJ153" s="14">
        <f>AI153*VLOOKUP('Données projet'!$B$10,Paramètres!$A$1:$I$88,3,0)*VLOOKUP('Données projet'!$B$10,Paramètres!$A$1:$I$88,5,0)</f>
        <v>-1.2710188457276673E-13</v>
      </c>
      <c r="AK153" s="14" t="e">
        <f t="shared" si="152"/>
        <v>#NUM!</v>
      </c>
      <c r="AL153" s="22" t="e">
        <f t="shared" si="113"/>
        <v>#NUM!</v>
      </c>
      <c r="AM153" s="62" t="e">
        <f t="shared" si="114"/>
        <v>#NUM!</v>
      </c>
      <c r="AN153" s="62">
        <f ca="1">AVERAGE(OFFSET($AM$3,0,0,'Données projet'!$E$10+1,1))-AVERAGE(OFFSET($H$3,0,0,'Données projet'!$E$10+1,1))</f>
        <v>328.27336939084597</v>
      </c>
      <c r="AO153" s="62">
        <f t="shared" si="115"/>
        <v>448.79354389108755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0.50106162632352835</v>
      </c>
      <c r="AV153" s="23">
        <f>EXP(-LN(2)/25)*AV152+(1-EXP(-LN(2)/25))/(LN(2)/25)*Calculateur!AQ153*Calculateur!AS153*VLOOKUP('Données projet'!$B$9,Paramètres!$A$1:$I$88,3,0)*0.475*44/12</f>
        <v>0.49404338240980711</v>
      </c>
      <c r="AW153" s="23">
        <f>EXP(-LN(2)/2)*AW152+(1-EXP(-LN(2)/2))/(LN(2)/2)*AQ153*AT153*VLOOKUP('Données projet'!$B$9,Paramètres!$A$1:$I$88,3,0)*0.475*44/12</f>
        <v>1.2635456869022039E-17</v>
      </c>
      <c r="AX153" s="23">
        <f t="shared" si="116"/>
        <v>0.99510500873333552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-2.2737367544323206E-13</v>
      </c>
      <c r="BE153" s="14">
        <f>BD153*VLOOKUP('Données projet'!$B$11,Paramètres!$A$1:$I$88,3,0)*VLOOKUP('Données projet'!$B$11,Paramètres!$A$1:$I$88,5,0)</f>
        <v>-1.9863364286720756E-13</v>
      </c>
      <c r="BF153" s="14" t="e">
        <f t="shared" si="153"/>
        <v>#NUM!</v>
      </c>
      <c r="BG153" s="22" t="e">
        <f t="shared" si="117"/>
        <v>#NUM!</v>
      </c>
      <c r="BH153" s="62" t="e">
        <f t="shared" si="118"/>
        <v>#NUM!</v>
      </c>
      <c r="BI153" s="62">
        <f ca="1">AVERAGE(OFFSET($BH$3,0,0,'Données projet'!$E$11+1,1))-AVERAGE(OFFSET($H$3,0,0,'Données projet'!$E$11+1,1))</f>
        <v>348.65374983303883</v>
      </c>
      <c r="BJ153" s="62">
        <f t="shared" si="119"/>
        <v>312.05848669315151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-5.6843418860808015E-14</v>
      </c>
      <c r="BZ153" s="14">
        <f>BY153*VLOOKUP('Données projet'!$B$12,Paramètres!$A$1:$I$88,3,0)*VLOOKUP('Données projet'!$B$12,Paramètres!$A$1:$I$88,5,0)</f>
        <v>-4.1677594708744434E-14</v>
      </c>
      <c r="CA153" s="14" t="e">
        <f t="shared" si="154"/>
        <v>#NUM!</v>
      </c>
      <c r="CB153" s="22" t="e">
        <f t="shared" si="121"/>
        <v>#NUM!</v>
      </c>
      <c r="CC153" s="62" t="e">
        <f t="shared" si="122"/>
        <v>#NUM!</v>
      </c>
      <c r="CD153" s="62">
        <f ca="1">AVERAGE(OFFSET($CC$3,0,0,'Données projet'!$E$12+1,1))-AVERAGE(OFFSET($H$3,0,0,'Données projet'!$E$12+1,1))</f>
        <v>264.06656596707364</v>
      </c>
      <c r="CE153" s="62">
        <f t="shared" si="123"/>
        <v>315.34415130230195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5.6843418860808015E-14</v>
      </c>
      <c r="CU153" s="18">
        <f>CT153*VLOOKUP('Données projet'!$B$13,Paramètres!$A$1:$I$88,3,0)*VLOOKUP('Données projet'!$B$13,Paramètres!$A$1:$I$88,5,0)</f>
        <v>3.3992364478763198E-14</v>
      </c>
      <c r="CV153" s="14">
        <f t="shared" si="155"/>
        <v>5.790027782444094E-13</v>
      </c>
      <c r="CW153" s="22">
        <f t="shared" si="125"/>
        <v>1.0676332069095257E-12</v>
      </c>
      <c r="CX153" s="62">
        <f t="shared" si="126"/>
        <v>293.33333333333439</v>
      </c>
      <c r="CY153" s="62">
        <f ca="1">AVERAGE(OFFSET($CX$3,0,0,'Données projet'!$E$13+1,1))-AVERAGE(OFFSET($H$3,0,0,'Données projet'!$E$13+1,1))</f>
        <v>162.29089122912319</v>
      </c>
      <c r="CZ153" s="62">
        <f t="shared" si="127"/>
        <v>253.15422514195427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0.9809748209208965</v>
      </c>
      <c r="DG153" s="23">
        <f>EXP(-LN(2)/25)*DG152+(1-EXP(-LN(2)/25))/(LN(2)/25)*Calculateur!DB153*Calculateur!DD153*VLOOKUP('Données projet'!$B$9,Paramètres!$A$1:$I$88,3,0)*0.475*44/12</f>
        <v>0.19054424885937873</v>
      </c>
      <c r="DH153" s="23">
        <f>EXP(-LN(2)/2)*DH152+(1-EXP(-LN(2)/2))/(LN(2)/2)*DB153*DE153*VLOOKUP('Données projet'!$B$9,Paramètres!$A$1:$I$88,3,0)*0.475*44/12</f>
        <v>2.0262449820483697E-18</v>
      </c>
      <c r="DI153" s="24">
        <f t="shared" si="128"/>
        <v>1.1715190697802753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-5.6843418860808015E-14</v>
      </c>
      <c r="DP153" s="18">
        <f>DO153*VLOOKUP('Données projet'!$B$14,Paramètres!$A$1:$I$88,3,0)*VLOOKUP('Données projet'!$B$14,Paramètres!$A$1:$I$88,5,0)</f>
        <v>-4.5224624045658861E-14</v>
      </c>
      <c r="DQ153" s="14" t="e">
        <f t="shared" si="156"/>
        <v>#NUM!</v>
      </c>
      <c r="DR153" s="22" t="e">
        <f t="shared" si="129"/>
        <v>#NUM!</v>
      </c>
      <c r="DS153" s="62" t="e">
        <f t="shared" si="130"/>
        <v>#NUM!</v>
      </c>
      <c r="DT153" s="62">
        <f ca="1">AVERAGE(OFFSET($DS$3,0,0,'Données projet'!$E$14+1,1))-AVERAGE(OFFSET($H$3,0,0,'Données projet'!$E$14+1,1))</f>
        <v>290.20755061064017</v>
      </c>
      <c r="DU153" s="62">
        <f t="shared" si="131"/>
        <v>343.54750327717181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5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1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-1.1368683772161603E-13</v>
      </c>
      <c r="O154" s="14">
        <f>N154*VLOOKUP('Données projet'!$B$9,Paramètres!$A$1:$I$88,3,0)*VLOOKUP('Données projet'!$B$9,Paramètres!$A$1:$I$88,5,0)</f>
        <v>-5.3205440053716299E-14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300.03481708703549</v>
      </c>
      <c r="T154" s="62">
        <f t="shared" si="110"/>
        <v>102.6350860969182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-2.2737367544323206E-13</v>
      </c>
      <c r="AJ154" s="14">
        <f>AI154*VLOOKUP('Données projet'!$B$10,Paramètres!$A$1:$I$88,3,0)*VLOOKUP('Données projet'!$B$10,Paramètres!$A$1:$I$88,5,0)</f>
        <v>-1.2710188457276673E-13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328.27336939084597</v>
      </c>
      <c r="AO154" s="62">
        <f t="shared" si="115"/>
        <v>448.79354389108755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0.4912361134487388</v>
      </c>
      <c r="AV154" s="23">
        <f>EXP(-LN(2)/25)*AV153+(1-EXP(-LN(2)/25))/(LN(2)/25)*Calculateur!AQ154*Calculateur!AS154*VLOOKUP('Données projet'!$B$9,Paramètres!$A$1:$I$88,3,0)*0.475*44/12</f>
        <v>0.48053374013719863</v>
      </c>
      <c r="AW154" s="23">
        <f>EXP(-LN(2)/2)*AW153+(1-EXP(-LN(2)/2))/(LN(2)/2)*AQ154*AT154*VLOOKUP('Données projet'!$B$9,Paramètres!$A$1:$I$88,3,0)*0.475*44/12</f>
        <v>8.9346172354756254E-18</v>
      </c>
      <c r="AX154" s="23">
        <f t="shared" ref="AX154:AX203" si="166">SUM(AU154:AW154)</f>
        <v>0.97176985358593737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-2.2737367544323206E-13</v>
      </c>
      <c r="BE154" s="14">
        <f>BD154*VLOOKUP('Données projet'!$B$11,Paramètres!$A$1:$I$88,3,0)*VLOOKUP('Données projet'!$B$11,Paramètres!$A$1:$I$88,5,0)</f>
        <v>-1.9863364286720756E-13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8"/>
        <v>#NUM!</v>
      </c>
      <c r="BI154" s="62">
        <f ca="1">AVERAGE(OFFSET($BH$3,0,0,'Données projet'!$E$11+1,1))-AVERAGE(OFFSET($H$3,0,0,'Données projet'!$E$11+1,1))</f>
        <v>348.65374983303883</v>
      </c>
      <c r="BJ154" s="62">
        <f t="shared" si="119"/>
        <v>312.05848669315151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-5.6843418860808015E-14</v>
      </c>
      <c r="BZ154" s="14">
        <f>BY154*VLOOKUP('Données projet'!$B$12,Paramètres!$A$1:$I$88,3,0)*VLOOKUP('Données projet'!$B$12,Paramètres!$A$1:$I$88,5,0)</f>
        <v>-4.1677594708744434E-14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22"/>
        <v>#NUM!</v>
      </c>
      <c r="CD154" s="62">
        <f ca="1">AVERAGE(OFFSET($CC$3,0,0,'Données projet'!$E$12+1,1))-AVERAGE(OFFSET($H$3,0,0,'Données projet'!$E$12+1,1))</f>
        <v>264.06656596707364</v>
      </c>
      <c r="CE154" s="62">
        <f t="shared" si="123"/>
        <v>315.34415130230195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5.6843418860808015E-14</v>
      </c>
      <c r="CU154" s="18">
        <f>CT154*VLOOKUP('Données projet'!$B$13,Paramètres!$A$1:$I$88,3,0)*VLOOKUP('Données projet'!$B$13,Paramètres!$A$1:$I$88,5,0)</f>
        <v>3.3992364478763198E-14</v>
      </c>
      <c r="CV154" s="14">
        <f t="shared" ref="CV154:CV203" si="173">EXP(-1.0587+0.8836*LN(CU154)+0.284)</f>
        <v>5.790027782444094E-13</v>
      </c>
      <c r="CW154" s="22">
        <f t="shared" ref="CW154:CW203" si="174">(CU154+CV154)*0.475*44/12</f>
        <v>1.0676332069095257E-12</v>
      </c>
      <c r="CX154" s="62">
        <f t="shared" si="126"/>
        <v>293.33333333333439</v>
      </c>
      <c r="CY154" s="62">
        <f ca="1">AVERAGE(OFFSET($CX$3,0,0,'Données projet'!$E$13+1,1))-AVERAGE(OFFSET($H$3,0,0,'Données projet'!$E$13+1,1))</f>
        <v>162.29089122912319</v>
      </c>
      <c r="CZ154" s="62">
        <f t="shared" si="127"/>
        <v>253.15422514195427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0.96173850301819774</v>
      </c>
      <c r="DG154" s="23">
        <f>EXP(-LN(2)/25)*DG153+(1-EXP(-LN(2)/25))/(LN(2)/25)*Calculateur!DB154*Calculateur!DD154*VLOOKUP('Données projet'!$B$9,Paramètres!$A$1:$I$88,3,0)*0.475*44/12</f>
        <v>0.18533380635403246</v>
      </c>
      <c r="DH154" s="23">
        <f>EXP(-LN(2)/2)*DH153+(1-EXP(-LN(2)/2))/(LN(2)/2)*DB154*DE154*VLOOKUP('Données projet'!$B$9,Paramètres!$A$1:$I$88,3,0)*0.475*44/12</f>
        <v>1.4327715671516165E-18</v>
      </c>
      <c r="DI154" s="24">
        <f t="shared" ref="DI154:DI203" si="175">SUM(DF154:DH154)</f>
        <v>1.1470723093722301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-5.6843418860808015E-14</v>
      </c>
      <c r="DP154" s="18">
        <f>DO154*VLOOKUP('Données projet'!$B$14,Paramètres!$A$1:$I$88,3,0)*VLOOKUP('Données projet'!$B$14,Paramètres!$A$1:$I$88,5,0)</f>
        <v>-4.5224624045658861E-14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30"/>
        <v>#NUM!</v>
      </c>
      <c r="DT154" s="62">
        <f ca="1">AVERAGE(OFFSET($DS$3,0,0,'Données projet'!$E$14+1,1))-AVERAGE(OFFSET($H$3,0,0,'Données projet'!$E$14+1,1))</f>
        <v>290.20755061064017</v>
      </c>
      <c r="DU154" s="62">
        <f t="shared" si="131"/>
        <v>343.54750327717181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5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1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-1.1368683772161603E-13</v>
      </c>
      <c r="O155" s="14">
        <f>N155*VLOOKUP('Données projet'!$B$9,Paramètres!$A$1:$I$88,3,0)*VLOOKUP('Données projet'!$B$9,Paramètres!$A$1:$I$88,5,0)</f>
        <v>-5.3205440053716299E-14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300.03481708703549</v>
      </c>
      <c r="T155" s="62">
        <f t="shared" si="110"/>
        <v>102.6350860969182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-2.2737367544323206E-13</v>
      </c>
      <c r="AJ155" s="14">
        <f>AI155*VLOOKUP('Données projet'!$B$10,Paramètres!$A$1:$I$88,3,0)*VLOOKUP('Données projet'!$B$10,Paramètres!$A$1:$I$88,5,0)</f>
        <v>-1.2710188457276673E-13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328.27336939084597</v>
      </c>
      <c r="AO155" s="62">
        <f t="shared" si="115"/>
        <v>448.79354389108755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0.48160327288845278</v>
      </c>
      <c r="AV155" s="23">
        <f>EXP(-LN(2)/25)*AV154+(1-EXP(-LN(2)/25))/(LN(2)/25)*Calculateur!AQ155*Calculateur!AS155*VLOOKUP('Données projet'!$B$9,Paramètres!$A$1:$I$88,3,0)*0.475*44/12</f>
        <v>0.46739351974297583</v>
      </c>
      <c r="AW155" s="23">
        <f>EXP(-LN(2)/2)*AW154+(1-EXP(-LN(2)/2))/(LN(2)/2)*AQ155*AT155*VLOOKUP('Données projet'!$B$9,Paramètres!$A$1:$I$88,3,0)*0.475*44/12</f>
        <v>6.3177284345110193E-18</v>
      </c>
      <c r="AX155" s="23">
        <f t="shared" si="166"/>
        <v>0.94899679263142867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-2.2737367544323206E-13</v>
      </c>
      <c r="BE155" s="14">
        <f>BD155*VLOOKUP('Données projet'!$B$11,Paramètres!$A$1:$I$88,3,0)*VLOOKUP('Données projet'!$B$11,Paramètres!$A$1:$I$88,5,0)</f>
        <v>-1.9863364286720756E-13</v>
      </c>
      <c r="BF155" s="14" t="e">
        <f t="shared" si="167"/>
        <v>#NUM!</v>
      </c>
      <c r="BG155" s="22" t="e">
        <f t="shared" si="168"/>
        <v>#NUM!</v>
      </c>
      <c r="BH155" s="62" t="e">
        <f t="shared" si="118"/>
        <v>#NUM!</v>
      </c>
      <c r="BI155" s="62">
        <f ca="1">AVERAGE(OFFSET($BH$3,0,0,'Données projet'!$E$11+1,1))-AVERAGE(OFFSET($H$3,0,0,'Données projet'!$E$11+1,1))</f>
        <v>348.65374983303883</v>
      </c>
      <c r="BJ155" s="62">
        <f t="shared" si="119"/>
        <v>312.05848669315151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-5.6843418860808015E-14</v>
      </c>
      <c r="BZ155" s="14">
        <f>BY155*VLOOKUP('Données projet'!$B$12,Paramètres!$A$1:$I$88,3,0)*VLOOKUP('Données projet'!$B$12,Paramètres!$A$1:$I$88,5,0)</f>
        <v>-4.1677594708744434E-14</v>
      </c>
      <c r="CA155" s="14" t="e">
        <f t="shared" si="170"/>
        <v>#NUM!</v>
      </c>
      <c r="CB155" s="22" t="e">
        <f t="shared" si="171"/>
        <v>#NUM!</v>
      </c>
      <c r="CC155" s="62" t="e">
        <f t="shared" si="122"/>
        <v>#NUM!</v>
      </c>
      <c r="CD155" s="62">
        <f ca="1">AVERAGE(OFFSET($CC$3,0,0,'Données projet'!$E$12+1,1))-AVERAGE(OFFSET($H$3,0,0,'Données projet'!$E$12+1,1))</f>
        <v>264.06656596707364</v>
      </c>
      <c r="CE155" s="62">
        <f t="shared" si="123"/>
        <v>315.34415130230195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5.6843418860808015E-14</v>
      </c>
      <c r="CU155" s="18">
        <f>CT155*VLOOKUP('Données projet'!$B$13,Paramètres!$A$1:$I$88,3,0)*VLOOKUP('Données projet'!$B$13,Paramètres!$A$1:$I$88,5,0)</f>
        <v>3.3992364478763198E-14</v>
      </c>
      <c r="CV155" s="14">
        <f t="shared" si="173"/>
        <v>5.790027782444094E-13</v>
      </c>
      <c r="CW155" s="22">
        <f t="shared" si="174"/>
        <v>1.0676332069095257E-12</v>
      </c>
      <c r="CX155" s="62">
        <f t="shared" si="126"/>
        <v>293.33333333333439</v>
      </c>
      <c r="CY155" s="62">
        <f ca="1">AVERAGE(OFFSET($CX$3,0,0,'Données projet'!$E$13+1,1))-AVERAGE(OFFSET($H$3,0,0,'Données projet'!$E$13+1,1))</f>
        <v>162.29089122912319</v>
      </c>
      <c r="CZ155" s="62">
        <f t="shared" si="127"/>
        <v>253.15422514195427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0.94287939757657557</v>
      </c>
      <c r="DG155" s="23">
        <f>EXP(-LN(2)/25)*DG154+(1-EXP(-LN(2)/25))/(LN(2)/25)*Calculateur!DB155*Calculateur!DD155*VLOOKUP('Données projet'!$B$9,Paramètres!$A$1:$I$88,3,0)*0.475*44/12</f>
        <v>0.18026584367300016</v>
      </c>
      <c r="DH155" s="23">
        <f>EXP(-LN(2)/2)*DH154+(1-EXP(-LN(2)/2))/(LN(2)/2)*DB155*DE155*VLOOKUP('Données projet'!$B$9,Paramètres!$A$1:$I$88,3,0)*0.475*44/12</f>
        <v>1.0131224910241848E-18</v>
      </c>
      <c r="DI155" s="24">
        <f t="shared" si="175"/>
        <v>1.1231452412495757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-5.6843418860808015E-14</v>
      </c>
      <c r="DP155" s="18">
        <f>DO155*VLOOKUP('Données projet'!$B$14,Paramètres!$A$1:$I$88,3,0)*VLOOKUP('Données projet'!$B$14,Paramètres!$A$1:$I$88,5,0)</f>
        <v>-4.5224624045658861E-14</v>
      </c>
      <c r="DQ155" s="14" t="e">
        <f t="shared" si="176"/>
        <v>#NUM!</v>
      </c>
      <c r="DR155" s="22" t="e">
        <f t="shared" si="177"/>
        <v>#NUM!</v>
      </c>
      <c r="DS155" s="62" t="e">
        <f t="shared" si="130"/>
        <v>#NUM!</v>
      </c>
      <c r="DT155" s="62">
        <f ca="1">AVERAGE(OFFSET($DS$3,0,0,'Données projet'!$E$14+1,1))-AVERAGE(OFFSET($H$3,0,0,'Données projet'!$E$14+1,1))</f>
        <v>290.20755061064017</v>
      </c>
      <c r="DU155" s="62">
        <f t="shared" si="131"/>
        <v>343.54750327717181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5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1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-1.1368683772161603E-13</v>
      </c>
      <c r="O156" s="14">
        <f>N156*VLOOKUP('Données projet'!$B$9,Paramètres!$A$1:$I$88,3,0)*VLOOKUP('Données projet'!$B$9,Paramètres!$A$1:$I$88,5,0)</f>
        <v>-5.3205440053716299E-14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300.03481708703549</v>
      </c>
      <c r="T156" s="62">
        <f t="shared" si="110"/>
        <v>102.6350860969182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-2.2737367544323206E-13</v>
      </c>
      <c r="AJ156" s="14">
        <f>AI156*VLOOKUP('Données projet'!$B$10,Paramètres!$A$1:$I$88,3,0)*VLOOKUP('Données projet'!$B$10,Paramètres!$A$1:$I$88,5,0)</f>
        <v>-1.2710188457276673E-13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328.27336939084597</v>
      </c>
      <c r="AO156" s="62">
        <f t="shared" si="115"/>
        <v>448.79354389108755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0.47215932645610137</v>
      </c>
      <c r="AV156" s="23">
        <f>EXP(-LN(2)/25)*AV155+(1-EXP(-LN(2)/25))/(LN(2)/25)*Calculateur!AQ156*Calculateur!AS156*VLOOKUP('Données projet'!$B$9,Paramètres!$A$1:$I$88,3,0)*0.475*44/12</f>
        <v>0.4546126193664472</v>
      </c>
      <c r="AW156" s="23">
        <f>EXP(-LN(2)/2)*AW155+(1-EXP(-LN(2)/2))/(LN(2)/2)*AQ156*AT156*VLOOKUP('Données projet'!$B$9,Paramètres!$A$1:$I$88,3,0)*0.475*44/12</f>
        <v>4.4673086177378127E-18</v>
      </c>
      <c r="AX156" s="23">
        <f t="shared" si="166"/>
        <v>0.92677194582254852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-2.2737367544323206E-13</v>
      </c>
      <c r="BE156" s="14">
        <f>BD156*VLOOKUP('Données projet'!$B$11,Paramètres!$A$1:$I$88,3,0)*VLOOKUP('Données projet'!$B$11,Paramètres!$A$1:$I$88,5,0)</f>
        <v>-1.9863364286720756E-13</v>
      </c>
      <c r="BF156" s="14" t="e">
        <f t="shared" si="167"/>
        <v>#NUM!</v>
      </c>
      <c r="BG156" s="22" t="e">
        <f t="shared" si="168"/>
        <v>#NUM!</v>
      </c>
      <c r="BH156" s="62" t="e">
        <f t="shared" si="118"/>
        <v>#NUM!</v>
      </c>
      <c r="BI156" s="62">
        <f ca="1">AVERAGE(OFFSET($BH$3,0,0,'Données projet'!$E$11+1,1))-AVERAGE(OFFSET($H$3,0,0,'Données projet'!$E$11+1,1))</f>
        <v>348.65374983303883</v>
      </c>
      <c r="BJ156" s="62">
        <f t="shared" si="119"/>
        <v>312.05848669315151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-5.6843418860808015E-14</v>
      </c>
      <c r="BZ156" s="14">
        <f>BY156*VLOOKUP('Données projet'!$B$12,Paramètres!$A$1:$I$88,3,0)*VLOOKUP('Données projet'!$B$12,Paramètres!$A$1:$I$88,5,0)</f>
        <v>-4.1677594708744434E-14</v>
      </c>
      <c r="CA156" s="14" t="e">
        <f t="shared" si="170"/>
        <v>#NUM!</v>
      </c>
      <c r="CB156" s="22" t="e">
        <f t="shared" si="171"/>
        <v>#NUM!</v>
      </c>
      <c r="CC156" s="62" t="e">
        <f t="shared" si="122"/>
        <v>#NUM!</v>
      </c>
      <c r="CD156" s="62">
        <f ca="1">AVERAGE(OFFSET($CC$3,0,0,'Données projet'!$E$12+1,1))-AVERAGE(OFFSET($H$3,0,0,'Données projet'!$E$12+1,1))</f>
        <v>264.06656596707364</v>
      </c>
      <c r="CE156" s="62">
        <f t="shared" si="123"/>
        <v>315.34415130230195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5.6843418860808015E-14</v>
      </c>
      <c r="CU156" s="18">
        <f>CT156*VLOOKUP('Données projet'!$B$13,Paramètres!$A$1:$I$88,3,0)*VLOOKUP('Données projet'!$B$13,Paramètres!$A$1:$I$88,5,0)</f>
        <v>3.3992364478763198E-14</v>
      </c>
      <c r="CV156" s="14">
        <f t="shared" si="173"/>
        <v>5.790027782444094E-13</v>
      </c>
      <c r="CW156" s="22">
        <f t="shared" si="174"/>
        <v>1.0676332069095257E-12</v>
      </c>
      <c r="CX156" s="62">
        <f t="shared" si="126"/>
        <v>293.33333333333439</v>
      </c>
      <c r="CY156" s="62">
        <f ca="1">AVERAGE(OFFSET($CX$3,0,0,'Données projet'!$E$13+1,1))-AVERAGE(OFFSET($H$3,0,0,'Données projet'!$E$13+1,1))</f>
        <v>162.29089122912319</v>
      </c>
      <c r="CZ156" s="62">
        <f t="shared" si="127"/>
        <v>253.15422514195427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0.92439010768974506</v>
      </c>
      <c r="DG156" s="23">
        <f>EXP(-LN(2)/25)*DG155+(1-EXP(-LN(2)/25))/(LN(2)/25)*Calculateur!DB156*Calculateur!DD156*VLOOKUP('Données projet'!$B$9,Paramètres!$A$1:$I$88,3,0)*0.475*44/12</f>
        <v>0.17533646469799327</v>
      </c>
      <c r="DH156" s="23">
        <f>EXP(-LN(2)/2)*DH155+(1-EXP(-LN(2)/2))/(LN(2)/2)*DB156*DE156*VLOOKUP('Données projet'!$B$9,Paramètres!$A$1:$I$88,3,0)*0.475*44/12</f>
        <v>7.1638578357580823E-19</v>
      </c>
      <c r="DI156" s="24">
        <f t="shared" si="175"/>
        <v>1.0997265723877383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-5.6843418860808015E-14</v>
      </c>
      <c r="DP156" s="18">
        <f>DO156*VLOOKUP('Données projet'!$B$14,Paramètres!$A$1:$I$88,3,0)*VLOOKUP('Données projet'!$B$14,Paramètres!$A$1:$I$88,5,0)</f>
        <v>-4.5224624045658861E-14</v>
      </c>
      <c r="DQ156" s="14" t="e">
        <f t="shared" si="176"/>
        <v>#NUM!</v>
      </c>
      <c r="DR156" s="22" t="e">
        <f t="shared" si="177"/>
        <v>#NUM!</v>
      </c>
      <c r="DS156" s="62" t="e">
        <f t="shared" si="130"/>
        <v>#NUM!</v>
      </c>
      <c r="DT156" s="62">
        <f ca="1">AVERAGE(OFFSET($DS$3,0,0,'Données projet'!$E$14+1,1))-AVERAGE(OFFSET($H$3,0,0,'Données projet'!$E$14+1,1))</f>
        <v>290.20755061064017</v>
      </c>
      <c r="DU156" s="62">
        <f t="shared" si="131"/>
        <v>343.54750327717181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5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1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-1.1368683772161603E-13</v>
      </c>
      <c r="O157" s="14">
        <f>N157*VLOOKUP('Données projet'!$B$9,Paramètres!$A$1:$I$88,3,0)*VLOOKUP('Données projet'!$B$9,Paramètres!$A$1:$I$88,5,0)</f>
        <v>-5.3205440053716299E-14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300.03481708703549</v>
      </c>
      <c r="T157" s="62">
        <f t="shared" si="110"/>
        <v>102.6350860969182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-2.2737367544323206E-13</v>
      </c>
      <c r="AJ157" s="14">
        <f>AI157*VLOOKUP('Données projet'!$B$10,Paramètres!$A$1:$I$88,3,0)*VLOOKUP('Données projet'!$B$10,Paramètres!$A$1:$I$88,5,0)</f>
        <v>-1.2710188457276673E-13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328.27336939084597</v>
      </c>
      <c r="AO157" s="62">
        <f t="shared" si="115"/>
        <v>448.79354389108755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0.46290057005304985</v>
      </c>
      <c r="AV157" s="23">
        <f>EXP(-LN(2)/25)*AV156+(1-EXP(-LN(2)/25))/(LN(2)/25)*Calculateur!AQ157*Calculateur!AS157*VLOOKUP('Données projet'!$B$9,Paramètres!$A$1:$I$88,3,0)*0.475*44/12</f>
        <v>0.44218121338283306</v>
      </c>
      <c r="AW157" s="23">
        <f>EXP(-LN(2)/2)*AW156+(1-EXP(-LN(2)/2))/(LN(2)/2)*AQ157*AT157*VLOOKUP('Données projet'!$B$9,Paramètres!$A$1:$I$88,3,0)*0.475*44/12</f>
        <v>3.1588642172555097E-18</v>
      </c>
      <c r="AX157" s="23">
        <f t="shared" si="166"/>
        <v>0.90508178343588286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-2.2737367544323206E-13</v>
      </c>
      <c r="BE157" s="14">
        <f>BD157*VLOOKUP('Données projet'!$B$11,Paramètres!$A$1:$I$88,3,0)*VLOOKUP('Données projet'!$B$11,Paramètres!$A$1:$I$88,5,0)</f>
        <v>-1.9863364286720756E-13</v>
      </c>
      <c r="BF157" s="14" t="e">
        <f t="shared" si="167"/>
        <v>#NUM!</v>
      </c>
      <c r="BG157" s="22" t="e">
        <f t="shared" si="168"/>
        <v>#NUM!</v>
      </c>
      <c r="BH157" s="62" t="e">
        <f t="shared" si="118"/>
        <v>#NUM!</v>
      </c>
      <c r="BI157" s="62">
        <f ca="1">AVERAGE(OFFSET($BH$3,0,0,'Données projet'!$E$11+1,1))-AVERAGE(OFFSET($H$3,0,0,'Données projet'!$E$11+1,1))</f>
        <v>348.65374983303883</v>
      </c>
      <c r="BJ157" s="62">
        <f t="shared" si="119"/>
        <v>312.05848669315151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-5.6843418860808015E-14</v>
      </c>
      <c r="BZ157" s="14">
        <f>BY157*VLOOKUP('Données projet'!$B$12,Paramètres!$A$1:$I$88,3,0)*VLOOKUP('Données projet'!$B$12,Paramètres!$A$1:$I$88,5,0)</f>
        <v>-4.1677594708744434E-14</v>
      </c>
      <c r="CA157" s="14" t="e">
        <f t="shared" si="170"/>
        <v>#NUM!</v>
      </c>
      <c r="CB157" s="22" t="e">
        <f t="shared" si="171"/>
        <v>#NUM!</v>
      </c>
      <c r="CC157" s="62" t="e">
        <f t="shared" si="122"/>
        <v>#NUM!</v>
      </c>
      <c r="CD157" s="62">
        <f ca="1">AVERAGE(OFFSET($CC$3,0,0,'Données projet'!$E$12+1,1))-AVERAGE(OFFSET($H$3,0,0,'Données projet'!$E$12+1,1))</f>
        <v>264.06656596707364</v>
      </c>
      <c r="CE157" s="62">
        <f t="shared" si="123"/>
        <v>315.34415130230195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5.6843418860808015E-14</v>
      </c>
      <c r="CU157" s="18">
        <f>CT157*VLOOKUP('Données projet'!$B$13,Paramètres!$A$1:$I$88,3,0)*VLOOKUP('Données projet'!$B$13,Paramètres!$A$1:$I$88,5,0)</f>
        <v>3.3992364478763198E-14</v>
      </c>
      <c r="CV157" s="14">
        <f t="shared" si="173"/>
        <v>5.790027782444094E-13</v>
      </c>
      <c r="CW157" s="22">
        <f t="shared" si="174"/>
        <v>1.0676332069095257E-12</v>
      </c>
      <c r="CX157" s="62">
        <f t="shared" si="126"/>
        <v>293.33333333333439</v>
      </c>
      <c r="CY157" s="62">
        <f ca="1">AVERAGE(OFFSET($CX$3,0,0,'Données projet'!$E$13+1,1))-AVERAGE(OFFSET($H$3,0,0,'Données projet'!$E$13+1,1))</f>
        <v>162.29089122912319</v>
      </c>
      <c r="CZ157" s="62">
        <f t="shared" si="127"/>
        <v>253.15422514195427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0.90626338150024199</v>
      </c>
      <c r="DG157" s="23">
        <f>EXP(-LN(2)/25)*DG156+(1-EXP(-LN(2)/25))/(LN(2)/25)*Calculateur!DB157*Calculateur!DD157*VLOOKUP('Données projet'!$B$9,Paramètres!$A$1:$I$88,3,0)*0.475*44/12</f>
        <v>0.17054187985028271</v>
      </c>
      <c r="DH157" s="23">
        <f>EXP(-LN(2)/2)*DH156+(1-EXP(-LN(2)/2))/(LN(2)/2)*DB157*DE157*VLOOKUP('Données projet'!$B$9,Paramètres!$A$1:$I$88,3,0)*0.475*44/12</f>
        <v>5.0656124551209242E-19</v>
      </c>
      <c r="DI157" s="24">
        <f t="shared" si="175"/>
        <v>1.0768052613505248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-5.6843418860808015E-14</v>
      </c>
      <c r="DP157" s="18">
        <f>DO157*VLOOKUP('Données projet'!$B$14,Paramètres!$A$1:$I$88,3,0)*VLOOKUP('Données projet'!$B$14,Paramètres!$A$1:$I$88,5,0)</f>
        <v>-4.5224624045658861E-14</v>
      </c>
      <c r="DQ157" s="14" t="e">
        <f t="shared" si="176"/>
        <v>#NUM!</v>
      </c>
      <c r="DR157" s="22" t="e">
        <f t="shared" si="177"/>
        <v>#NUM!</v>
      </c>
      <c r="DS157" s="62" t="e">
        <f t="shared" si="130"/>
        <v>#NUM!</v>
      </c>
      <c r="DT157" s="62">
        <f ca="1">AVERAGE(OFFSET($DS$3,0,0,'Données projet'!$E$14+1,1))-AVERAGE(OFFSET($H$3,0,0,'Données projet'!$E$14+1,1))</f>
        <v>290.20755061064017</v>
      </c>
      <c r="DU157" s="62">
        <f t="shared" si="131"/>
        <v>343.54750327717181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5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1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-1.1368683772161603E-13</v>
      </c>
      <c r="O158" s="14">
        <f>N158*VLOOKUP('Données projet'!$B$9,Paramètres!$A$1:$I$88,3,0)*VLOOKUP('Données projet'!$B$9,Paramètres!$A$1:$I$88,5,0)</f>
        <v>-5.3205440053716299E-14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300.03481708703549</v>
      </c>
      <c r="T158" s="62">
        <f t="shared" si="110"/>
        <v>102.6350860969182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-2.2737367544323206E-13</v>
      </c>
      <c r="AJ158" s="14">
        <f>AI158*VLOOKUP('Données projet'!$B$10,Paramètres!$A$1:$I$88,3,0)*VLOOKUP('Données projet'!$B$10,Paramètres!$A$1:$I$88,5,0)</f>
        <v>-1.2710188457276673E-13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328.27336939084597</v>
      </c>
      <c r="AO158" s="62">
        <f t="shared" si="115"/>
        <v>448.79354389108755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0.4538233722157784</v>
      </c>
      <c r="AV158" s="23">
        <f>EXP(-LN(2)/25)*AV157+(1-EXP(-LN(2)/25))/(LN(2)/25)*Calculateur!AQ158*Calculateur!AS158*VLOOKUP('Données projet'!$B$9,Paramètres!$A$1:$I$88,3,0)*0.475*44/12</f>
        <v>0.43008974484958012</v>
      </c>
      <c r="AW158" s="23">
        <f>EXP(-LN(2)/2)*AW157+(1-EXP(-LN(2)/2))/(LN(2)/2)*AQ158*AT158*VLOOKUP('Données projet'!$B$9,Paramètres!$A$1:$I$88,3,0)*0.475*44/12</f>
        <v>2.2336543088689063E-18</v>
      </c>
      <c r="AX158" s="23">
        <f t="shared" si="166"/>
        <v>0.88391311706535847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-2.2737367544323206E-13</v>
      </c>
      <c r="BE158" s="14">
        <f>BD158*VLOOKUP('Données projet'!$B$11,Paramètres!$A$1:$I$88,3,0)*VLOOKUP('Données projet'!$B$11,Paramètres!$A$1:$I$88,5,0)</f>
        <v>-1.9863364286720756E-13</v>
      </c>
      <c r="BF158" s="14" t="e">
        <f t="shared" si="167"/>
        <v>#NUM!</v>
      </c>
      <c r="BG158" s="22" t="e">
        <f t="shared" si="168"/>
        <v>#NUM!</v>
      </c>
      <c r="BH158" s="62" t="e">
        <f t="shared" si="118"/>
        <v>#NUM!</v>
      </c>
      <c r="BI158" s="62">
        <f ca="1">AVERAGE(OFFSET($BH$3,0,0,'Données projet'!$E$11+1,1))-AVERAGE(OFFSET($H$3,0,0,'Données projet'!$E$11+1,1))</f>
        <v>348.65374983303883</v>
      </c>
      <c r="BJ158" s="62">
        <f t="shared" si="119"/>
        <v>312.05848669315151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-5.6843418860808015E-14</v>
      </c>
      <c r="BZ158" s="14">
        <f>BY158*VLOOKUP('Données projet'!$B$12,Paramètres!$A$1:$I$88,3,0)*VLOOKUP('Données projet'!$B$12,Paramètres!$A$1:$I$88,5,0)</f>
        <v>-4.1677594708744434E-14</v>
      </c>
      <c r="CA158" s="14" t="e">
        <f t="shared" si="170"/>
        <v>#NUM!</v>
      </c>
      <c r="CB158" s="22" t="e">
        <f t="shared" si="171"/>
        <v>#NUM!</v>
      </c>
      <c r="CC158" s="62" t="e">
        <f t="shared" si="122"/>
        <v>#NUM!</v>
      </c>
      <c r="CD158" s="62">
        <f ca="1">AVERAGE(OFFSET($CC$3,0,0,'Données projet'!$E$12+1,1))-AVERAGE(OFFSET($H$3,0,0,'Données projet'!$E$12+1,1))</f>
        <v>264.06656596707364</v>
      </c>
      <c r="CE158" s="62">
        <f t="shared" si="123"/>
        <v>315.34415130230195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5.6843418860808015E-14</v>
      </c>
      <c r="CU158" s="18">
        <f>CT158*VLOOKUP('Données projet'!$B$13,Paramètres!$A$1:$I$88,3,0)*VLOOKUP('Données projet'!$B$13,Paramètres!$A$1:$I$88,5,0)</f>
        <v>3.3992364478763198E-14</v>
      </c>
      <c r="CV158" s="14">
        <f t="shared" si="173"/>
        <v>5.790027782444094E-13</v>
      </c>
      <c r="CW158" s="22">
        <f t="shared" si="174"/>
        <v>1.0676332069095257E-12</v>
      </c>
      <c r="CX158" s="62">
        <f t="shared" si="126"/>
        <v>293.33333333333439</v>
      </c>
      <c r="CY158" s="62">
        <f ca="1">AVERAGE(OFFSET($CX$3,0,0,'Données projet'!$E$13+1,1))-AVERAGE(OFFSET($H$3,0,0,'Données projet'!$E$13+1,1))</f>
        <v>162.29089122912319</v>
      </c>
      <c r="CZ158" s="62">
        <f t="shared" si="127"/>
        <v>253.15422514195427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0.88849210935510381</v>
      </c>
      <c r="DG158" s="23">
        <f>EXP(-LN(2)/25)*DG157+(1-EXP(-LN(2)/25))/(LN(2)/25)*Calculateur!DB158*Calculateur!DD158*VLOOKUP('Données projet'!$B$9,Paramètres!$A$1:$I$88,3,0)*0.475*44/12</f>
        <v>0.16587840317736904</v>
      </c>
      <c r="DH158" s="23">
        <f>EXP(-LN(2)/2)*DH157+(1-EXP(-LN(2)/2))/(LN(2)/2)*DB158*DE158*VLOOKUP('Données projet'!$B$9,Paramètres!$A$1:$I$88,3,0)*0.475*44/12</f>
        <v>3.5819289178790412E-19</v>
      </c>
      <c r="DI158" s="24">
        <f t="shared" si="175"/>
        <v>1.0543705125324729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-5.6843418860808015E-14</v>
      </c>
      <c r="DP158" s="18">
        <f>DO158*VLOOKUP('Données projet'!$B$14,Paramètres!$A$1:$I$88,3,0)*VLOOKUP('Données projet'!$B$14,Paramètres!$A$1:$I$88,5,0)</f>
        <v>-4.5224624045658861E-14</v>
      </c>
      <c r="DQ158" s="14" t="e">
        <f t="shared" si="176"/>
        <v>#NUM!</v>
      </c>
      <c r="DR158" s="22" t="e">
        <f t="shared" si="177"/>
        <v>#NUM!</v>
      </c>
      <c r="DS158" s="62" t="e">
        <f t="shared" si="130"/>
        <v>#NUM!</v>
      </c>
      <c r="DT158" s="62">
        <f ca="1">AVERAGE(OFFSET($DS$3,0,0,'Données projet'!$E$14+1,1))-AVERAGE(OFFSET($H$3,0,0,'Données projet'!$E$14+1,1))</f>
        <v>290.20755061064017</v>
      </c>
      <c r="DU158" s="62">
        <f t="shared" si="131"/>
        <v>343.54750327717181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5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1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-1.1368683772161603E-13</v>
      </c>
      <c r="O159" s="14">
        <f>N159*VLOOKUP('Données projet'!$B$9,Paramètres!$A$1:$I$88,3,0)*VLOOKUP('Données projet'!$B$9,Paramètres!$A$1:$I$88,5,0)</f>
        <v>-5.3205440053716299E-14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300.03481708703549</v>
      </c>
      <c r="T159" s="62">
        <f t="shared" si="110"/>
        <v>102.6350860969182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-2.2737367544323206E-13</v>
      </c>
      <c r="AJ159" s="14">
        <f>AI159*VLOOKUP('Données projet'!$B$10,Paramètres!$A$1:$I$88,3,0)*VLOOKUP('Données projet'!$B$10,Paramètres!$A$1:$I$88,5,0)</f>
        <v>-1.2710188457276673E-13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328.27336939084597</v>
      </c>
      <c r="AO159" s="62">
        <f t="shared" si="115"/>
        <v>448.79354389108755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0.44492417269155182</v>
      </c>
      <c r="AV159" s="23">
        <f>EXP(-LN(2)/25)*AV158+(1-EXP(-LN(2)/25))/(LN(2)/25)*Calculateur!AQ159*Calculateur!AS159*VLOOKUP('Données projet'!$B$9,Paramètres!$A$1:$I$88,3,0)*0.475*44/12</f>
        <v>0.41832891815923168</v>
      </c>
      <c r="AW159" s="23">
        <f>EXP(-LN(2)/2)*AW158+(1-EXP(-LN(2)/2))/(LN(2)/2)*AQ159*AT159*VLOOKUP('Données projet'!$B$9,Paramètres!$A$1:$I$88,3,0)*0.475*44/12</f>
        <v>1.5794321086277548E-18</v>
      </c>
      <c r="AX159" s="23">
        <f t="shared" si="166"/>
        <v>0.8632530908507835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-2.2737367544323206E-13</v>
      </c>
      <c r="BE159" s="14">
        <f>BD159*VLOOKUP('Données projet'!$B$11,Paramètres!$A$1:$I$88,3,0)*VLOOKUP('Données projet'!$B$11,Paramètres!$A$1:$I$88,5,0)</f>
        <v>-1.9863364286720756E-13</v>
      </c>
      <c r="BF159" s="14" t="e">
        <f t="shared" si="167"/>
        <v>#NUM!</v>
      </c>
      <c r="BG159" s="22" t="e">
        <f t="shared" si="168"/>
        <v>#NUM!</v>
      </c>
      <c r="BH159" s="62" t="e">
        <f t="shared" si="118"/>
        <v>#NUM!</v>
      </c>
      <c r="BI159" s="62">
        <f ca="1">AVERAGE(OFFSET($BH$3,0,0,'Données projet'!$E$11+1,1))-AVERAGE(OFFSET($H$3,0,0,'Données projet'!$E$11+1,1))</f>
        <v>348.65374983303883</v>
      </c>
      <c r="BJ159" s="62">
        <f t="shared" si="119"/>
        <v>312.05848669315151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-5.6843418860808015E-14</v>
      </c>
      <c r="BZ159" s="14">
        <f>BY159*VLOOKUP('Données projet'!$B$12,Paramètres!$A$1:$I$88,3,0)*VLOOKUP('Données projet'!$B$12,Paramètres!$A$1:$I$88,5,0)</f>
        <v>-4.1677594708744434E-14</v>
      </c>
      <c r="CA159" s="14" t="e">
        <f t="shared" si="170"/>
        <v>#NUM!</v>
      </c>
      <c r="CB159" s="22" t="e">
        <f t="shared" si="171"/>
        <v>#NUM!</v>
      </c>
      <c r="CC159" s="62" t="e">
        <f t="shared" si="122"/>
        <v>#NUM!</v>
      </c>
      <c r="CD159" s="62">
        <f ca="1">AVERAGE(OFFSET($CC$3,0,0,'Données projet'!$E$12+1,1))-AVERAGE(OFFSET($H$3,0,0,'Données projet'!$E$12+1,1))</f>
        <v>264.06656596707364</v>
      </c>
      <c r="CE159" s="62">
        <f t="shared" si="123"/>
        <v>315.34415130230195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5.6843418860808015E-14</v>
      </c>
      <c r="CU159" s="18">
        <f>CT159*VLOOKUP('Données projet'!$B$13,Paramètres!$A$1:$I$88,3,0)*VLOOKUP('Données projet'!$B$13,Paramètres!$A$1:$I$88,5,0)</f>
        <v>3.3992364478763198E-14</v>
      </c>
      <c r="CV159" s="14">
        <f t="shared" si="173"/>
        <v>5.790027782444094E-13</v>
      </c>
      <c r="CW159" s="22">
        <f t="shared" si="174"/>
        <v>1.0676332069095257E-12</v>
      </c>
      <c r="CX159" s="62">
        <f t="shared" si="126"/>
        <v>293.33333333333439</v>
      </c>
      <c r="CY159" s="62">
        <f ca="1">AVERAGE(OFFSET($CX$3,0,0,'Données projet'!$E$13+1,1))-AVERAGE(OFFSET($H$3,0,0,'Données projet'!$E$13+1,1))</f>
        <v>162.29089122912319</v>
      </c>
      <c r="CZ159" s="62">
        <f t="shared" si="127"/>
        <v>253.15422514195427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0.87106932101732615</v>
      </c>
      <c r="DG159" s="23">
        <f>EXP(-LN(2)/25)*DG158+(1-EXP(-LN(2)/25))/(LN(2)/25)*Calculateur!DB159*Calculateur!DD159*VLOOKUP('Données projet'!$B$9,Paramètres!$A$1:$I$88,3,0)*0.475*44/12</f>
        <v>0.16134244951931778</v>
      </c>
      <c r="DH159" s="23">
        <f>EXP(-LN(2)/2)*DH158+(1-EXP(-LN(2)/2))/(LN(2)/2)*DB159*DE159*VLOOKUP('Données projet'!$B$9,Paramètres!$A$1:$I$88,3,0)*0.475*44/12</f>
        <v>2.5328062275604621E-19</v>
      </c>
      <c r="DI159" s="24">
        <f t="shared" si="175"/>
        <v>1.032411770536644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-5.6843418860808015E-14</v>
      </c>
      <c r="DP159" s="18">
        <f>DO159*VLOOKUP('Données projet'!$B$14,Paramètres!$A$1:$I$88,3,0)*VLOOKUP('Données projet'!$B$14,Paramètres!$A$1:$I$88,5,0)</f>
        <v>-4.5224624045658861E-14</v>
      </c>
      <c r="DQ159" s="14" t="e">
        <f t="shared" si="176"/>
        <v>#NUM!</v>
      </c>
      <c r="DR159" s="22" t="e">
        <f t="shared" si="177"/>
        <v>#NUM!</v>
      </c>
      <c r="DS159" s="62" t="e">
        <f t="shared" si="130"/>
        <v>#NUM!</v>
      </c>
      <c r="DT159" s="62">
        <f ca="1">AVERAGE(OFFSET($DS$3,0,0,'Données projet'!$E$14+1,1))-AVERAGE(OFFSET($H$3,0,0,'Données projet'!$E$14+1,1))</f>
        <v>290.20755061064017</v>
      </c>
      <c r="DU159" s="62">
        <f t="shared" si="131"/>
        <v>343.54750327717181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5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1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-1.1368683772161603E-13</v>
      </c>
      <c r="O160" s="14">
        <f>N160*VLOOKUP('Données projet'!$B$9,Paramètres!$A$1:$I$88,3,0)*VLOOKUP('Données projet'!$B$9,Paramètres!$A$1:$I$88,5,0)</f>
        <v>-5.3205440053716299E-14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300.03481708703549</v>
      </c>
      <c r="T160" s="62">
        <f t="shared" si="110"/>
        <v>102.6350860969182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-2.2737367544323206E-13</v>
      </c>
      <c r="AJ160" s="14">
        <f>AI160*VLOOKUP('Données projet'!$B$10,Paramètres!$A$1:$I$88,3,0)*VLOOKUP('Données projet'!$B$10,Paramètres!$A$1:$I$88,5,0)</f>
        <v>-1.2710188457276673E-13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328.27336939084597</v>
      </c>
      <c r="AO160" s="62">
        <f t="shared" si="115"/>
        <v>448.79354389108755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0.43619948104201961</v>
      </c>
      <c r="AV160" s="23">
        <f>EXP(-LN(2)/25)*AV159+(1-EXP(-LN(2)/25))/(LN(2)/25)*Calculateur!AQ160*Calculateur!AS160*VLOOKUP('Données projet'!$B$9,Paramètres!$A$1:$I$88,3,0)*0.475*44/12</f>
        <v>0.40688969189320578</v>
      </c>
      <c r="AW160" s="23">
        <f>EXP(-LN(2)/2)*AW159+(1-EXP(-LN(2)/2))/(LN(2)/2)*AQ160*AT160*VLOOKUP('Données projet'!$B$9,Paramètres!$A$1:$I$88,3,0)*0.475*44/12</f>
        <v>1.1168271544344532E-18</v>
      </c>
      <c r="AX160" s="23">
        <f t="shared" si="166"/>
        <v>0.84308917293522545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-2.2737367544323206E-13</v>
      </c>
      <c r="BE160" s="14">
        <f>BD160*VLOOKUP('Données projet'!$B$11,Paramètres!$A$1:$I$88,3,0)*VLOOKUP('Données projet'!$B$11,Paramètres!$A$1:$I$88,5,0)</f>
        <v>-1.9863364286720756E-13</v>
      </c>
      <c r="BF160" s="14" t="e">
        <f t="shared" si="167"/>
        <v>#NUM!</v>
      </c>
      <c r="BG160" s="22" t="e">
        <f t="shared" si="168"/>
        <v>#NUM!</v>
      </c>
      <c r="BH160" s="62" t="e">
        <f t="shared" si="118"/>
        <v>#NUM!</v>
      </c>
      <c r="BI160" s="62">
        <f ca="1">AVERAGE(OFFSET($BH$3,0,0,'Données projet'!$E$11+1,1))-AVERAGE(OFFSET($H$3,0,0,'Données projet'!$E$11+1,1))</f>
        <v>348.65374983303883</v>
      </c>
      <c r="BJ160" s="62">
        <f t="shared" si="119"/>
        <v>312.05848669315151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-5.6843418860808015E-14</v>
      </c>
      <c r="BZ160" s="14">
        <f>BY160*VLOOKUP('Données projet'!$B$12,Paramètres!$A$1:$I$88,3,0)*VLOOKUP('Données projet'!$B$12,Paramètres!$A$1:$I$88,5,0)</f>
        <v>-4.1677594708744434E-14</v>
      </c>
      <c r="CA160" s="14" t="e">
        <f t="shared" si="170"/>
        <v>#NUM!</v>
      </c>
      <c r="CB160" s="22" t="e">
        <f t="shared" si="171"/>
        <v>#NUM!</v>
      </c>
      <c r="CC160" s="62" t="e">
        <f t="shared" si="122"/>
        <v>#NUM!</v>
      </c>
      <c r="CD160" s="62">
        <f ca="1">AVERAGE(OFFSET($CC$3,0,0,'Données projet'!$E$12+1,1))-AVERAGE(OFFSET($H$3,0,0,'Données projet'!$E$12+1,1))</f>
        <v>264.06656596707364</v>
      </c>
      <c r="CE160" s="62">
        <f t="shared" si="123"/>
        <v>315.34415130230195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5.6843418860808015E-14</v>
      </c>
      <c r="CU160" s="18">
        <f>CT160*VLOOKUP('Données projet'!$B$13,Paramètres!$A$1:$I$88,3,0)*VLOOKUP('Données projet'!$B$13,Paramètres!$A$1:$I$88,5,0)</f>
        <v>3.3992364478763198E-14</v>
      </c>
      <c r="CV160" s="14">
        <f t="shared" si="173"/>
        <v>5.790027782444094E-13</v>
      </c>
      <c r="CW160" s="22">
        <f t="shared" si="174"/>
        <v>1.0676332069095257E-12</v>
      </c>
      <c r="CX160" s="62">
        <f t="shared" si="126"/>
        <v>293.33333333333439</v>
      </c>
      <c r="CY160" s="62">
        <f ca="1">AVERAGE(OFFSET($CX$3,0,0,'Données projet'!$E$13+1,1))-AVERAGE(OFFSET($H$3,0,0,'Données projet'!$E$13+1,1))</f>
        <v>162.29089122912319</v>
      </c>
      <c r="CZ160" s="62">
        <f t="shared" si="127"/>
        <v>253.15422514195427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0.85398818293200074</v>
      </c>
      <c r="DG160" s="23">
        <f>EXP(-LN(2)/25)*DG159+(1-EXP(-LN(2)/25))/(LN(2)/25)*Calculateur!DB160*Calculateur!DD160*VLOOKUP('Données projet'!$B$9,Paramètres!$A$1:$I$88,3,0)*0.475*44/12</f>
        <v>0.15693053175258137</v>
      </c>
      <c r="DH160" s="23">
        <f>EXP(-LN(2)/2)*DH159+(1-EXP(-LN(2)/2))/(LN(2)/2)*DB160*DE160*VLOOKUP('Données projet'!$B$9,Paramètres!$A$1:$I$88,3,0)*0.475*44/12</f>
        <v>1.7909644589395206E-19</v>
      </c>
      <c r="DI160" s="24">
        <f t="shared" si="175"/>
        <v>1.0109187146845822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-5.6843418860808015E-14</v>
      </c>
      <c r="DP160" s="18">
        <f>DO160*VLOOKUP('Données projet'!$B$14,Paramètres!$A$1:$I$88,3,0)*VLOOKUP('Données projet'!$B$14,Paramètres!$A$1:$I$88,5,0)</f>
        <v>-4.5224624045658861E-14</v>
      </c>
      <c r="DQ160" s="14" t="e">
        <f t="shared" si="176"/>
        <v>#NUM!</v>
      </c>
      <c r="DR160" s="22" t="e">
        <f t="shared" si="177"/>
        <v>#NUM!</v>
      </c>
      <c r="DS160" s="62" t="e">
        <f t="shared" si="130"/>
        <v>#NUM!</v>
      </c>
      <c r="DT160" s="62">
        <f ca="1">AVERAGE(OFFSET($DS$3,0,0,'Données projet'!$E$14+1,1))-AVERAGE(OFFSET($H$3,0,0,'Données projet'!$E$14+1,1))</f>
        <v>290.20755061064017</v>
      </c>
      <c r="DU160" s="62">
        <f t="shared" si="131"/>
        <v>343.54750327717181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5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1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-1.1368683772161603E-13</v>
      </c>
      <c r="O161" s="14">
        <f>N161*VLOOKUP('Données projet'!$B$9,Paramètres!$A$1:$I$88,3,0)*VLOOKUP('Données projet'!$B$9,Paramètres!$A$1:$I$88,5,0)</f>
        <v>-5.3205440053716299E-14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300.03481708703549</v>
      </c>
      <c r="T161" s="62">
        <f t="shared" si="110"/>
        <v>102.6350860969182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-2.2737367544323206E-13</v>
      </c>
      <c r="AJ161" s="14">
        <f>AI161*VLOOKUP('Données projet'!$B$10,Paramètres!$A$1:$I$88,3,0)*VLOOKUP('Données projet'!$B$10,Paramètres!$A$1:$I$88,5,0)</f>
        <v>-1.2710188457276673E-13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328.27336939084597</v>
      </c>
      <c r="AO161" s="62">
        <f t="shared" si="115"/>
        <v>448.79354389108755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0.42764587527419823</v>
      </c>
      <c r="AV161" s="23">
        <f>EXP(-LN(2)/25)*AV160+(1-EXP(-LN(2)/25))/(LN(2)/25)*Calculateur!AQ161*Calculateur!AS161*VLOOKUP('Données projet'!$B$9,Paramètres!$A$1:$I$88,3,0)*0.475*44/12</f>
        <v>0.39576327187098714</v>
      </c>
      <c r="AW161" s="23">
        <f>EXP(-LN(2)/2)*AW160+(1-EXP(-LN(2)/2))/(LN(2)/2)*AQ161*AT161*VLOOKUP('Données projet'!$B$9,Paramètres!$A$1:$I$88,3,0)*0.475*44/12</f>
        <v>7.8971605431387741E-19</v>
      </c>
      <c r="AX161" s="23">
        <f t="shared" si="166"/>
        <v>0.82340914714518543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-2.2737367544323206E-13</v>
      </c>
      <c r="BE161" s="14">
        <f>BD161*VLOOKUP('Données projet'!$B$11,Paramètres!$A$1:$I$88,3,0)*VLOOKUP('Données projet'!$B$11,Paramètres!$A$1:$I$88,5,0)</f>
        <v>-1.9863364286720756E-13</v>
      </c>
      <c r="BF161" s="14" t="e">
        <f t="shared" si="167"/>
        <v>#NUM!</v>
      </c>
      <c r="BG161" s="22" t="e">
        <f t="shared" si="168"/>
        <v>#NUM!</v>
      </c>
      <c r="BH161" s="62" t="e">
        <f t="shared" si="118"/>
        <v>#NUM!</v>
      </c>
      <c r="BI161" s="62">
        <f ca="1">AVERAGE(OFFSET($BH$3,0,0,'Données projet'!$E$11+1,1))-AVERAGE(OFFSET($H$3,0,0,'Données projet'!$E$11+1,1))</f>
        <v>348.65374983303883</v>
      </c>
      <c r="BJ161" s="62">
        <f t="shared" si="119"/>
        <v>312.05848669315151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-5.6843418860808015E-14</v>
      </c>
      <c r="BZ161" s="14">
        <f>BY161*VLOOKUP('Données projet'!$B$12,Paramètres!$A$1:$I$88,3,0)*VLOOKUP('Données projet'!$B$12,Paramètres!$A$1:$I$88,5,0)</f>
        <v>-4.1677594708744434E-14</v>
      </c>
      <c r="CA161" s="14" t="e">
        <f t="shared" si="170"/>
        <v>#NUM!</v>
      </c>
      <c r="CB161" s="22" t="e">
        <f t="shared" si="171"/>
        <v>#NUM!</v>
      </c>
      <c r="CC161" s="62" t="e">
        <f t="shared" si="122"/>
        <v>#NUM!</v>
      </c>
      <c r="CD161" s="62">
        <f ca="1">AVERAGE(OFFSET($CC$3,0,0,'Données projet'!$E$12+1,1))-AVERAGE(OFFSET($H$3,0,0,'Données projet'!$E$12+1,1))</f>
        <v>264.06656596707364</v>
      </c>
      <c r="CE161" s="62">
        <f t="shared" si="123"/>
        <v>315.34415130230195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5.6843418860808015E-14</v>
      </c>
      <c r="CU161" s="18">
        <f>CT161*VLOOKUP('Données projet'!$B$13,Paramètres!$A$1:$I$88,3,0)*VLOOKUP('Données projet'!$B$13,Paramètres!$A$1:$I$88,5,0)</f>
        <v>3.3992364478763198E-14</v>
      </c>
      <c r="CV161" s="14">
        <f t="shared" si="173"/>
        <v>5.790027782444094E-13</v>
      </c>
      <c r="CW161" s="22">
        <f t="shared" si="174"/>
        <v>1.0676332069095257E-12</v>
      </c>
      <c r="CX161" s="62">
        <f t="shared" si="126"/>
        <v>293.33333333333439</v>
      </c>
      <c r="CY161" s="62">
        <f ca="1">AVERAGE(OFFSET($CX$3,0,0,'Données projet'!$E$13+1,1))-AVERAGE(OFFSET($H$3,0,0,'Données projet'!$E$13+1,1))</f>
        <v>162.29089122912319</v>
      </c>
      <c r="CZ161" s="62">
        <f t="shared" si="127"/>
        <v>253.15422514195427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0.83724199554606304</v>
      </c>
      <c r="DG161" s="23">
        <f>EXP(-LN(2)/25)*DG160+(1-EXP(-LN(2)/25))/(LN(2)/25)*Calculateur!DB161*Calculateur!DD161*VLOOKUP('Données projet'!$B$9,Paramètres!$A$1:$I$88,3,0)*0.475*44/12</f>
        <v>0.15263925810918905</v>
      </c>
      <c r="DH161" s="23">
        <f>EXP(-LN(2)/2)*DH160+(1-EXP(-LN(2)/2))/(LN(2)/2)*DB161*DE161*VLOOKUP('Données projet'!$B$9,Paramètres!$A$1:$I$88,3,0)*0.475*44/12</f>
        <v>1.266403113780231E-19</v>
      </c>
      <c r="DI161" s="24">
        <f t="shared" si="175"/>
        <v>0.98988125365525215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-5.6843418860808015E-14</v>
      </c>
      <c r="DP161" s="18">
        <f>DO161*VLOOKUP('Données projet'!$B$14,Paramètres!$A$1:$I$88,3,0)*VLOOKUP('Données projet'!$B$14,Paramètres!$A$1:$I$88,5,0)</f>
        <v>-4.5224624045658861E-14</v>
      </c>
      <c r="DQ161" s="14" t="e">
        <f t="shared" si="176"/>
        <v>#NUM!</v>
      </c>
      <c r="DR161" s="22" t="e">
        <f t="shared" si="177"/>
        <v>#NUM!</v>
      </c>
      <c r="DS161" s="62" t="e">
        <f t="shared" si="130"/>
        <v>#NUM!</v>
      </c>
      <c r="DT161" s="62">
        <f ca="1">AVERAGE(OFFSET($DS$3,0,0,'Données projet'!$E$14+1,1))-AVERAGE(OFFSET($H$3,0,0,'Données projet'!$E$14+1,1))</f>
        <v>290.20755061064017</v>
      </c>
      <c r="DU161" s="62">
        <f t="shared" si="131"/>
        <v>343.54750327717181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5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1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-1.1368683772161603E-13</v>
      </c>
      <c r="O162" s="14">
        <f>N162*VLOOKUP('Données projet'!$B$9,Paramètres!$A$1:$I$88,3,0)*VLOOKUP('Données projet'!$B$9,Paramètres!$A$1:$I$88,5,0)</f>
        <v>-5.3205440053716299E-14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300.03481708703549</v>
      </c>
      <c r="T162" s="62">
        <f t="shared" si="110"/>
        <v>102.6350860969182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-2.2737367544323206E-13</v>
      </c>
      <c r="AJ162" s="14">
        <f>AI162*VLOOKUP('Données projet'!$B$10,Paramètres!$A$1:$I$88,3,0)*VLOOKUP('Données projet'!$B$10,Paramètres!$A$1:$I$88,5,0)</f>
        <v>-1.2710188457276673E-13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328.27336939084597</v>
      </c>
      <c r="AO162" s="62">
        <f t="shared" si="115"/>
        <v>448.79354389108755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0.41926000049829948</v>
      </c>
      <c r="AV162" s="23">
        <f>EXP(-LN(2)/25)*AV161+(1-EXP(-LN(2)/25))/(LN(2)/25)*Calculateur!AQ162*Calculateur!AS162*VLOOKUP('Données projet'!$B$9,Paramètres!$A$1:$I$88,3,0)*0.475*44/12</f>
        <v>0.38494110438938905</v>
      </c>
      <c r="AW162" s="23">
        <f>EXP(-LN(2)/2)*AW161+(1-EXP(-LN(2)/2))/(LN(2)/2)*AQ162*AT162*VLOOKUP('Données projet'!$B$9,Paramètres!$A$1:$I$88,3,0)*0.475*44/12</f>
        <v>5.5841357721722659E-19</v>
      </c>
      <c r="AX162" s="23">
        <f t="shared" si="166"/>
        <v>0.80420110488768848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-2.2737367544323206E-13</v>
      </c>
      <c r="BE162" s="14">
        <f>BD162*VLOOKUP('Données projet'!$B$11,Paramètres!$A$1:$I$88,3,0)*VLOOKUP('Données projet'!$B$11,Paramètres!$A$1:$I$88,5,0)</f>
        <v>-1.9863364286720756E-13</v>
      </c>
      <c r="BF162" s="14" t="e">
        <f t="shared" si="167"/>
        <v>#NUM!</v>
      </c>
      <c r="BG162" s="22" t="e">
        <f t="shared" si="168"/>
        <v>#NUM!</v>
      </c>
      <c r="BH162" s="62" t="e">
        <f t="shared" si="118"/>
        <v>#NUM!</v>
      </c>
      <c r="BI162" s="62">
        <f ca="1">AVERAGE(OFFSET($BH$3,0,0,'Données projet'!$E$11+1,1))-AVERAGE(OFFSET($H$3,0,0,'Données projet'!$E$11+1,1))</f>
        <v>348.65374983303883</v>
      </c>
      <c r="BJ162" s="62">
        <f t="shared" si="119"/>
        <v>312.05848669315151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-5.6843418860808015E-14</v>
      </c>
      <c r="BZ162" s="14">
        <f>BY162*VLOOKUP('Données projet'!$B$12,Paramètres!$A$1:$I$88,3,0)*VLOOKUP('Données projet'!$B$12,Paramètres!$A$1:$I$88,5,0)</f>
        <v>-4.1677594708744434E-14</v>
      </c>
      <c r="CA162" s="14" t="e">
        <f t="shared" si="170"/>
        <v>#NUM!</v>
      </c>
      <c r="CB162" s="22" t="e">
        <f t="shared" si="171"/>
        <v>#NUM!</v>
      </c>
      <c r="CC162" s="62" t="e">
        <f t="shared" si="122"/>
        <v>#NUM!</v>
      </c>
      <c r="CD162" s="62">
        <f ca="1">AVERAGE(OFFSET($CC$3,0,0,'Données projet'!$E$12+1,1))-AVERAGE(OFFSET($H$3,0,0,'Données projet'!$E$12+1,1))</f>
        <v>264.06656596707364</v>
      </c>
      <c r="CE162" s="62">
        <f t="shared" si="123"/>
        <v>315.34415130230195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5.6843418860808015E-14</v>
      </c>
      <c r="CU162" s="18">
        <f>CT162*VLOOKUP('Données projet'!$B$13,Paramètres!$A$1:$I$88,3,0)*VLOOKUP('Données projet'!$B$13,Paramètres!$A$1:$I$88,5,0)</f>
        <v>3.3992364478763198E-14</v>
      </c>
      <c r="CV162" s="14">
        <f t="shared" si="173"/>
        <v>5.790027782444094E-13</v>
      </c>
      <c r="CW162" s="22">
        <f t="shared" si="174"/>
        <v>1.0676332069095257E-12</v>
      </c>
      <c r="CX162" s="62">
        <f t="shared" si="126"/>
        <v>293.33333333333439</v>
      </c>
      <c r="CY162" s="62">
        <f ca="1">AVERAGE(OFFSET($CX$3,0,0,'Données projet'!$E$13+1,1))-AVERAGE(OFFSET($H$3,0,0,'Données projet'!$E$13+1,1))</f>
        <v>162.29089122912319</v>
      </c>
      <c r="CZ162" s="62">
        <f t="shared" si="127"/>
        <v>253.15422514195427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0.82082419068059786</v>
      </c>
      <c r="DG162" s="23">
        <f>EXP(-LN(2)/25)*DG161+(1-EXP(-LN(2)/25))/(LN(2)/25)*Calculateur!DB162*Calculateur!DD162*VLOOKUP('Données projet'!$B$9,Paramètres!$A$1:$I$88,3,0)*0.475*44/12</f>
        <v>0.14846532956924355</v>
      </c>
      <c r="DH162" s="23">
        <f>EXP(-LN(2)/2)*DH161+(1-EXP(-LN(2)/2))/(LN(2)/2)*DB162*DE162*VLOOKUP('Données projet'!$B$9,Paramètres!$A$1:$I$88,3,0)*0.475*44/12</f>
        <v>8.9548222946976029E-20</v>
      </c>
      <c r="DI162" s="24">
        <f t="shared" si="175"/>
        <v>0.96928952024984139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-5.6843418860808015E-14</v>
      </c>
      <c r="DP162" s="18">
        <f>DO162*VLOOKUP('Données projet'!$B$14,Paramètres!$A$1:$I$88,3,0)*VLOOKUP('Données projet'!$B$14,Paramètres!$A$1:$I$88,5,0)</f>
        <v>-4.5224624045658861E-14</v>
      </c>
      <c r="DQ162" s="14" t="e">
        <f t="shared" si="176"/>
        <v>#NUM!</v>
      </c>
      <c r="DR162" s="22" t="e">
        <f t="shared" si="177"/>
        <v>#NUM!</v>
      </c>
      <c r="DS162" s="62" t="e">
        <f t="shared" si="130"/>
        <v>#NUM!</v>
      </c>
      <c r="DT162" s="62">
        <f ca="1">AVERAGE(OFFSET($DS$3,0,0,'Données projet'!$E$14+1,1))-AVERAGE(OFFSET($H$3,0,0,'Données projet'!$E$14+1,1))</f>
        <v>290.20755061064017</v>
      </c>
      <c r="DU162" s="62">
        <f t="shared" si="131"/>
        <v>343.54750327717181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5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1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-1.1368683772161603E-13</v>
      </c>
      <c r="O163" s="14">
        <f>N163*VLOOKUP('Données projet'!$B$9,Paramètres!$A$1:$I$88,3,0)*VLOOKUP('Données projet'!$B$9,Paramètres!$A$1:$I$88,5,0)</f>
        <v>-5.3205440053716299E-14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300.03481708703549</v>
      </c>
      <c r="T163" s="62">
        <f t="shared" si="110"/>
        <v>102.6350860969182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-2.2737367544323206E-13</v>
      </c>
      <c r="AJ163" s="14">
        <f>AI163*VLOOKUP('Données projet'!$B$10,Paramètres!$A$1:$I$88,3,0)*VLOOKUP('Données projet'!$B$10,Paramètres!$A$1:$I$88,5,0)</f>
        <v>-1.2710188457276673E-13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328.27336939084597</v>
      </c>
      <c r="AO163" s="62">
        <f t="shared" si="115"/>
        <v>448.79354389108755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0.41103856761187757</v>
      </c>
      <c r="AV163" s="23">
        <f>EXP(-LN(2)/25)*AV162+(1-EXP(-LN(2)/25))/(LN(2)/25)*Calculateur!AQ163*Calculateur!AS163*VLOOKUP('Données projet'!$B$9,Paramètres!$A$1:$I$88,3,0)*0.475*44/12</f>
        <v>0.37441486964668835</v>
      </c>
      <c r="AW163" s="23">
        <f>EXP(-LN(2)/2)*AW162+(1-EXP(-LN(2)/2))/(LN(2)/2)*AQ163*AT163*VLOOKUP('Données projet'!$B$9,Paramètres!$A$1:$I$88,3,0)*0.475*44/12</f>
        <v>3.9485802715693871E-19</v>
      </c>
      <c r="AX163" s="23">
        <f t="shared" si="166"/>
        <v>0.78545343725856598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-2.2737367544323206E-13</v>
      </c>
      <c r="BE163" s="14">
        <f>BD163*VLOOKUP('Données projet'!$B$11,Paramètres!$A$1:$I$88,3,0)*VLOOKUP('Données projet'!$B$11,Paramètres!$A$1:$I$88,5,0)</f>
        <v>-1.9863364286720756E-13</v>
      </c>
      <c r="BF163" s="14" t="e">
        <f t="shared" si="167"/>
        <v>#NUM!</v>
      </c>
      <c r="BG163" s="22" t="e">
        <f t="shared" si="168"/>
        <v>#NUM!</v>
      </c>
      <c r="BH163" s="62" t="e">
        <f t="shared" si="118"/>
        <v>#NUM!</v>
      </c>
      <c r="BI163" s="62">
        <f ca="1">AVERAGE(OFFSET($BH$3,0,0,'Données projet'!$E$11+1,1))-AVERAGE(OFFSET($H$3,0,0,'Données projet'!$E$11+1,1))</f>
        <v>348.65374983303883</v>
      </c>
      <c r="BJ163" s="62">
        <f t="shared" si="119"/>
        <v>312.05848669315151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-5.6843418860808015E-14</v>
      </c>
      <c r="BZ163" s="14">
        <f>BY163*VLOOKUP('Données projet'!$B$12,Paramètres!$A$1:$I$88,3,0)*VLOOKUP('Données projet'!$B$12,Paramètres!$A$1:$I$88,5,0)</f>
        <v>-4.1677594708744434E-14</v>
      </c>
      <c r="CA163" s="14" t="e">
        <f t="shared" si="170"/>
        <v>#NUM!</v>
      </c>
      <c r="CB163" s="22" t="e">
        <f t="shared" si="171"/>
        <v>#NUM!</v>
      </c>
      <c r="CC163" s="62" t="e">
        <f t="shared" si="122"/>
        <v>#NUM!</v>
      </c>
      <c r="CD163" s="62">
        <f ca="1">AVERAGE(OFFSET($CC$3,0,0,'Données projet'!$E$12+1,1))-AVERAGE(OFFSET($H$3,0,0,'Données projet'!$E$12+1,1))</f>
        <v>264.06656596707364</v>
      </c>
      <c r="CE163" s="62">
        <f t="shared" si="123"/>
        <v>315.34415130230195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5.6843418860808015E-14</v>
      </c>
      <c r="CU163" s="18">
        <f>CT163*VLOOKUP('Données projet'!$B$13,Paramètres!$A$1:$I$88,3,0)*VLOOKUP('Données projet'!$B$13,Paramètres!$A$1:$I$88,5,0)</f>
        <v>3.3992364478763198E-14</v>
      </c>
      <c r="CV163" s="14">
        <f t="shared" si="173"/>
        <v>5.790027782444094E-13</v>
      </c>
      <c r="CW163" s="22">
        <f t="shared" si="174"/>
        <v>1.0676332069095257E-12</v>
      </c>
      <c r="CX163" s="62">
        <f t="shared" si="126"/>
        <v>293.33333333333439</v>
      </c>
      <c r="CY163" s="62">
        <f ca="1">AVERAGE(OFFSET($CX$3,0,0,'Données projet'!$E$13+1,1))-AVERAGE(OFFSET($H$3,0,0,'Données projet'!$E$13+1,1))</f>
        <v>162.29089122912319</v>
      </c>
      <c r="CZ163" s="62">
        <f t="shared" si="127"/>
        <v>253.15422514195427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0.80472832895467228</v>
      </c>
      <c r="DG163" s="23">
        <f>EXP(-LN(2)/25)*DG162+(1-EXP(-LN(2)/25))/(LN(2)/25)*Calculateur!DB163*Calculateur!DD163*VLOOKUP('Données projet'!$B$9,Paramètres!$A$1:$I$88,3,0)*0.475*44/12</f>
        <v>0.14440553732472022</v>
      </c>
      <c r="DH163" s="23">
        <f>EXP(-LN(2)/2)*DH162+(1-EXP(-LN(2)/2))/(LN(2)/2)*DB163*DE163*VLOOKUP('Données projet'!$B$9,Paramètres!$A$1:$I$88,3,0)*0.475*44/12</f>
        <v>6.3320155689011552E-20</v>
      </c>
      <c r="DI163" s="24">
        <f t="shared" si="175"/>
        <v>0.94913386627939245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-5.6843418860808015E-14</v>
      </c>
      <c r="DP163" s="18">
        <f>DO163*VLOOKUP('Données projet'!$B$14,Paramètres!$A$1:$I$88,3,0)*VLOOKUP('Données projet'!$B$14,Paramètres!$A$1:$I$88,5,0)</f>
        <v>-4.5224624045658861E-14</v>
      </c>
      <c r="DQ163" s="14" t="e">
        <f t="shared" si="176"/>
        <v>#NUM!</v>
      </c>
      <c r="DR163" s="22" t="e">
        <f t="shared" si="177"/>
        <v>#NUM!</v>
      </c>
      <c r="DS163" s="62" t="e">
        <f t="shared" si="130"/>
        <v>#NUM!</v>
      </c>
      <c r="DT163" s="62">
        <f ca="1">AVERAGE(OFFSET($DS$3,0,0,'Données projet'!$E$14+1,1))-AVERAGE(OFFSET($H$3,0,0,'Données projet'!$E$14+1,1))</f>
        <v>290.20755061064017</v>
      </c>
      <c r="DU163" s="62">
        <f t="shared" si="131"/>
        <v>343.54750327717181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5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1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-1.1368683772161603E-13</v>
      </c>
      <c r="O164" s="14">
        <f>N164*VLOOKUP('Données projet'!$B$9,Paramètres!$A$1:$I$88,3,0)*VLOOKUP('Données projet'!$B$9,Paramètres!$A$1:$I$88,5,0)</f>
        <v>-5.3205440053716299E-14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300.03481708703549</v>
      </c>
      <c r="T164" s="62">
        <f t="shared" si="110"/>
        <v>102.6350860969182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-2.2737367544323206E-13</v>
      </c>
      <c r="AJ164" s="14">
        <f>AI164*VLOOKUP('Données projet'!$B$10,Paramètres!$A$1:$I$88,3,0)*VLOOKUP('Données projet'!$B$10,Paramètres!$A$1:$I$88,5,0)</f>
        <v>-1.2710188457276673E-13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328.27336939084597</v>
      </c>
      <c r="AO164" s="62">
        <f t="shared" si="115"/>
        <v>448.79354389108755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0.40297835200977944</v>
      </c>
      <c r="AV164" s="23">
        <f>EXP(-LN(2)/25)*AV163+(1-EXP(-LN(2)/25))/(LN(2)/25)*Calculateur!AQ164*Calculateur!AS164*VLOOKUP('Données projet'!$B$9,Paramètres!$A$1:$I$88,3,0)*0.475*44/12</f>
        <v>0.36417647534657738</v>
      </c>
      <c r="AW164" s="23">
        <f>EXP(-LN(2)/2)*AW163+(1-EXP(-LN(2)/2))/(LN(2)/2)*AQ164*AT164*VLOOKUP('Données projet'!$B$9,Paramètres!$A$1:$I$88,3,0)*0.475*44/12</f>
        <v>2.7920678860861329E-19</v>
      </c>
      <c r="AX164" s="23">
        <f t="shared" si="166"/>
        <v>0.76715482735635687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-2.2737367544323206E-13</v>
      </c>
      <c r="BE164" s="14">
        <f>BD164*VLOOKUP('Données projet'!$B$11,Paramètres!$A$1:$I$88,3,0)*VLOOKUP('Données projet'!$B$11,Paramètres!$A$1:$I$88,5,0)</f>
        <v>-1.9863364286720756E-13</v>
      </c>
      <c r="BF164" s="14" t="e">
        <f t="shared" si="167"/>
        <v>#NUM!</v>
      </c>
      <c r="BG164" s="22" t="e">
        <f t="shared" si="168"/>
        <v>#NUM!</v>
      </c>
      <c r="BH164" s="62" t="e">
        <f t="shared" si="118"/>
        <v>#NUM!</v>
      </c>
      <c r="BI164" s="62">
        <f ca="1">AVERAGE(OFFSET($BH$3,0,0,'Données projet'!$E$11+1,1))-AVERAGE(OFFSET($H$3,0,0,'Données projet'!$E$11+1,1))</f>
        <v>348.65374983303883</v>
      </c>
      <c r="BJ164" s="62">
        <f t="shared" si="119"/>
        <v>312.05848669315151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-5.6843418860808015E-14</v>
      </c>
      <c r="BZ164" s="14">
        <f>BY164*VLOOKUP('Données projet'!$B$12,Paramètres!$A$1:$I$88,3,0)*VLOOKUP('Données projet'!$B$12,Paramètres!$A$1:$I$88,5,0)</f>
        <v>-4.1677594708744434E-14</v>
      </c>
      <c r="CA164" s="14" t="e">
        <f t="shared" si="170"/>
        <v>#NUM!</v>
      </c>
      <c r="CB164" s="22" t="e">
        <f t="shared" si="171"/>
        <v>#NUM!</v>
      </c>
      <c r="CC164" s="62" t="e">
        <f t="shared" si="122"/>
        <v>#NUM!</v>
      </c>
      <c r="CD164" s="62">
        <f ca="1">AVERAGE(OFFSET($CC$3,0,0,'Données projet'!$E$12+1,1))-AVERAGE(OFFSET($H$3,0,0,'Données projet'!$E$12+1,1))</f>
        <v>264.06656596707364</v>
      </c>
      <c r="CE164" s="62">
        <f t="shared" si="123"/>
        <v>315.34415130230195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5.6843418860808015E-14</v>
      </c>
      <c r="CU164" s="18">
        <f>CT164*VLOOKUP('Données projet'!$B$13,Paramètres!$A$1:$I$88,3,0)*VLOOKUP('Données projet'!$B$13,Paramètres!$A$1:$I$88,5,0)</f>
        <v>3.3992364478763198E-14</v>
      </c>
      <c r="CV164" s="14">
        <f t="shared" si="173"/>
        <v>5.790027782444094E-13</v>
      </c>
      <c r="CW164" s="22">
        <f t="shared" si="174"/>
        <v>1.0676332069095257E-12</v>
      </c>
      <c r="CX164" s="62">
        <f t="shared" si="126"/>
        <v>293.33333333333439</v>
      </c>
      <c r="CY164" s="62">
        <f ca="1">AVERAGE(OFFSET($CX$3,0,0,'Données projet'!$E$13+1,1))-AVERAGE(OFFSET($H$3,0,0,'Données projet'!$E$13+1,1))</f>
        <v>162.29089122912319</v>
      </c>
      <c r="CZ164" s="62">
        <f t="shared" si="127"/>
        <v>253.15422514195427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0.78894809725968584</v>
      </c>
      <c r="DG164" s="23">
        <f>EXP(-LN(2)/25)*DG163+(1-EXP(-LN(2)/25))/(LN(2)/25)*Calculateur!DB164*Calculateur!DD164*VLOOKUP('Données projet'!$B$9,Paramètres!$A$1:$I$88,3,0)*0.475*44/12</f>
        <v>0.14045676031261858</v>
      </c>
      <c r="DH164" s="23">
        <f>EXP(-LN(2)/2)*DH163+(1-EXP(-LN(2)/2))/(LN(2)/2)*DB164*DE164*VLOOKUP('Données projet'!$B$9,Paramètres!$A$1:$I$88,3,0)*0.475*44/12</f>
        <v>4.4774111473488015E-20</v>
      </c>
      <c r="DI164" s="24">
        <f t="shared" si="175"/>
        <v>0.9294048575723044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-5.6843418860808015E-14</v>
      </c>
      <c r="DP164" s="18">
        <f>DO164*VLOOKUP('Données projet'!$B$14,Paramètres!$A$1:$I$88,3,0)*VLOOKUP('Données projet'!$B$14,Paramètres!$A$1:$I$88,5,0)</f>
        <v>-4.5224624045658861E-14</v>
      </c>
      <c r="DQ164" s="14" t="e">
        <f t="shared" si="176"/>
        <v>#NUM!</v>
      </c>
      <c r="DR164" s="22" t="e">
        <f t="shared" si="177"/>
        <v>#NUM!</v>
      </c>
      <c r="DS164" s="62" t="e">
        <f t="shared" si="130"/>
        <v>#NUM!</v>
      </c>
      <c r="DT164" s="62">
        <f ca="1">AVERAGE(OFFSET($DS$3,0,0,'Données projet'!$E$14+1,1))-AVERAGE(OFFSET($H$3,0,0,'Données projet'!$E$14+1,1))</f>
        <v>290.20755061064017</v>
      </c>
      <c r="DU164" s="62">
        <f t="shared" si="131"/>
        <v>343.54750327717181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5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1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-1.1368683772161603E-13</v>
      </c>
      <c r="O165" s="14">
        <f>N165*VLOOKUP('Données projet'!$B$9,Paramètres!$A$1:$I$88,3,0)*VLOOKUP('Données projet'!$B$9,Paramètres!$A$1:$I$88,5,0)</f>
        <v>-5.3205440053716299E-14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300.03481708703549</v>
      </c>
      <c r="T165" s="62">
        <f t="shared" si="110"/>
        <v>102.6350860969182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-2.2737367544323206E-13</v>
      </c>
      <c r="AJ165" s="14">
        <f>AI165*VLOOKUP('Données projet'!$B$10,Paramètres!$A$1:$I$88,3,0)*VLOOKUP('Données projet'!$B$10,Paramètres!$A$1:$I$88,5,0)</f>
        <v>-1.2710188457276673E-13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328.27336939084597</v>
      </c>
      <c r="AO165" s="62">
        <f t="shared" si="115"/>
        <v>448.79354389108755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0.39507619231939239</v>
      </c>
      <c r="AV165" s="23">
        <f>EXP(-LN(2)/25)*AV164+(1-EXP(-LN(2)/25))/(LN(2)/25)*Calculateur!AQ165*Calculateur!AS165*VLOOKUP('Données projet'!$B$9,Paramètres!$A$1:$I$88,3,0)*0.475*44/12</f>
        <v>0.35421805047701671</v>
      </c>
      <c r="AW165" s="23">
        <f>EXP(-LN(2)/2)*AW164+(1-EXP(-LN(2)/2))/(LN(2)/2)*AQ165*AT165*VLOOKUP('Données projet'!$B$9,Paramètres!$A$1:$I$88,3,0)*0.475*44/12</f>
        <v>1.9742901357846935E-19</v>
      </c>
      <c r="AX165" s="23">
        <f t="shared" si="166"/>
        <v>0.7492942427964091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-2.2737367544323206E-13</v>
      </c>
      <c r="BE165" s="14">
        <f>BD165*VLOOKUP('Données projet'!$B$11,Paramètres!$A$1:$I$88,3,0)*VLOOKUP('Données projet'!$B$11,Paramètres!$A$1:$I$88,5,0)</f>
        <v>-1.9863364286720756E-13</v>
      </c>
      <c r="BF165" s="14" t="e">
        <f t="shared" si="167"/>
        <v>#NUM!</v>
      </c>
      <c r="BG165" s="22" t="e">
        <f t="shared" si="168"/>
        <v>#NUM!</v>
      </c>
      <c r="BH165" s="62" t="e">
        <f t="shared" si="118"/>
        <v>#NUM!</v>
      </c>
      <c r="BI165" s="62">
        <f ca="1">AVERAGE(OFFSET($BH$3,0,0,'Données projet'!$E$11+1,1))-AVERAGE(OFFSET($H$3,0,0,'Données projet'!$E$11+1,1))</f>
        <v>348.65374983303883</v>
      </c>
      <c r="BJ165" s="62">
        <f t="shared" si="119"/>
        <v>312.05848669315151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-5.6843418860808015E-14</v>
      </c>
      <c r="BZ165" s="14">
        <f>BY165*VLOOKUP('Données projet'!$B$12,Paramètres!$A$1:$I$88,3,0)*VLOOKUP('Données projet'!$B$12,Paramètres!$A$1:$I$88,5,0)</f>
        <v>-4.1677594708744434E-14</v>
      </c>
      <c r="CA165" s="14" t="e">
        <f t="shared" si="170"/>
        <v>#NUM!</v>
      </c>
      <c r="CB165" s="22" t="e">
        <f t="shared" si="171"/>
        <v>#NUM!</v>
      </c>
      <c r="CC165" s="62" t="e">
        <f t="shared" si="122"/>
        <v>#NUM!</v>
      </c>
      <c r="CD165" s="62">
        <f ca="1">AVERAGE(OFFSET($CC$3,0,0,'Données projet'!$E$12+1,1))-AVERAGE(OFFSET($H$3,0,0,'Données projet'!$E$12+1,1))</f>
        <v>264.06656596707364</v>
      </c>
      <c r="CE165" s="62">
        <f t="shared" si="123"/>
        <v>315.34415130230195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5.6843418860808015E-14</v>
      </c>
      <c r="CU165" s="18">
        <f>CT165*VLOOKUP('Données projet'!$B$13,Paramètres!$A$1:$I$88,3,0)*VLOOKUP('Données projet'!$B$13,Paramètres!$A$1:$I$88,5,0)</f>
        <v>3.3992364478763198E-14</v>
      </c>
      <c r="CV165" s="14">
        <f t="shared" si="173"/>
        <v>5.790027782444094E-13</v>
      </c>
      <c r="CW165" s="22">
        <f t="shared" si="174"/>
        <v>1.0676332069095257E-12</v>
      </c>
      <c r="CX165" s="62">
        <f t="shared" si="126"/>
        <v>293.33333333333439</v>
      </c>
      <c r="CY165" s="62">
        <f ca="1">AVERAGE(OFFSET($CX$3,0,0,'Données projet'!$E$13+1,1))-AVERAGE(OFFSET($H$3,0,0,'Données projet'!$E$13+1,1))</f>
        <v>162.29089122912319</v>
      </c>
      <c r="CZ165" s="62">
        <f t="shared" si="127"/>
        <v>253.15422514195427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0.77347730628324707</v>
      </c>
      <c r="DG165" s="23">
        <f>EXP(-LN(2)/25)*DG164+(1-EXP(-LN(2)/25))/(LN(2)/25)*Calculateur!DB165*Calculateur!DD165*VLOOKUP('Données projet'!$B$9,Paramètres!$A$1:$I$88,3,0)*0.475*44/12</f>
        <v>0.13661596281557004</v>
      </c>
      <c r="DH165" s="23">
        <f>EXP(-LN(2)/2)*DH164+(1-EXP(-LN(2)/2))/(LN(2)/2)*DB165*DE165*VLOOKUP('Données projet'!$B$9,Paramètres!$A$1:$I$88,3,0)*0.475*44/12</f>
        <v>3.1660077844505776E-20</v>
      </c>
      <c r="DI165" s="24">
        <f t="shared" si="175"/>
        <v>0.91009326909881705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-5.6843418860808015E-14</v>
      </c>
      <c r="DP165" s="18">
        <f>DO165*VLOOKUP('Données projet'!$B$14,Paramètres!$A$1:$I$88,3,0)*VLOOKUP('Données projet'!$B$14,Paramètres!$A$1:$I$88,5,0)</f>
        <v>-4.5224624045658861E-14</v>
      </c>
      <c r="DQ165" s="14" t="e">
        <f t="shared" si="176"/>
        <v>#NUM!</v>
      </c>
      <c r="DR165" s="22" t="e">
        <f t="shared" si="177"/>
        <v>#NUM!</v>
      </c>
      <c r="DS165" s="62" t="e">
        <f t="shared" si="130"/>
        <v>#NUM!</v>
      </c>
      <c r="DT165" s="62">
        <f ca="1">AVERAGE(OFFSET($DS$3,0,0,'Données projet'!$E$14+1,1))-AVERAGE(OFFSET($H$3,0,0,'Données projet'!$E$14+1,1))</f>
        <v>290.20755061064017</v>
      </c>
      <c r="DU165" s="62">
        <f t="shared" si="131"/>
        <v>343.54750327717181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5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1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-1.1368683772161603E-13</v>
      </c>
      <c r="O166" s="14">
        <f>N166*VLOOKUP('Données projet'!$B$9,Paramètres!$A$1:$I$88,3,0)*VLOOKUP('Données projet'!$B$9,Paramètres!$A$1:$I$88,5,0)</f>
        <v>-5.3205440053716299E-14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300.03481708703549</v>
      </c>
      <c r="T166" s="62">
        <f t="shared" si="110"/>
        <v>102.6350860969182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-2.2737367544323206E-13</v>
      </c>
      <c r="AJ166" s="14">
        <f>AI166*VLOOKUP('Données projet'!$B$10,Paramètres!$A$1:$I$88,3,0)*VLOOKUP('Données projet'!$B$10,Paramètres!$A$1:$I$88,5,0)</f>
        <v>-1.2710188457276673E-13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328.27336939084597</v>
      </c>
      <c r="AO166" s="62">
        <f t="shared" si="115"/>
        <v>448.79354389108755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0.38732898916069236</v>
      </c>
      <c r="AV166" s="23">
        <f>EXP(-LN(2)/25)*AV165+(1-EXP(-LN(2)/25))/(LN(2)/25)*Calculateur!AQ166*Calculateur!AS166*VLOOKUP('Données projet'!$B$9,Paramètres!$A$1:$I$88,3,0)*0.475*44/12</f>
        <v>0.344531939259205</v>
      </c>
      <c r="AW166" s="23">
        <f>EXP(-LN(2)/2)*AW165+(1-EXP(-LN(2)/2))/(LN(2)/2)*AQ166*AT166*VLOOKUP('Données projet'!$B$9,Paramètres!$A$1:$I$88,3,0)*0.475*44/12</f>
        <v>1.3960339430430665E-19</v>
      </c>
      <c r="AX166" s="23">
        <f t="shared" si="166"/>
        <v>0.73186092841989736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-2.2737367544323206E-13</v>
      </c>
      <c r="BE166" s="14">
        <f>BD166*VLOOKUP('Données projet'!$B$11,Paramètres!$A$1:$I$88,3,0)*VLOOKUP('Données projet'!$B$11,Paramètres!$A$1:$I$88,5,0)</f>
        <v>-1.9863364286720756E-13</v>
      </c>
      <c r="BF166" s="14" t="e">
        <f t="shared" si="167"/>
        <v>#NUM!</v>
      </c>
      <c r="BG166" s="22" t="e">
        <f t="shared" si="168"/>
        <v>#NUM!</v>
      </c>
      <c r="BH166" s="62" t="e">
        <f t="shared" si="118"/>
        <v>#NUM!</v>
      </c>
      <c r="BI166" s="62">
        <f ca="1">AVERAGE(OFFSET($BH$3,0,0,'Données projet'!$E$11+1,1))-AVERAGE(OFFSET($H$3,0,0,'Données projet'!$E$11+1,1))</f>
        <v>348.65374983303883</v>
      </c>
      <c r="BJ166" s="62">
        <f t="shared" si="119"/>
        <v>312.05848669315151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-5.6843418860808015E-14</v>
      </c>
      <c r="BZ166" s="14">
        <f>BY166*VLOOKUP('Données projet'!$B$12,Paramètres!$A$1:$I$88,3,0)*VLOOKUP('Données projet'!$B$12,Paramètres!$A$1:$I$88,5,0)</f>
        <v>-4.1677594708744434E-14</v>
      </c>
      <c r="CA166" s="14" t="e">
        <f t="shared" si="170"/>
        <v>#NUM!</v>
      </c>
      <c r="CB166" s="22" t="e">
        <f t="shared" si="171"/>
        <v>#NUM!</v>
      </c>
      <c r="CC166" s="62" t="e">
        <f t="shared" si="122"/>
        <v>#NUM!</v>
      </c>
      <c r="CD166" s="62">
        <f ca="1">AVERAGE(OFFSET($CC$3,0,0,'Données projet'!$E$12+1,1))-AVERAGE(OFFSET($H$3,0,0,'Données projet'!$E$12+1,1))</f>
        <v>264.06656596707364</v>
      </c>
      <c r="CE166" s="62">
        <f t="shared" si="123"/>
        <v>315.34415130230195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5.6843418860808015E-14</v>
      </c>
      <c r="CU166" s="18">
        <f>CT166*VLOOKUP('Données projet'!$B$13,Paramètres!$A$1:$I$88,3,0)*VLOOKUP('Données projet'!$B$13,Paramètres!$A$1:$I$88,5,0)</f>
        <v>3.3992364478763198E-14</v>
      </c>
      <c r="CV166" s="14">
        <f t="shared" si="173"/>
        <v>5.790027782444094E-13</v>
      </c>
      <c r="CW166" s="22">
        <f t="shared" si="174"/>
        <v>1.0676332069095257E-12</v>
      </c>
      <c r="CX166" s="62">
        <f t="shared" si="126"/>
        <v>293.33333333333439</v>
      </c>
      <c r="CY166" s="62">
        <f ca="1">AVERAGE(OFFSET($CX$3,0,0,'Données projet'!$E$13+1,1))-AVERAGE(OFFSET($H$3,0,0,'Données projet'!$E$13+1,1))</f>
        <v>162.29089122912319</v>
      </c>
      <c r="CZ166" s="62">
        <f t="shared" si="127"/>
        <v>253.15422514195427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0.7583098880816056</v>
      </c>
      <c r="DG166" s="23">
        <f>EXP(-LN(2)/25)*DG165+(1-EXP(-LN(2)/25))/(LN(2)/25)*Calculateur!DB166*Calculateur!DD166*VLOOKUP('Données projet'!$B$9,Paramètres!$A$1:$I$88,3,0)*0.475*44/12</f>
        <v>0.13288019212805702</v>
      </c>
      <c r="DH166" s="23">
        <f>EXP(-LN(2)/2)*DH165+(1-EXP(-LN(2)/2))/(LN(2)/2)*DB166*DE166*VLOOKUP('Données projet'!$B$9,Paramètres!$A$1:$I$88,3,0)*0.475*44/12</f>
        <v>2.2387055736744007E-20</v>
      </c>
      <c r="DI166" s="24">
        <f t="shared" si="175"/>
        <v>0.89119008020966262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-5.6843418860808015E-14</v>
      </c>
      <c r="DP166" s="18">
        <f>DO166*VLOOKUP('Données projet'!$B$14,Paramètres!$A$1:$I$88,3,0)*VLOOKUP('Données projet'!$B$14,Paramètres!$A$1:$I$88,5,0)</f>
        <v>-4.5224624045658861E-14</v>
      </c>
      <c r="DQ166" s="14" t="e">
        <f t="shared" si="176"/>
        <v>#NUM!</v>
      </c>
      <c r="DR166" s="22" t="e">
        <f t="shared" si="177"/>
        <v>#NUM!</v>
      </c>
      <c r="DS166" s="62" t="e">
        <f t="shared" si="130"/>
        <v>#NUM!</v>
      </c>
      <c r="DT166" s="62">
        <f ca="1">AVERAGE(OFFSET($DS$3,0,0,'Données projet'!$E$14+1,1))-AVERAGE(OFFSET($H$3,0,0,'Données projet'!$E$14+1,1))</f>
        <v>290.20755061064017</v>
      </c>
      <c r="DU166" s="62">
        <f t="shared" si="131"/>
        <v>343.54750327717181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5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1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-1.1368683772161603E-13</v>
      </c>
      <c r="O167" s="14">
        <f>N167*VLOOKUP('Données projet'!$B$9,Paramètres!$A$1:$I$88,3,0)*VLOOKUP('Données projet'!$B$9,Paramètres!$A$1:$I$88,5,0)</f>
        <v>-5.3205440053716299E-14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300.03481708703549</v>
      </c>
      <c r="T167" s="62">
        <f t="shared" si="110"/>
        <v>102.6350860969182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-2.2737367544323206E-13</v>
      </c>
      <c r="AJ167" s="14">
        <f>AI167*VLOOKUP('Données projet'!$B$10,Paramètres!$A$1:$I$88,3,0)*VLOOKUP('Données projet'!$B$10,Paramètres!$A$1:$I$88,5,0)</f>
        <v>-1.2710188457276673E-13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328.27336939084597</v>
      </c>
      <c r="AO167" s="62">
        <f t="shared" si="115"/>
        <v>448.79354389108755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0.37973370393060707</v>
      </c>
      <c r="AV167" s="23">
        <f>EXP(-LN(2)/25)*AV166+(1-EXP(-LN(2)/25))/(LN(2)/25)*Calculateur!AQ167*Calculateur!AS167*VLOOKUP('Données projet'!$B$9,Paramètres!$A$1:$I$88,3,0)*0.475*44/12</f>
        <v>0.33511069526201481</v>
      </c>
      <c r="AW167" s="23">
        <f>EXP(-LN(2)/2)*AW166+(1-EXP(-LN(2)/2))/(LN(2)/2)*AQ167*AT167*VLOOKUP('Données projet'!$B$9,Paramètres!$A$1:$I$88,3,0)*0.475*44/12</f>
        <v>9.8714506789234677E-20</v>
      </c>
      <c r="AX167" s="23">
        <f t="shared" si="166"/>
        <v>0.71484439919262188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-2.2737367544323206E-13</v>
      </c>
      <c r="BE167" s="14">
        <f>BD167*VLOOKUP('Données projet'!$B$11,Paramètres!$A$1:$I$88,3,0)*VLOOKUP('Données projet'!$B$11,Paramètres!$A$1:$I$88,5,0)</f>
        <v>-1.9863364286720756E-13</v>
      </c>
      <c r="BF167" s="14" t="e">
        <f t="shared" si="167"/>
        <v>#NUM!</v>
      </c>
      <c r="BG167" s="22" t="e">
        <f t="shared" si="168"/>
        <v>#NUM!</v>
      </c>
      <c r="BH167" s="62" t="e">
        <f t="shared" si="118"/>
        <v>#NUM!</v>
      </c>
      <c r="BI167" s="62">
        <f ca="1">AVERAGE(OFFSET($BH$3,0,0,'Données projet'!$E$11+1,1))-AVERAGE(OFFSET($H$3,0,0,'Données projet'!$E$11+1,1))</f>
        <v>348.65374983303883</v>
      </c>
      <c r="BJ167" s="62">
        <f t="shared" si="119"/>
        <v>312.05848669315151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-5.6843418860808015E-14</v>
      </c>
      <c r="BZ167" s="14">
        <f>BY167*VLOOKUP('Données projet'!$B$12,Paramètres!$A$1:$I$88,3,0)*VLOOKUP('Données projet'!$B$12,Paramètres!$A$1:$I$88,5,0)</f>
        <v>-4.1677594708744434E-14</v>
      </c>
      <c r="CA167" s="14" t="e">
        <f t="shared" si="170"/>
        <v>#NUM!</v>
      </c>
      <c r="CB167" s="22" t="e">
        <f t="shared" si="171"/>
        <v>#NUM!</v>
      </c>
      <c r="CC167" s="62" t="e">
        <f t="shared" si="122"/>
        <v>#NUM!</v>
      </c>
      <c r="CD167" s="62">
        <f ca="1">AVERAGE(OFFSET($CC$3,0,0,'Données projet'!$E$12+1,1))-AVERAGE(OFFSET($H$3,0,0,'Données projet'!$E$12+1,1))</f>
        <v>264.06656596707364</v>
      </c>
      <c r="CE167" s="62">
        <f t="shared" si="123"/>
        <v>315.34415130230195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5.6843418860808015E-14</v>
      </c>
      <c r="CU167" s="18">
        <f>CT167*VLOOKUP('Données projet'!$B$13,Paramètres!$A$1:$I$88,3,0)*VLOOKUP('Données projet'!$B$13,Paramètres!$A$1:$I$88,5,0)</f>
        <v>3.3992364478763198E-14</v>
      </c>
      <c r="CV167" s="14">
        <f t="shared" si="173"/>
        <v>5.790027782444094E-13</v>
      </c>
      <c r="CW167" s="22">
        <f t="shared" si="174"/>
        <v>1.0676332069095257E-12</v>
      </c>
      <c r="CX167" s="62">
        <f t="shared" si="126"/>
        <v>293.33333333333439</v>
      </c>
      <c r="CY167" s="62">
        <f ca="1">AVERAGE(OFFSET($CX$3,0,0,'Données projet'!$E$13+1,1))-AVERAGE(OFFSET($H$3,0,0,'Données projet'!$E$13+1,1))</f>
        <v>162.29089122912319</v>
      </c>
      <c r="CZ167" s="62">
        <f t="shared" si="127"/>
        <v>253.15422514195427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0.74343989369968666</v>
      </c>
      <c r="DG167" s="23">
        <f>EXP(-LN(2)/25)*DG166+(1-EXP(-LN(2)/25))/(LN(2)/25)*Calculateur!DB167*Calculateur!DD167*VLOOKUP('Données projet'!$B$9,Paramètres!$A$1:$I$88,3,0)*0.475*44/12</f>
        <v>0.1292465762864497</v>
      </c>
      <c r="DH167" s="23">
        <f>EXP(-LN(2)/2)*DH166+(1-EXP(-LN(2)/2))/(LN(2)/2)*DB167*DE167*VLOOKUP('Données projet'!$B$9,Paramètres!$A$1:$I$88,3,0)*0.475*44/12</f>
        <v>1.5830038922252888E-20</v>
      </c>
      <c r="DI167" s="24">
        <f t="shared" si="175"/>
        <v>0.8726864699861363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-5.6843418860808015E-14</v>
      </c>
      <c r="DP167" s="18">
        <f>DO167*VLOOKUP('Données projet'!$B$14,Paramètres!$A$1:$I$88,3,0)*VLOOKUP('Données projet'!$B$14,Paramètres!$A$1:$I$88,5,0)</f>
        <v>-4.5224624045658861E-14</v>
      </c>
      <c r="DQ167" s="14" t="e">
        <f t="shared" si="176"/>
        <v>#NUM!</v>
      </c>
      <c r="DR167" s="22" t="e">
        <f t="shared" si="177"/>
        <v>#NUM!</v>
      </c>
      <c r="DS167" s="62" t="e">
        <f t="shared" si="130"/>
        <v>#NUM!</v>
      </c>
      <c r="DT167" s="62">
        <f ca="1">AVERAGE(OFFSET($DS$3,0,0,'Données projet'!$E$14+1,1))-AVERAGE(OFFSET($H$3,0,0,'Données projet'!$E$14+1,1))</f>
        <v>290.20755061064017</v>
      </c>
      <c r="DU167" s="62">
        <f t="shared" si="131"/>
        <v>343.54750327717181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5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1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-1.1368683772161603E-13</v>
      </c>
      <c r="O168" s="14">
        <f>N168*VLOOKUP('Données projet'!$B$9,Paramètres!$A$1:$I$88,3,0)*VLOOKUP('Données projet'!$B$9,Paramètres!$A$1:$I$88,5,0)</f>
        <v>-5.3205440053716299E-14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300.03481708703549</v>
      </c>
      <c r="T168" s="62">
        <f t="shared" si="110"/>
        <v>102.6350860969182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-2.2737367544323206E-13</v>
      </c>
      <c r="AJ168" s="14">
        <f>AI168*VLOOKUP('Données projet'!$B$10,Paramètres!$A$1:$I$88,3,0)*VLOOKUP('Données projet'!$B$10,Paramètres!$A$1:$I$88,5,0)</f>
        <v>-1.2710188457276673E-13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328.27336939084597</v>
      </c>
      <c r="AO168" s="62">
        <f t="shared" si="115"/>
        <v>448.79354389108755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0.37228735761121723</v>
      </c>
      <c r="AV168" s="23">
        <f>EXP(-LN(2)/25)*AV167+(1-EXP(-LN(2)/25))/(LN(2)/25)*Calculateur!AQ168*Calculateur!AS168*VLOOKUP('Données projet'!$B$9,Paramètres!$A$1:$I$88,3,0)*0.475*44/12</f>
        <v>0.32594707567736947</v>
      </c>
      <c r="AW168" s="23">
        <f>EXP(-LN(2)/2)*AW167+(1-EXP(-LN(2)/2))/(LN(2)/2)*AQ168*AT168*VLOOKUP('Données projet'!$B$9,Paramètres!$A$1:$I$88,3,0)*0.475*44/12</f>
        <v>6.9801697152153323E-20</v>
      </c>
      <c r="AX168" s="23">
        <f t="shared" si="166"/>
        <v>0.6982344332885867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-2.2737367544323206E-13</v>
      </c>
      <c r="BE168" s="14">
        <f>BD168*VLOOKUP('Données projet'!$B$11,Paramètres!$A$1:$I$88,3,0)*VLOOKUP('Données projet'!$B$11,Paramètres!$A$1:$I$88,5,0)</f>
        <v>-1.9863364286720756E-13</v>
      </c>
      <c r="BF168" s="14" t="e">
        <f t="shared" si="167"/>
        <v>#NUM!</v>
      </c>
      <c r="BG168" s="22" t="e">
        <f t="shared" si="168"/>
        <v>#NUM!</v>
      </c>
      <c r="BH168" s="62" t="e">
        <f t="shared" si="118"/>
        <v>#NUM!</v>
      </c>
      <c r="BI168" s="62">
        <f ca="1">AVERAGE(OFFSET($BH$3,0,0,'Données projet'!$E$11+1,1))-AVERAGE(OFFSET($H$3,0,0,'Données projet'!$E$11+1,1))</f>
        <v>348.65374983303883</v>
      </c>
      <c r="BJ168" s="62">
        <f t="shared" si="119"/>
        <v>312.05848669315151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-5.6843418860808015E-14</v>
      </c>
      <c r="BZ168" s="14">
        <f>BY168*VLOOKUP('Données projet'!$B$12,Paramètres!$A$1:$I$88,3,0)*VLOOKUP('Données projet'!$B$12,Paramètres!$A$1:$I$88,5,0)</f>
        <v>-4.1677594708744434E-14</v>
      </c>
      <c r="CA168" s="14" t="e">
        <f t="shared" si="170"/>
        <v>#NUM!</v>
      </c>
      <c r="CB168" s="22" t="e">
        <f t="shared" si="171"/>
        <v>#NUM!</v>
      </c>
      <c r="CC168" s="62" t="e">
        <f t="shared" si="122"/>
        <v>#NUM!</v>
      </c>
      <c r="CD168" s="62">
        <f ca="1">AVERAGE(OFFSET($CC$3,0,0,'Données projet'!$E$12+1,1))-AVERAGE(OFFSET($H$3,0,0,'Données projet'!$E$12+1,1))</f>
        <v>264.06656596707364</v>
      </c>
      <c r="CE168" s="62">
        <f t="shared" si="123"/>
        <v>315.34415130230195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5.6843418860808015E-14</v>
      </c>
      <c r="CU168" s="18">
        <f>CT168*VLOOKUP('Données projet'!$B$13,Paramètres!$A$1:$I$88,3,0)*VLOOKUP('Données projet'!$B$13,Paramètres!$A$1:$I$88,5,0)</f>
        <v>3.3992364478763198E-14</v>
      </c>
      <c r="CV168" s="14">
        <f t="shared" si="173"/>
        <v>5.790027782444094E-13</v>
      </c>
      <c r="CW168" s="22">
        <f t="shared" si="174"/>
        <v>1.0676332069095257E-12</v>
      </c>
      <c r="CX168" s="62">
        <f t="shared" si="126"/>
        <v>293.33333333333439</v>
      </c>
      <c r="CY168" s="62">
        <f ca="1">AVERAGE(OFFSET($CX$3,0,0,'Données projet'!$E$13+1,1))-AVERAGE(OFFSET($H$3,0,0,'Données projet'!$E$13+1,1))</f>
        <v>162.29089122912319</v>
      </c>
      <c r="CZ168" s="62">
        <f t="shared" si="127"/>
        <v>253.15422514195427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0.72886149083779617</v>
      </c>
      <c r="DG168" s="23">
        <f>EXP(-LN(2)/25)*DG167+(1-EXP(-LN(2)/25))/(LN(2)/25)*Calculateur!DB168*Calculateur!DD168*VLOOKUP('Données projet'!$B$9,Paramètres!$A$1:$I$88,3,0)*0.475*44/12</f>
        <v>0.1257123218611147</v>
      </c>
      <c r="DH168" s="23">
        <f>EXP(-LN(2)/2)*DH167+(1-EXP(-LN(2)/2))/(LN(2)/2)*DB168*DE168*VLOOKUP('Données projet'!$B$9,Paramètres!$A$1:$I$88,3,0)*0.475*44/12</f>
        <v>1.1193527868372004E-20</v>
      </c>
      <c r="DI168" s="24">
        <f t="shared" si="175"/>
        <v>0.85457381269891086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-5.6843418860808015E-14</v>
      </c>
      <c r="DP168" s="18">
        <f>DO168*VLOOKUP('Données projet'!$B$14,Paramètres!$A$1:$I$88,3,0)*VLOOKUP('Données projet'!$B$14,Paramètres!$A$1:$I$88,5,0)</f>
        <v>-4.5224624045658861E-14</v>
      </c>
      <c r="DQ168" s="14" t="e">
        <f t="shared" si="176"/>
        <v>#NUM!</v>
      </c>
      <c r="DR168" s="22" t="e">
        <f t="shared" si="177"/>
        <v>#NUM!</v>
      </c>
      <c r="DS168" s="62" t="e">
        <f t="shared" si="130"/>
        <v>#NUM!</v>
      </c>
      <c r="DT168" s="62">
        <f ca="1">AVERAGE(OFFSET($DS$3,0,0,'Données projet'!$E$14+1,1))-AVERAGE(OFFSET($H$3,0,0,'Données projet'!$E$14+1,1))</f>
        <v>290.20755061064017</v>
      </c>
      <c r="DU168" s="62">
        <f t="shared" si="131"/>
        <v>343.54750327717181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5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1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-1.1368683772161603E-13</v>
      </c>
      <c r="O169" s="14">
        <f>N169*VLOOKUP('Données projet'!$B$9,Paramètres!$A$1:$I$88,3,0)*VLOOKUP('Données projet'!$B$9,Paramètres!$A$1:$I$88,5,0)</f>
        <v>-5.3205440053716299E-14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300.03481708703549</v>
      </c>
      <c r="T169" s="62">
        <f t="shared" si="110"/>
        <v>102.6350860969182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-2.2737367544323206E-13</v>
      </c>
      <c r="AJ169" s="14">
        <f>AI169*VLOOKUP('Données projet'!$B$10,Paramètres!$A$1:$I$88,3,0)*VLOOKUP('Données projet'!$B$10,Paramètres!$A$1:$I$88,5,0)</f>
        <v>-1.2710188457276673E-13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328.27336939084597</v>
      </c>
      <c r="AO169" s="62">
        <f t="shared" si="115"/>
        <v>448.79354389108755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0.36498702960132784</v>
      </c>
      <c r="AV169" s="23">
        <f>EXP(-LN(2)/25)*AV168+(1-EXP(-LN(2)/25))/(LN(2)/25)*Calculateur!AQ169*Calculateur!AS169*VLOOKUP('Données projet'!$B$9,Paramètres!$A$1:$I$88,3,0)*0.475*44/12</f>
        <v>0.31703403575216005</v>
      </c>
      <c r="AW169" s="23">
        <f>EXP(-LN(2)/2)*AW168+(1-EXP(-LN(2)/2))/(LN(2)/2)*AQ169*AT169*VLOOKUP('Données projet'!$B$9,Paramètres!$A$1:$I$88,3,0)*0.475*44/12</f>
        <v>4.9357253394617338E-20</v>
      </c>
      <c r="AX169" s="23">
        <f t="shared" si="166"/>
        <v>0.68202106535348794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-2.2737367544323206E-13</v>
      </c>
      <c r="BE169" s="14">
        <f>BD169*VLOOKUP('Données projet'!$B$11,Paramètres!$A$1:$I$88,3,0)*VLOOKUP('Données projet'!$B$11,Paramètres!$A$1:$I$88,5,0)</f>
        <v>-1.9863364286720756E-13</v>
      </c>
      <c r="BF169" s="14" t="e">
        <f t="shared" si="167"/>
        <v>#NUM!</v>
      </c>
      <c r="BG169" s="22" t="e">
        <f t="shared" si="168"/>
        <v>#NUM!</v>
      </c>
      <c r="BH169" s="62" t="e">
        <f t="shared" si="118"/>
        <v>#NUM!</v>
      </c>
      <c r="BI169" s="62">
        <f ca="1">AVERAGE(OFFSET($BH$3,0,0,'Données projet'!$E$11+1,1))-AVERAGE(OFFSET($H$3,0,0,'Données projet'!$E$11+1,1))</f>
        <v>348.65374983303883</v>
      </c>
      <c r="BJ169" s="62">
        <f t="shared" si="119"/>
        <v>312.05848669315151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-5.6843418860808015E-14</v>
      </c>
      <c r="BZ169" s="14">
        <f>BY169*VLOOKUP('Données projet'!$B$12,Paramètres!$A$1:$I$88,3,0)*VLOOKUP('Données projet'!$B$12,Paramètres!$A$1:$I$88,5,0)</f>
        <v>-4.1677594708744434E-14</v>
      </c>
      <c r="CA169" s="14" t="e">
        <f t="shared" si="170"/>
        <v>#NUM!</v>
      </c>
      <c r="CB169" s="22" t="e">
        <f t="shared" si="171"/>
        <v>#NUM!</v>
      </c>
      <c r="CC169" s="62" t="e">
        <f t="shared" si="122"/>
        <v>#NUM!</v>
      </c>
      <c r="CD169" s="62">
        <f ca="1">AVERAGE(OFFSET($CC$3,0,0,'Données projet'!$E$12+1,1))-AVERAGE(OFFSET($H$3,0,0,'Données projet'!$E$12+1,1))</f>
        <v>264.06656596707364</v>
      </c>
      <c r="CE169" s="62">
        <f t="shared" si="123"/>
        <v>315.34415130230195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5.6843418860808015E-14</v>
      </c>
      <c r="CU169" s="18">
        <f>CT169*VLOOKUP('Données projet'!$B$13,Paramètres!$A$1:$I$88,3,0)*VLOOKUP('Données projet'!$B$13,Paramètres!$A$1:$I$88,5,0)</f>
        <v>3.3992364478763198E-14</v>
      </c>
      <c r="CV169" s="14">
        <f t="shared" si="173"/>
        <v>5.790027782444094E-13</v>
      </c>
      <c r="CW169" s="22">
        <f t="shared" si="174"/>
        <v>1.0676332069095257E-12</v>
      </c>
      <c r="CX169" s="62">
        <f t="shared" si="126"/>
        <v>293.33333333333439</v>
      </c>
      <c r="CY169" s="62">
        <f ca="1">AVERAGE(OFFSET($CX$3,0,0,'Données projet'!$E$13+1,1))-AVERAGE(OFFSET($H$3,0,0,'Données projet'!$E$13+1,1))</f>
        <v>162.29089122912319</v>
      </c>
      <c r="CZ169" s="62">
        <f t="shared" si="127"/>
        <v>253.15422514195427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0.71456896156407956</v>
      </c>
      <c r="DG169" s="23">
        <f>EXP(-LN(2)/25)*DG168+(1-EXP(-LN(2)/25))/(LN(2)/25)*Calculateur!DB169*Calculateur!DD169*VLOOKUP('Données projet'!$B$9,Paramètres!$A$1:$I$88,3,0)*0.475*44/12</f>
        <v>0.12227471180889883</v>
      </c>
      <c r="DH169" s="23">
        <f>EXP(-LN(2)/2)*DH168+(1-EXP(-LN(2)/2))/(LN(2)/2)*DB169*DE169*VLOOKUP('Données projet'!$B$9,Paramètres!$A$1:$I$88,3,0)*0.475*44/12</f>
        <v>7.915019461126444E-21</v>
      </c>
      <c r="DI169" s="24">
        <f t="shared" si="175"/>
        <v>0.83684367337297838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-5.6843418860808015E-14</v>
      </c>
      <c r="DP169" s="18">
        <f>DO169*VLOOKUP('Données projet'!$B$14,Paramètres!$A$1:$I$88,3,0)*VLOOKUP('Données projet'!$B$14,Paramètres!$A$1:$I$88,5,0)</f>
        <v>-4.5224624045658861E-14</v>
      </c>
      <c r="DQ169" s="14" t="e">
        <f t="shared" si="176"/>
        <v>#NUM!</v>
      </c>
      <c r="DR169" s="22" t="e">
        <f t="shared" si="177"/>
        <v>#NUM!</v>
      </c>
      <c r="DS169" s="62" t="e">
        <f t="shared" si="130"/>
        <v>#NUM!</v>
      </c>
      <c r="DT169" s="62">
        <f ca="1">AVERAGE(OFFSET($DS$3,0,0,'Données projet'!$E$14+1,1))-AVERAGE(OFFSET($H$3,0,0,'Données projet'!$E$14+1,1))</f>
        <v>290.20755061064017</v>
      </c>
      <c r="DU169" s="62">
        <f t="shared" si="131"/>
        <v>343.54750327717181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5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1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-1.1368683772161603E-13</v>
      </c>
      <c r="O170" s="14">
        <f>N170*VLOOKUP('Données projet'!$B$9,Paramètres!$A$1:$I$88,3,0)*VLOOKUP('Données projet'!$B$9,Paramètres!$A$1:$I$88,5,0)</f>
        <v>-5.3205440053716299E-14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300.03481708703549</v>
      </c>
      <c r="T170" s="62">
        <f t="shared" si="110"/>
        <v>102.6350860969182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-2.2737367544323206E-13</v>
      </c>
      <c r="AJ170" s="14">
        <f>AI170*VLOOKUP('Données projet'!$B$10,Paramètres!$A$1:$I$88,3,0)*VLOOKUP('Données projet'!$B$10,Paramètres!$A$1:$I$88,5,0)</f>
        <v>-1.2710188457276673E-13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328.27336939084597</v>
      </c>
      <c r="AO170" s="62">
        <f t="shared" si="115"/>
        <v>448.79354389108755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0.35782985657095195</v>
      </c>
      <c r="AV170" s="23">
        <f>EXP(-LN(2)/25)*AV169+(1-EXP(-LN(2)/25))/(LN(2)/25)*Calculateur!AQ170*Calculateur!AS170*VLOOKUP('Données projet'!$B$9,Paramètres!$A$1:$I$88,3,0)*0.475*44/12</f>
        <v>0.30836472337242188</v>
      </c>
      <c r="AW170" s="23">
        <f>EXP(-LN(2)/2)*AW169+(1-EXP(-LN(2)/2))/(LN(2)/2)*AQ170*AT170*VLOOKUP('Données projet'!$B$9,Paramètres!$A$1:$I$88,3,0)*0.475*44/12</f>
        <v>3.4900848576076662E-20</v>
      </c>
      <c r="AX170" s="23">
        <f t="shared" si="166"/>
        <v>0.66619457994337383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-2.2737367544323206E-13</v>
      </c>
      <c r="BE170" s="14">
        <f>BD170*VLOOKUP('Données projet'!$B$11,Paramètres!$A$1:$I$88,3,0)*VLOOKUP('Données projet'!$B$11,Paramètres!$A$1:$I$88,5,0)</f>
        <v>-1.9863364286720756E-13</v>
      </c>
      <c r="BF170" s="14" t="e">
        <f t="shared" si="167"/>
        <v>#NUM!</v>
      </c>
      <c r="BG170" s="22" t="e">
        <f t="shared" si="168"/>
        <v>#NUM!</v>
      </c>
      <c r="BH170" s="62" t="e">
        <f t="shared" si="118"/>
        <v>#NUM!</v>
      </c>
      <c r="BI170" s="62">
        <f ca="1">AVERAGE(OFFSET($BH$3,0,0,'Données projet'!$E$11+1,1))-AVERAGE(OFFSET($H$3,0,0,'Données projet'!$E$11+1,1))</f>
        <v>348.65374983303883</v>
      </c>
      <c r="BJ170" s="62">
        <f t="shared" si="119"/>
        <v>312.05848669315151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-5.6843418860808015E-14</v>
      </c>
      <c r="BZ170" s="14">
        <f>BY170*VLOOKUP('Données projet'!$B$12,Paramètres!$A$1:$I$88,3,0)*VLOOKUP('Données projet'!$B$12,Paramètres!$A$1:$I$88,5,0)</f>
        <v>-4.1677594708744434E-14</v>
      </c>
      <c r="CA170" s="14" t="e">
        <f t="shared" si="170"/>
        <v>#NUM!</v>
      </c>
      <c r="CB170" s="22" t="e">
        <f t="shared" si="171"/>
        <v>#NUM!</v>
      </c>
      <c r="CC170" s="62" t="e">
        <f t="shared" si="122"/>
        <v>#NUM!</v>
      </c>
      <c r="CD170" s="62">
        <f ca="1">AVERAGE(OFFSET($CC$3,0,0,'Données projet'!$E$12+1,1))-AVERAGE(OFFSET($H$3,0,0,'Données projet'!$E$12+1,1))</f>
        <v>264.06656596707364</v>
      </c>
      <c r="CE170" s="62">
        <f t="shared" si="123"/>
        <v>315.34415130230195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5.6843418860808015E-14</v>
      </c>
      <c r="CU170" s="18">
        <f>CT170*VLOOKUP('Données projet'!$B$13,Paramètres!$A$1:$I$88,3,0)*VLOOKUP('Données projet'!$B$13,Paramètres!$A$1:$I$88,5,0)</f>
        <v>3.3992364478763198E-14</v>
      </c>
      <c r="CV170" s="14">
        <f t="shared" si="173"/>
        <v>5.790027782444094E-13</v>
      </c>
      <c r="CW170" s="22">
        <f t="shared" si="174"/>
        <v>1.0676332069095257E-12</v>
      </c>
      <c r="CX170" s="62">
        <f t="shared" si="126"/>
        <v>293.33333333333439</v>
      </c>
      <c r="CY170" s="62">
        <f ca="1">AVERAGE(OFFSET($CX$3,0,0,'Données projet'!$E$13+1,1))-AVERAGE(OFFSET($H$3,0,0,'Données projet'!$E$13+1,1))</f>
        <v>162.29089122912319</v>
      </c>
      <c r="CZ170" s="62">
        <f t="shared" si="127"/>
        <v>253.15422514195427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0.70055670007183846</v>
      </c>
      <c r="DG170" s="23">
        <f>EXP(-LN(2)/25)*DG169+(1-EXP(-LN(2)/25))/(LN(2)/25)*Calculateur!DB170*Calculateur!DD170*VLOOKUP('Données projet'!$B$9,Paramètres!$A$1:$I$88,3,0)*0.475*44/12</f>
        <v>0.11893110338433686</v>
      </c>
      <c r="DH170" s="23">
        <f>EXP(-LN(2)/2)*DH169+(1-EXP(-LN(2)/2))/(LN(2)/2)*DB170*DE170*VLOOKUP('Données projet'!$B$9,Paramètres!$A$1:$I$88,3,0)*0.475*44/12</f>
        <v>5.5967639341860018E-21</v>
      </c>
      <c r="DI170" s="24">
        <f t="shared" si="175"/>
        <v>0.81948780345617533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-5.6843418860808015E-14</v>
      </c>
      <c r="DP170" s="18">
        <f>DO170*VLOOKUP('Données projet'!$B$14,Paramètres!$A$1:$I$88,3,0)*VLOOKUP('Données projet'!$B$14,Paramètres!$A$1:$I$88,5,0)</f>
        <v>-4.5224624045658861E-14</v>
      </c>
      <c r="DQ170" s="14" t="e">
        <f t="shared" si="176"/>
        <v>#NUM!</v>
      </c>
      <c r="DR170" s="22" t="e">
        <f t="shared" si="177"/>
        <v>#NUM!</v>
      </c>
      <c r="DS170" s="62" t="e">
        <f t="shared" si="130"/>
        <v>#NUM!</v>
      </c>
      <c r="DT170" s="62">
        <f ca="1">AVERAGE(OFFSET($DS$3,0,0,'Données projet'!$E$14+1,1))-AVERAGE(OFFSET($H$3,0,0,'Données projet'!$E$14+1,1))</f>
        <v>290.20755061064017</v>
      </c>
      <c r="DU170" s="62">
        <f t="shared" si="131"/>
        <v>343.54750327717181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5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1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-1.1368683772161603E-13</v>
      </c>
      <c r="O171" s="14">
        <f>N171*VLOOKUP('Données projet'!$B$9,Paramètres!$A$1:$I$88,3,0)*VLOOKUP('Données projet'!$B$9,Paramètres!$A$1:$I$88,5,0)</f>
        <v>-5.3205440053716299E-14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300.03481708703549</v>
      </c>
      <c r="T171" s="62">
        <f t="shared" si="110"/>
        <v>102.6350860969182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-2.2737367544323206E-13</v>
      </c>
      <c r="AJ171" s="14">
        <f>AI171*VLOOKUP('Données projet'!$B$10,Paramètres!$A$1:$I$88,3,0)*VLOOKUP('Données projet'!$B$10,Paramètres!$A$1:$I$88,5,0)</f>
        <v>-1.2710188457276673E-13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328.27336939084597</v>
      </c>
      <c r="AO171" s="62">
        <f t="shared" si="115"/>
        <v>448.79354389108755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0.35081303133825725</v>
      </c>
      <c r="AV171" s="23">
        <f>EXP(-LN(2)/25)*AV170+(1-EXP(-LN(2)/25))/(LN(2)/25)*Calculateur!AQ171*Calculateur!AS171*VLOOKUP('Données projet'!$B$9,Paramètres!$A$1:$I$88,3,0)*0.475*44/12</f>
        <v>0.299932473795607</v>
      </c>
      <c r="AW171" s="23">
        <f>EXP(-LN(2)/2)*AW170+(1-EXP(-LN(2)/2))/(LN(2)/2)*AQ171*AT171*VLOOKUP('Données projet'!$B$9,Paramètres!$A$1:$I$88,3,0)*0.475*44/12</f>
        <v>2.4678626697308669E-20</v>
      </c>
      <c r="AX171" s="23">
        <f t="shared" si="166"/>
        <v>0.6507455051338642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-2.2737367544323206E-13</v>
      </c>
      <c r="BE171" s="14">
        <f>BD171*VLOOKUP('Données projet'!$B$11,Paramètres!$A$1:$I$88,3,0)*VLOOKUP('Données projet'!$B$11,Paramètres!$A$1:$I$88,5,0)</f>
        <v>-1.9863364286720756E-13</v>
      </c>
      <c r="BF171" s="14" t="e">
        <f t="shared" si="167"/>
        <v>#NUM!</v>
      </c>
      <c r="BG171" s="22" t="e">
        <f t="shared" si="168"/>
        <v>#NUM!</v>
      </c>
      <c r="BH171" s="62" t="e">
        <f t="shared" si="118"/>
        <v>#NUM!</v>
      </c>
      <c r="BI171" s="62">
        <f ca="1">AVERAGE(OFFSET($BH$3,0,0,'Données projet'!$E$11+1,1))-AVERAGE(OFFSET($H$3,0,0,'Données projet'!$E$11+1,1))</f>
        <v>348.65374983303883</v>
      </c>
      <c r="BJ171" s="62">
        <f t="shared" si="119"/>
        <v>312.05848669315151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-5.6843418860808015E-14</v>
      </c>
      <c r="BZ171" s="14">
        <f>BY171*VLOOKUP('Données projet'!$B$12,Paramètres!$A$1:$I$88,3,0)*VLOOKUP('Données projet'!$B$12,Paramètres!$A$1:$I$88,5,0)</f>
        <v>-4.1677594708744434E-14</v>
      </c>
      <c r="CA171" s="14" t="e">
        <f t="shared" si="170"/>
        <v>#NUM!</v>
      </c>
      <c r="CB171" s="22" t="e">
        <f t="shared" si="171"/>
        <v>#NUM!</v>
      </c>
      <c r="CC171" s="62" t="e">
        <f t="shared" si="122"/>
        <v>#NUM!</v>
      </c>
      <c r="CD171" s="62">
        <f ca="1">AVERAGE(OFFSET($CC$3,0,0,'Données projet'!$E$12+1,1))-AVERAGE(OFFSET($H$3,0,0,'Données projet'!$E$12+1,1))</f>
        <v>264.06656596707364</v>
      </c>
      <c r="CE171" s="62">
        <f t="shared" si="123"/>
        <v>315.34415130230195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5.6843418860808015E-14</v>
      </c>
      <c r="CU171" s="18">
        <f>CT171*VLOOKUP('Données projet'!$B$13,Paramètres!$A$1:$I$88,3,0)*VLOOKUP('Données projet'!$B$13,Paramètres!$A$1:$I$88,5,0)</f>
        <v>3.3992364478763198E-14</v>
      </c>
      <c r="CV171" s="14">
        <f t="shared" si="173"/>
        <v>5.790027782444094E-13</v>
      </c>
      <c r="CW171" s="22">
        <f t="shared" si="174"/>
        <v>1.0676332069095257E-12</v>
      </c>
      <c r="CX171" s="62">
        <f t="shared" si="126"/>
        <v>293.33333333333439</v>
      </c>
      <c r="CY171" s="62">
        <f ca="1">AVERAGE(OFFSET($CX$3,0,0,'Données projet'!$E$13+1,1))-AVERAGE(OFFSET($H$3,0,0,'Données projet'!$E$13+1,1))</f>
        <v>162.29089122912319</v>
      </c>
      <c r="CZ171" s="62">
        <f t="shared" si="127"/>
        <v>253.15422514195427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0.68681921048082462</v>
      </c>
      <c r="DG171" s="23">
        <f>EXP(-LN(2)/25)*DG170+(1-EXP(-LN(2)/25))/(LN(2)/25)*Calculateur!DB171*Calculateur!DD171*VLOOKUP('Données projet'!$B$9,Paramètres!$A$1:$I$88,3,0)*0.475*44/12</f>
        <v>0.11567892610797727</v>
      </c>
      <c r="DH171" s="23">
        <f>EXP(-LN(2)/2)*DH170+(1-EXP(-LN(2)/2))/(LN(2)/2)*DB171*DE171*VLOOKUP('Données projet'!$B$9,Paramètres!$A$1:$I$88,3,0)*0.475*44/12</f>
        <v>3.957509730563222E-21</v>
      </c>
      <c r="DI171" s="24">
        <f t="shared" si="175"/>
        <v>0.80249813658880187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-5.6843418860808015E-14</v>
      </c>
      <c r="DP171" s="18">
        <f>DO171*VLOOKUP('Données projet'!$B$14,Paramètres!$A$1:$I$88,3,0)*VLOOKUP('Données projet'!$B$14,Paramètres!$A$1:$I$88,5,0)</f>
        <v>-4.5224624045658861E-14</v>
      </c>
      <c r="DQ171" s="14" t="e">
        <f t="shared" si="176"/>
        <v>#NUM!</v>
      </c>
      <c r="DR171" s="22" t="e">
        <f t="shared" si="177"/>
        <v>#NUM!</v>
      </c>
      <c r="DS171" s="62" t="e">
        <f t="shared" si="130"/>
        <v>#NUM!</v>
      </c>
      <c r="DT171" s="62">
        <f ca="1">AVERAGE(OFFSET($DS$3,0,0,'Données projet'!$E$14+1,1))-AVERAGE(OFFSET($H$3,0,0,'Données projet'!$E$14+1,1))</f>
        <v>290.20755061064017</v>
      </c>
      <c r="DU171" s="62">
        <f t="shared" si="131"/>
        <v>343.54750327717181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5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1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-1.1368683772161603E-13</v>
      </c>
      <c r="O172" s="14">
        <f>N172*VLOOKUP('Données projet'!$B$9,Paramètres!$A$1:$I$88,3,0)*VLOOKUP('Données projet'!$B$9,Paramètres!$A$1:$I$88,5,0)</f>
        <v>-5.3205440053716299E-14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300.03481708703549</v>
      </c>
      <c r="T172" s="62">
        <f t="shared" si="110"/>
        <v>102.6350860969182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-2.2737367544323206E-13</v>
      </c>
      <c r="AJ172" s="14">
        <f>AI172*VLOOKUP('Données projet'!$B$10,Paramètres!$A$1:$I$88,3,0)*VLOOKUP('Données projet'!$B$10,Paramètres!$A$1:$I$88,5,0)</f>
        <v>-1.2710188457276673E-13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328.27336939084597</v>
      </c>
      <c r="AO172" s="62">
        <f t="shared" si="115"/>
        <v>448.79354389108755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0.34393380176853489</v>
      </c>
      <c r="AV172" s="23">
        <f>EXP(-LN(2)/25)*AV171+(1-EXP(-LN(2)/25))/(LN(2)/25)*Calculateur!AQ172*Calculateur!AS172*VLOOKUP('Données projet'!$B$9,Paramètres!$A$1:$I$88,3,0)*0.475*44/12</f>
        <v>0.29173080452690281</v>
      </c>
      <c r="AW172" s="23">
        <f>EXP(-LN(2)/2)*AW171+(1-EXP(-LN(2)/2))/(LN(2)/2)*AQ172*AT172*VLOOKUP('Données projet'!$B$9,Paramètres!$A$1:$I$88,3,0)*0.475*44/12</f>
        <v>1.7450424288038331E-20</v>
      </c>
      <c r="AX172" s="23">
        <f t="shared" si="166"/>
        <v>0.63566460629543764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-2.2737367544323206E-13</v>
      </c>
      <c r="BE172" s="14">
        <f>BD172*VLOOKUP('Données projet'!$B$11,Paramètres!$A$1:$I$88,3,0)*VLOOKUP('Données projet'!$B$11,Paramètres!$A$1:$I$88,5,0)</f>
        <v>-1.9863364286720756E-13</v>
      </c>
      <c r="BF172" s="14" t="e">
        <f t="shared" si="167"/>
        <v>#NUM!</v>
      </c>
      <c r="BG172" s="22" t="e">
        <f t="shared" si="168"/>
        <v>#NUM!</v>
      </c>
      <c r="BH172" s="62" t="e">
        <f t="shared" si="118"/>
        <v>#NUM!</v>
      </c>
      <c r="BI172" s="62">
        <f ca="1">AVERAGE(OFFSET($BH$3,0,0,'Données projet'!$E$11+1,1))-AVERAGE(OFFSET($H$3,0,0,'Données projet'!$E$11+1,1))</f>
        <v>348.65374983303883</v>
      </c>
      <c r="BJ172" s="62">
        <f t="shared" si="119"/>
        <v>312.05848669315151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-5.6843418860808015E-14</v>
      </c>
      <c r="BZ172" s="14">
        <f>BY172*VLOOKUP('Données projet'!$B$12,Paramètres!$A$1:$I$88,3,0)*VLOOKUP('Données projet'!$B$12,Paramètres!$A$1:$I$88,5,0)</f>
        <v>-4.1677594708744434E-14</v>
      </c>
      <c r="CA172" s="14" t="e">
        <f t="shared" si="170"/>
        <v>#NUM!</v>
      </c>
      <c r="CB172" s="22" t="e">
        <f t="shared" si="171"/>
        <v>#NUM!</v>
      </c>
      <c r="CC172" s="62" t="e">
        <f t="shared" si="122"/>
        <v>#NUM!</v>
      </c>
      <c r="CD172" s="62">
        <f ca="1">AVERAGE(OFFSET($CC$3,0,0,'Données projet'!$E$12+1,1))-AVERAGE(OFFSET($H$3,0,0,'Données projet'!$E$12+1,1))</f>
        <v>264.06656596707364</v>
      </c>
      <c r="CE172" s="62">
        <f t="shared" si="123"/>
        <v>315.34415130230195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5.6843418860808015E-14</v>
      </c>
      <c r="CU172" s="18">
        <f>CT172*VLOOKUP('Données projet'!$B$13,Paramètres!$A$1:$I$88,3,0)*VLOOKUP('Données projet'!$B$13,Paramètres!$A$1:$I$88,5,0)</f>
        <v>3.3992364478763198E-14</v>
      </c>
      <c r="CV172" s="14">
        <f t="shared" si="173"/>
        <v>5.790027782444094E-13</v>
      </c>
      <c r="CW172" s="22">
        <f t="shared" si="174"/>
        <v>1.0676332069095257E-12</v>
      </c>
      <c r="CX172" s="62">
        <f t="shared" si="126"/>
        <v>293.33333333333439</v>
      </c>
      <c r="CY172" s="62">
        <f ca="1">AVERAGE(OFFSET($CX$3,0,0,'Données projet'!$E$13+1,1))-AVERAGE(OFFSET($H$3,0,0,'Données projet'!$E$13+1,1))</f>
        <v>162.29089122912319</v>
      </c>
      <c r="CZ172" s="62">
        <f t="shared" si="127"/>
        <v>253.15422514195427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0.67335110468164927</v>
      </c>
      <c r="DG172" s="23">
        <f>EXP(-LN(2)/25)*DG171+(1-EXP(-LN(2)/25))/(LN(2)/25)*Calculateur!DB172*Calculateur!DD172*VLOOKUP('Données projet'!$B$9,Paramètres!$A$1:$I$88,3,0)*0.475*44/12</f>
        <v>0.11251567979026429</v>
      </c>
      <c r="DH172" s="23">
        <f>EXP(-LN(2)/2)*DH171+(1-EXP(-LN(2)/2))/(LN(2)/2)*DB172*DE172*VLOOKUP('Données projet'!$B$9,Paramètres!$A$1:$I$88,3,0)*0.475*44/12</f>
        <v>2.7983819670930009E-21</v>
      </c>
      <c r="DI172" s="24">
        <f t="shared" si="175"/>
        <v>0.7858667844719136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-5.6843418860808015E-14</v>
      </c>
      <c r="DP172" s="18">
        <f>DO172*VLOOKUP('Données projet'!$B$14,Paramètres!$A$1:$I$88,3,0)*VLOOKUP('Données projet'!$B$14,Paramètres!$A$1:$I$88,5,0)</f>
        <v>-4.5224624045658861E-14</v>
      </c>
      <c r="DQ172" s="14" t="e">
        <f t="shared" si="176"/>
        <v>#NUM!</v>
      </c>
      <c r="DR172" s="22" t="e">
        <f t="shared" si="177"/>
        <v>#NUM!</v>
      </c>
      <c r="DS172" s="62" t="e">
        <f t="shared" si="130"/>
        <v>#NUM!</v>
      </c>
      <c r="DT172" s="62">
        <f ca="1">AVERAGE(OFFSET($DS$3,0,0,'Données projet'!$E$14+1,1))-AVERAGE(OFFSET($H$3,0,0,'Données projet'!$E$14+1,1))</f>
        <v>290.20755061064017</v>
      </c>
      <c r="DU172" s="62">
        <f t="shared" si="131"/>
        <v>343.54750327717181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5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1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-1.1368683772161603E-13</v>
      </c>
      <c r="O173" s="14">
        <f>N173*VLOOKUP('Données projet'!$B$9,Paramètres!$A$1:$I$88,3,0)*VLOOKUP('Données projet'!$B$9,Paramètres!$A$1:$I$88,5,0)</f>
        <v>-5.3205440053716299E-14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300.03481708703549</v>
      </c>
      <c r="T173" s="62">
        <f t="shared" si="110"/>
        <v>102.6350860969182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-2.2737367544323206E-13</v>
      </c>
      <c r="AJ173" s="14">
        <f>AI173*VLOOKUP('Données projet'!$B$10,Paramètres!$A$1:$I$88,3,0)*VLOOKUP('Données projet'!$B$10,Paramètres!$A$1:$I$88,5,0)</f>
        <v>-1.2710188457276673E-13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328.27336939084597</v>
      </c>
      <c r="AO173" s="62">
        <f t="shared" si="115"/>
        <v>448.79354389108755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0.33718946969475905</v>
      </c>
      <c r="AV173" s="23">
        <f>EXP(-LN(2)/25)*AV172+(1-EXP(-LN(2)/25))/(LN(2)/25)*Calculateur!AQ173*Calculateur!AS173*VLOOKUP('Données projet'!$B$9,Paramètres!$A$1:$I$88,3,0)*0.475*44/12</f>
        <v>0.28375341033565843</v>
      </c>
      <c r="AW173" s="23">
        <f>EXP(-LN(2)/2)*AW172+(1-EXP(-LN(2)/2))/(LN(2)/2)*AQ173*AT173*VLOOKUP('Données projet'!$B$9,Paramètres!$A$1:$I$88,3,0)*0.475*44/12</f>
        <v>1.2339313348654335E-20</v>
      </c>
      <c r="AX173" s="23">
        <f t="shared" si="166"/>
        <v>0.62094288003041753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-2.2737367544323206E-13</v>
      </c>
      <c r="BE173" s="14">
        <f>BD173*VLOOKUP('Données projet'!$B$11,Paramètres!$A$1:$I$88,3,0)*VLOOKUP('Données projet'!$B$11,Paramètres!$A$1:$I$88,5,0)</f>
        <v>-1.9863364286720756E-13</v>
      </c>
      <c r="BF173" s="14" t="e">
        <f t="shared" si="167"/>
        <v>#NUM!</v>
      </c>
      <c r="BG173" s="22" t="e">
        <f t="shared" si="168"/>
        <v>#NUM!</v>
      </c>
      <c r="BH173" s="62" t="e">
        <f t="shared" si="118"/>
        <v>#NUM!</v>
      </c>
      <c r="BI173" s="62">
        <f ca="1">AVERAGE(OFFSET($BH$3,0,0,'Données projet'!$E$11+1,1))-AVERAGE(OFFSET($H$3,0,0,'Données projet'!$E$11+1,1))</f>
        <v>348.65374983303883</v>
      </c>
      <c r="BJ173" s="62">
        <f t="shared" si="119"/>
        <v>312.05848669315151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-5.6843418860808015E-14</v>
      </c>
      <c r="BZ173" s="14">
        <f>BY173*VLOOKUP('Données projet'!$B$12,Paramètres!$A$1:$I$88,3,0)*VLOOKUP('Données projet'!$B$12,Paramètres!$A$1:$I$88,5,0)</f>
        <v>-4.1677594708744434E-14</v>
      </c>
      <c r="CA173" s="14" t="e">
        <f t="shared" si="170"/>
        <v>#NUM!</v>
      </c>
      <c r="CB173" s="22" t="e">
        <f t="shared" si="171"/>
        <v>#NUM!</v>
      </c>
      <c r="CC173" s="62" t="e">
        <f t="shared" si="122"/>
        <v>#NUM!</v>
      </c>
      <c r="CD173" s="62">
        <f ca="1">AVERAGE(OFFSET($CC$3,0,0,'Données projet'!$E$12+1,1))-AVERAGE(OFFSET($H$3,0,0,'Données projet'!$E$12+1,1))</f>
        <v>264.06656596707364</v>
      </c>
      <c r="CE173" s="62">
        <f t="shared" si="123"/>
        <v>315.34415130230195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5.6843418860808015E-14</v>
      </c>
      <c r="CU173" s="18">
        <f>CT173*VLOOKUP('Données projet'!$B$13,Paramètres!$A$1:$I$88,3,0)*VLOOKUP('Données projet'!$B$13,Paramètres!$A$1:$I$88,5,0)</f>
        <v>3.3992364478763198E-14</v>
      </c>
      <c r="CV173" s="14">
        <f t="shared" si="173"/>
        <v>5.790027782444094E-13</v>
      </c>
      <c r="CW173" s="22">
        <f t="shared" si="174"/>
        <v>1.0676332069095257E-12</v>
      </c>
      <c r="CX173" s="62">
        <f t="shared" si="126"/>
        <v>293.33333333333439</v>
      </c>
      <c r="CY173" s="62">
        <f ca="1">AVERAGE(OFFSET($CX$3,0,0,'Données projet'!$E$13+1,1))-AVERAGE(OFFSET($H$3,0,0,'Données projet'!$E$13+1,1))</f>
        <v>162.29089122912319</v>
      </c>
      <c r="CZ173" s="62">
        <f t="shared" si="127"/>
        <v>253.15422514195427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0.66014710022246237</v>
      </c>
      <c r="DG173" s="23">
        <f>EXP(-LN(2)/25)*DG172+(1-EXP(-LN(2)/25))/(LN(2)/25)*Calculateur!DB173*Calculateur!DD173*VLOOKUP('Données projet'!$B$9,Paramètres!$A$1:$I$88,3,0)*0.475*44/12</f>
        <v>0.10943893260945707</v>
      </c>
      <c r="DH173" s="23">
        <f>EXP(-LN(2)/2)*DH172+(1-EXP(-LN(2)/2))/(LN(2)/2)*DB173*DE173*VLOOKUP('Données projet'!$B$9,Paramètres!$A$1:$I$88,3,0)*0.475*44/12</f>
        <v>1.978754865281611E-21</v>
      </c>
      <c r="DI173" s="24">
        <f t="shared" si="175"/>
        <v>0.7695860328319194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-5.6843418860808015E-14</v>
      </c>
      <c r="DP173" s="18">
        <f>DO173*VLOOKUP('Données projet'!$B$14,Paramètres!$A$1:$I$88,3,0)*VLOOKUP('Données projet'!$B$14,Paramètres!$A$1:$I$88,5,0)</f>
        <v>-4.5224624045658861E-14</v>
      </c>
      <c r="DQ173" s="14" t="e">
        <f t="shared" si="176"/>
        <v>#NUM!</v>
      </c>
      <c r="DR173" s="22" t="e">
        <f t="shared" si="177"/>
        <v>#NUM!</v>
      </c>
      <c r="DS173" s="62" t="e">
        <f t="shared" si="130"/>
        <v>#NUM!</v>
      </c>
      <c r="DT173" s="62">
        <f ca="1">AVERAGE(OFFSET($DS$3,0,0,'Données projet'!$E$14+1,1))-AVERAGE(OFFSET($H$3,0,0,'Données projet'!$E$14+1,1))</f>
        <v>290.20755061064017</v>
      </c>
      <c r="DU173" s="62">
        <f t="shared" si="131"/>
        <v>343.54750327717181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5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1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-1.1368683772161603E-13</v>
      </c>
      <c r="O174" s="14">
        <f>N174*VLOOKUP('Données projet'!$B$9,Paramètres!$A$1:$I$88,3,0)*VLOOKUP('Données projet'!$B$9,Paramètres!$A$1:$I$88,5,0)</f>
        <v>-5.3205440053716299E-14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300.03481708703549</v>
      </c>
      <c r="T174" s="62">
        <f t="shared" si="110"/>
        <v>102.6350860969182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-2.2737367544323206E-13</v>
      </c>
      <c r="AJ174" s="14">
        <f>AI174*VLOOKUP('Données projet'!$B$10,Paramètres!$A$1:$I$88,3,0)*VLOOKUP('Données projet'!$B$10,Paramètres!$A$1:$I$88,5,0)</f>
        <v>-1.2710188457276673E-13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328.27336939084597</v>
      </c>
      <c r="AO174" s="62">
        <f t="shared" si="115"/>
        <v>448.79354389108755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0.33057738985931356</v>
      </c>
      <c r="AV174" s="23">
        <f>EXP(-LN(2)/25)*AV173+(1-EXP(-LN(2)/25))/(LN(2)/25)*Calculateur!AQ174*Calculateur!AS174*VLOOKUP('Données projet'!$B$9,Paramètres!$A$1:$I$88,3,0)*0.475*44/12</f>
        <v>0.27599415840808655</v>
      </c>
      <c r="AW174" s="23">
        <f>EXP(-LN(2)/2)*AW173+(1-EXP(-LN(2)/2))/(LN(2)/2)*AQ174*AT174*VLOOKUP('Données projet'!$B$9,Paramètres!$A$1:$I$88,3,0)*0.475*44/12</f>
        <v>8.7252121440191654E-21</v>
      </c>
      <c r="AX174" s="23">
        <f t="shared" si="166"/>
        <v>0.60657154826740012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-2.2737367544323206E-13</v>
      </c>
      <c r="BE174" s="14">
        <f>BD174*VLOOKUP('Données projet'!$B$11,Paramètres!$A$1:$I$88,3,0)*VLOOKUP('Données projet'!$B$11,Paramètres!$A$1:$I$88,5,0)</f>
        <v>-1.9863364286720756E-13</v>
      </c>
      <c r="BF174" s="14" t="e">
        <f t="shared" si="167"/>
        <v>#NUM!</v>
      </c>
      <c r="BG174" s="22" t="e">
        <f t="shared" si="168"/>
        <v>#NUM!</v>
      </c>
      <c r="BH174" s="62" t="e">
        <f t="shared" si="118"/>
        <v>#NUM!</v>
      </c>
      <c r="BI174" s="62">
        <f ca="1">AVERAGE(OFFSET($BH$3,0,0,'Données projet'!$E$11+1,1))-AVERAGE(OFFSET($H$3,0,0,'Données projet'!$E$11+1,1))</f>
        <v>348.65374983303883</v>
      </c>
      <c r="BJ174" s="62">
        <f t="shared" si="119"/>
        <v>312.05848669315151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-5.6843418860808015E-14</v>
      </c>
      <c r="BZ174" s="14">
        <f>BY174*VLOOKUP('Données projet'!$B$12,Paramètres!$A$1:$I$88,3,0)*VLOOKUP('Données projet'!$B$12,Paramètres!$A$1:$I$88,5,0)</f>
        <v>-4.1677594708744434E-14</v>
      </c>
      <c r="CA174" s="14" t="e">
        <f t="shared" si="170"/>
        <v>#NUM!</v>
      </c>
      <c r="CB174" s="22" t="e">
        <f t="shared" si="171"/>
        <v>#NUM!</v>
      </c>
      <c r="CC174" s="62" t="e">
        <f t="shared" si="122"/>
        <v>#NUM!</v>
      </c>
      <c r="CD174" s="62">
        <f ca="1">AVERAGE(OFFSET($CC$3,0,0,'Données projet'!$E$12+1,1))-AVERAGE(OFFSET($H$3,0,0,'Données projet'!$E$12+1,1))</f>
        <v>264.06656596707364</v>
      </c>
      <c r="CE174" s="62">
        <f t="shared" si="123"/>
        <v>315.34415130230195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5.6843418860808015E-14</v>
      </c>
      <c r="CU174" s="18">
        <f>CT174*VLOOKUP('Données projet'!$B$13,Paramètres!$A$1:$I$88,3,0)*VLOOKUP('Données projet'!$B$13,Paramètres!$A$1:$I$88,5,0)</f>
        <v>3.3992364478763198E-14</v>
      </c>
      <c r="CV174" s="14">
        <f t="shared" si="173"/>
        <v>5.790027782444094E-13</v>
      </c>
      <c r="CW174" s="22">
        <f t="shared" si="174"/>
        <v>1.0676332069095257E-12</v>
      </c>
      <c r="CX174" s="62">
        <f t="shared" si="126"/>
        <v>293.33333333333439</v>
      </c>
      <c r="CY174" s="62">
        <f ca="1">AVERAGE(OFFSET($CX$3,0,0,'Données projet'!$E$13+1,1))-AVERAGE(OFFSET($H$3,0,0,'Données projet'!$E$13+1,1))</f>
        <v>162.29089122912319</v>
      </c>
      <c r="CZ174" s="62">
        <f t="shared" si="127"/>
        <v>253.15422514195427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0.64720201823707268</v>
      </c>
      <c r="DG174" s="23">
        <f>EXP(-LN(2)/25)*DG173+(1-EXP(-LN(2)/25))/(LN(2)/25)*Calculateur!DB174*Calculateur!DD174*VLOOKUP('Données projet'!$B$9,Paramètres!$A$1:$I$88,3,0)*0.475*44/12</f>
        <v>0.10644631924210812</v>
      </c>
      <c r="DH174" s="23">
        <f>EXP(-LN(2)/2)*DH173+(1-EXP(-LN(2)/2))/(LN(2)/2)*DB174*DE174*VLOOKUP('Données projet'!$B$9,Paramètres!$A$1:$I$88,3,0)*0.475*44/12</f>
        <v>1.3991909835465005E-21</v>
      </c>
      <c r="DI174" s="24">
        <f t="shared" si="175"/>
        <v>0.75364833747918081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-5.6843418860808015E-14</v>
      </c>
      <c r="DP174" s="18">
        <f>DO174*VLOOKUP('Données projet'!$B$14,Paramètres!$A$1:$I$88,3,0)*VLOOKUP('Données projet'!$B$14,Paramètres!$A$1:$I$88,5,0)</f>
        <v>-4.5224624045658861E-14</v>
      </c>
      <c r="DQ174" s="14" t="e">
        <f t="shared" si="176"/>
        <v>#NUM!</v>
      </c>
      <c r="DR174" s="22" t="e">
        <f t="shared" si="177"/>
        <v>#NUM!</v>
      </c>
      <c r="DS174" s="62" t="e">
        <f t="shared" si="130"/>
        <v>#NUM!</v>
      </c>
      <c r="DT174" s="62">
        <f ca="1">AVERAGE(OFFSET($DS$3,0,0,'Données projet'!$E$14+1,1))-AVERAGE(OFFSET($H$3,0,0,'Données projet'!$E$14+1,1))</f>
        <v>290.20755061064017</v>
      </c>
      <c r="DU174" s="62">
        <f t="shared" si="131"/>
        <v>343.54750327717181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5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1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-1.1368683772161603E-13</v>
      </c>
      <c r="O175" s="14">
        <f>N175*VLOOKUP('Données projet'!$B$9,Paramètres!$A$1:$I$88,3,0)*VLOOKUP('Données projet'!$B$9,Paramètres!$A$1:$I$88,5,0)</f>
        <v>-5.3205440053716299E-14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300.03481708703549</v>
      </c>
      <c r="T175" s="62">
        <f t="shared" si="110"/>
        <v>102.6350860969182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-2.2737367544323206E-13</v>
      </c>
      <c r="AJ175" s="14">
        <f>AI175*VLOOKUP('Données projet'!$B$10,Paramètres!$A$1:$I$88,3,0)*VLOOKUP('Données projet'!$B$10,Paramètres!$A$1:$I$88,5,0)</f>
        <v>-1.2710188457276673E-13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328.27336939084597</v>
      </c>
      <c r="AO175" s="62">
        <f t="shared" si="115"/>
        <v>448.79354389108755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0.32409496887647071</v>
      </c>
      <c r="AV175" s="23">
        <f>EXP(-LN(2)/25)*AV174+(1-EXP(-LN(2)/25))/(LN(2)/25)*Calculateur!AQ175*Calculateur!AS175*VLOOKUP('Données projet'!$B$9,Paramètres!$A$1:$I$88,3,0)*0.475*44/12</f>
        <v>0.2684470836325154</v>
      </c>
      <c r="AW175" s="23">
        <f>EXP(-LN(2)/2)*AW174+(1-EXP(-LN(2)/2))/(LN(2)/2)*AQ175*AT175*VLOOKUP('Données projet'!$B$9,Paramètres!$A$1:$I$88,3,0)*0.475*44/12</f>
        <v>6.1696566743271673E-21</v>
      </c>
      <c r="AX175" s="23">
        <f t="shared" si="166"/>
        <v>0.59254205250898617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-2.2737367544323206E-13</v>
      </c>
      <c r="BE175" s="14">
        <f>BD175*VLOOKUP('Données projet'!$B$11,Paramètres!$A$1:$I$88,3,0)*VLOOKUP('Données projet'!$B$11,Paramètres!$A$1:$I$88,5,0)</f>
        <v>-1.9863364286720756E-13</v>
      </c>
      <c r="BF175" s="14" t="e">
        <f t="shared" si="167"/>
        <v>#NUM!</v>
      </c>
      <c r="BG175" s="22" t="e">
        <f t="shared" si="168"/>
        <v>#NUM!</v>
      </c>
      <c r="BH175" s="62" t="e">
        <f t="shared" si="118"/>
        <v>#NUM!</v>
      </c>
      <c r="BI175" s="62">
        <f ca="1">AVERAGE(OFFSET($BH$3,0,0,'Données projet'!$E$11+1,1))-AVERAGE(OFFSET($H$3,0,0,'Données projet'!$E$11+1,1))</f>
        <v>348.65374983303883</v>
      </c>
      <c r="BJ175" s="62">
        <f t="shared" si="119"/>
        <v>312.05848669315151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-5.6843418860808015E-14</v>
      </c>
      <c r="BZ175" s="14">
        <f>BY175*VLOOKUP('Données projet'!$B$12,Paramètres!$A$1:$I$88,3,0)*VLOOKUP('Données projet'!$B$12,Paramètres!$A$1:$I$88,5,0)</f>
        <v>-4.1677594708744434E-14</v>
      </c>
      <c r="CA175" s="14" t="e">
        <f t="shared" si="170"/>
        <v>#NUM!</v>
      </c>
      <c r="CB175" s="22" t="e">
        <f t="shared" si="171"/>
        <v>#NUM!</v>
      </c>
      <c r="CC175" s="62" t="e">
        <f t="shared" si="122"/>
        <v>#NUM!</v>
      </c>
      <c r="CD175" s="62">
        <f ca="1">AVERAGE(OFFSET($CC$3,0,0,'Données projet'!$E$12+1,1))-AVERAGE(OFFSET($H$3,0,0,'Données projet'!$E$12+1,1))</f>
        <v>264.06656596707364</v>
      </c>
      <c r="CE175" s="62">
        <f t="shared" si="123"/>
        <v>315.34415130230195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5.6843418860808015E-14</v>
      </c>
      <c r="CU175" s="18">
        <f>CT175*VLOOKUP('Données projet'!$B$13,Paramètres!$A$1:$I$88,3,0)*VLOOKUP('Données projet'!$B$13,Paramètres!$A$1:$I$88,5,0)</f>
        <v>3.3992364478763198E-14</v>
      </c>
      <c r="CV175" s="14">
        <f t="shared" si="173"/>
        <v>5.790027782444094E-13</v>
      </c>
      <c r="CW175" s="22">
        <f t="shared" si="174"/>
        <v>1.0676332069095257E-12</v>
      </c>
      <c r="CX175" s="62">
        <f t="shared" si="126"/>
        <v>293.33333333333439</v>
      </c>
      <c r="CY175" s="62">
        <f ca="1">AVERAGE(OFFSET($CX$3,0,0,'Données projet'!$E$13+1,1))-AVERAGE(OFFSET($H$3,0,0,'Données projet'!$E$13+1,1))</f>
        <v>162.29089122912319</v>
      </c>
      <c r="CZ175" s="62">
        <f t="shared" si="127"/>
        <v>253.15422514195427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0.6345107814136961</v>
      </c>
      <c r="DG175" s="23">
        <f>EXP(-LN(2)/25)*DG174+(1-EXP(-LN(2)/25))/(LN(2)/25)*Calculateur!DB175*Calculateur!DD175*VLOOKUP('Données projet'!$B$9,Paramètres!$A$1:$I$88,3,0)*0.475*44/12</f>
        <v>0.10353553904466403</v>
      </c>
      <c r="DH175" s="23">
        <f>EXP(-LN(2)/2)*DH174+(1-EXP(-LN(2)/2))/(LN(2)/2)*DB175*DE175*VLOOKUP('Données projet'!$B$9,Paramètres!$A$1:$I$88,3,0)*0.475*44/12</f>
        <v>9.893774326408055E-22</v>
      </c>
      <c r="DI175" s="24">
        <f t="shared" si="175"/>
        <v>0.73804632045836016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-5.6843418860808015E-14</v>
      </c>
      <c r="DP175" s="18">
        <f>DO175*VLOOKUP('Données projet'!$B$14,Paramètres!$A$1:$I$88,3,0)*VLOOKUP('Données projet'!$B$14,Paramètres!$A$1:$I$88,5,0)</f>
        <v>-4.5224624045658861E-14</v>
      </c>
      <c r="DQ175" s="14" t="e">
        <f t="shared" si="176"/>
        <v>#NUM!</v>
      </c>
      <c r="DR175" s="22" t="e">
        <f t="shared" si="177"/>
        <v>#NUM!</v>
      </c>
      <c r="DS175" s="62" t="e">
        <f t="shared" si="130"/>
        <v>#NUM!</v>
      </c>
      <c r="DT175" s="62">
        <f ca="1">AVERAGE(OFFSET($DS$3,0,0,'Données projet'!$E$14+1,1))-AVERAGE(OFFSET($H$3,0,0,'Données projet'!$E$14+1,1))</f>
        <v>290.20755061064017</v>
      </c>
      <c r="DU175" s="62">
        <f t="shared" si="131"/>
        <v>343.54750327717181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5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1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-1.1368683772161603E-13</v>
      </c>
      <c r="O176" s="14">
        <f>N176*VLOOKUP('Données projet'!$B$9,Paramètres!$A$1:$I$88,3,0)*VLOOKUP('Données projet'!$B$9,Paramètres!$A$1:$I$88,5,0)</f>
        <v>-5.3205440053716299E-14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300.03481708703549</v>
      </c>
      <c r="T176" s="62">
        <f t="shared" si="110"/>
        <v>102.6350860969182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-2.2737367544323206E-13</v>
      </c>
      <c r="AJ176" s="14">
        <f>AI176*VLOOKUP('Données projet'!$B$10,Paramètres!$A$1:$I$88,3,0)*VLOOKUP('Données projet'!$B$10,Paramètres!$A$1:$I$88,5,0)</f>
        <v>-1.2710188457276673E-13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328.27336939084597</v>
      </c>
      <c r="AO176" s="62">
        <f t="shared" si="115"/>
        <v>448.79354389108755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0.31773966421521499</v>
      </c>
      <c r="AV176" s="23">
        <f>EXP(-LN(2)/25)*AV175+(1-EXP(-LN(2)/25))/(LN(2)/25)*Calculateur!AQ176*Calculateur!AS176*VLOOKUP('Données projet'!$B$9,Paramètres!$A$1:$I$88,3,0)*0.475*44/12</f>
        <v>0.26110638401356567</v>
      </c>
      <c r="AW176" s="23">
        <f>EXP(-LN(2)/2)*AW175+(1-EXP(-LN(2)/2))/(LN(2)/2)*AQ176*AT176*VLOOKUP('Données projet'!$B$9,Paramètres!$A$1:$I$88,3,0)*0.475*44/12</f>
        <v>4.3626060720095827E-21</v>
      </c>
      <c r="AX176" s="23">
        <f t="shared" si="166"/>
        <v>0.57884604822878072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-2.2737367544323206E-13</v>
      </c>
      <c r="BE176" s="14">
        <f>BD176*VLOOKUP('Données projet'!$B$11,Paramètres!$A$1:$I$88,3,0)*VLOOKUP('Données projet'!$B$11,Paramètres!$A$1:$I$88,5,0)</f>
        <v>-1.9863364286720756E-13</v>
      </c>
      <c r="BF176" s="14" t="e">
        <f t="shared" si="167"/>
        <v>#NUM!</v>
      </c>
      <c r="BG176" s="22" t="e">
        <f t="shared" si="168"/>
        <v>#NUM!</v>
      </c>
      <c r="BH176" s="62" t="e">
        <f t="shared" si="118"/>
        <v>#NUM!</v>
      </c>
      <c r="BI176" s="62">
        <f ca="1">AVERAGE(OFFSET($BH$3,0,0,'Données projet'!$E$11+1,1))-AVERAGE(OFFSET($H$3,0,0,'Données projet'!$E$11+1,1))</f>
        <v>348.65374983303883</v>
      </c>
      <c r="BJ176" s="62">
        <f t="shared" si="119"/>
        <v>312.05848669315151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-5.6843418860808015E-14</v>
      </c>
      <c r="BZ176" s="14">
        <f>BY176*VLOOKUP('Données projet'!$B$12,Paramètres!$A$1:$I$88,3,0)*VLOOKUP('Données projet'!$B$12,Paramètres!$A$1:$I$88,5,0)</f>
        <v>-4.1677594708744434E-14</v>
      </c>
      <c r="CA176" s="14" t="e">
        <f t="shared" si="170"/>
        <v>#NUM!</v>
      </c>
      <c r="CB176" s="22" t="e">
        <f t="shared" si="171"/>
        <v>#NUM!</v>
      </c>
      <c r="CC176" s="62" t="e">
        <f t="shared" si="122"/>
        <v>#NUM!</v>
      </c>
      <c r="CD176" s="62">
        <f ca="1">AVERAGE(OFFSET($CC$3,0,0,'Données projet'!$E$12+1,1))-AVERAGE(OFFSET($H$3,0,0,'Données projet'!$E$12+1,1))</f>
        <v>264.06656596707364</v>
      </c>
      <c r="CE176" s="62">
        <f t="shared" si="123"/>
        <v>315.34415130230195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5.6843418860808015E-14</v>
      </c>
      <c r="CU176" s="18">
        <f>CT176*VLOOKUP('Données projet'!$B$13,Paramètres!$A$1:$I$88,3,0)*VLOOKUP('Données projet'!$B$13,Paramètres!$A$1:$I$88,5,0)</f>
        <v>3.3992364478763198E-14</v>
      </c>
      <c r="CV176" s="14">
        <f t="shared" si="173"/>
        <v>5.790027782444094E-13</v>
      </c>
      <c r="CW176" s="22">
        <f t="shared" si="174"/>
        <v>1.0676332069095257E-12</v>
      </c>
      <c r="CX176" s="62">
        <f t="shared" si="126"/>
        <v>293.33333333333439</v>
      </c>
      <c r="CY176" s="62">
        <f ca="1">AVERAGE(OFFSET($CX$3,0,0,'Données projet'!$E$13+1,1))-AVERAGE(OFFSET($H$3,0,0,'Données projet'!$E$13+1,1))</f>
        <v>162.29089122912319</v>
      </c>
      <c r="CZ176" s="62">
        <f t="shared" si="127"/>
        <v>253.15422514195427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0.6220684120035358</v>
      </c>
      <c r="DG176" s="23">
        <f>EXP(-LN(2)/25)*DG175+(1-EXP(-LN(2)/25))/(LN(2)/25)*Calculateur!DB176*Calculateur!DD176*VLOOKUP('Données projet'!$B$9,Paramètres!$A$1:$I$88,3,0)*0.475*44/12</f>
        <v>0.10070435428479033</v>
      </c>
      <c r="DH176" s="23">
        <f>EXP(-LN(2)/2)*DH175+(1-EXP(-LN(2)/2))/(LN(2)/2)*DB176*DE176*VLOOKUP('Données projet'!$B$9,Paramètres!$A$1:$I$88,3,0)*0.475*44/12</f>
        <v>6.9959549177325023E-22</v>
      </c>
      <c r="DI176" s="24">
        <f t="shared" si="175"/>
        <v>0.7227727662883261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-5.6843418860808015E-14</v>
      </c>
      <c r="DP176" s="18">
        <f>DO176*VLOOKUP('Données projet'!$B$14,Paramètres!$A$1:$I$88,3,0)*VLOOKUP('Données projet'!$B$14,Paramètres!$A$1:$I$88,5,0)</f>
        <v>-4.5224624045658861E-14</v>
      </c>
      <c r="DQ176" s="14" t="e">
        <f t="shared" si="176"/>
        <v>#NUM!</v>
      </c>
      <c r="DR176" s="22" t="e">
        <f t="shared" si="177"/>
        <v>#NUM!</v>
      </c>
      <c r="DS176" s="62" t="e">
        <f t="shared" si="130"/>
        <v>#NUM!</v>
      </c>
      <c r="DT176" s="62">
        <f ca="1">AVERAGE(OFFSET($DS$3,0,0,'Données projet'!$E$14+1,1))-AVERAGE(OFFSET($H$3,0,0,'Données projet'!$E$14+1,1))</f>
        <v>290.20755061064017</v>
      </c>
      <c r="DU176" s="62">
        <f t="shared" si="131"/>
        <v>343.54750327717181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5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1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-1.1368683772161603E-13</v>
      </c>
      <c r="O177" s="14">
        <f>N177*VLOOKUP('Données projet'!$B$9,Paramètres!$A$1:$I$88,3,0)*VLOOKUP('Données projet'!$B$9,Paramètres!$A$1:$I$88,5,0)</f>
        <v>-5.3205440053716299E-14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300.03481708703549</v>
      </c>
      <c r="T177" s="62">
        <f t="shared" si="110"/>
        <v>102.6350860969182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-2.2737367544323206E-13</v>
      </c>
      <c r="AJ177" s="14">
        <f>AI177*VLOOKUP('Données projet'!$B$10,Paramètres!$A$1:$I$88,3,0)*VLOOKUP('Données projet'!$B$10,Paramètres!$A$1:$I$88,5,0)</f>
        <v>-1.2710188457276673E-13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328.27336939084597</v>
      </c>
      <c r="AO177" s="62">
        <f t="shared" si="115"/>
        <v>448.79354389108755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0.31150898320201342</v>
      </c>
      <c r="AV177" s="23">
        <f>EXP(-LN(2)/25)*AV176+(1-EXP(-LN(2)/25))/(LN(2)/25)*Calculateur!AQ177*Calculateur!AS177*VLOOKUP('Données projet'!$B$9,Paramètres!$A$1:$I$88,3,0)*0.475*44/12</f>
        <v>0.25396641621172678</v>
      </c>
      <c r="AW177" s="23">
        <f>EXP(-LN(2)/2)*AW176+(1-EXP(-LN(2)/2))/(LN(2)/2)*AQ177*AT177*VLOOKUP('Données projet'!$B$9,Paramètres!$A$1:$I$88,3,0)*0.475*44/12</f>
        <v>3.0848283371635836E-21</v>
      </c>
      <c r="AX177" s="23">
        <f t="shared" si="166"/>
        <v>0.56547539941374025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-2.2737367544323206E-13</v>
      </c>
      <c r="BE177" s="14">
        <f>BD177*VLOOKUP('Données projet'!$B$11,Paramètres!$A$1:$I$88,3,0)*VLOOKUP('Données projet'!$B$11,Paramètres!$A$1:$I$88,5,0)</f>
        <v>-1.9863364286720756E-13</v>
      </c>
      <c r="BF177" s="14" t="e">
        <f t="shared" si="167"/>
        <v>#NUM!</v>
      </c>
      <c r="BG177" s="22" t="e">
        <f t="shared" si="168"/>
        <v>#NUM!</v>
      </c>
      <c r="BH177" s="62" t="e">
        <f t="shared" si="118"/>
        <v>#NUM!</v>
      </c>
      <c r="BI177" s="62">
        <f ca="1">AVERAGE(OFFSET($BH$3,0,0,'Données projet'!$E$11+1,1))-AVERAGE(OFFSET($H$3,0,0,'Données projet'!$E$11+1,1))</f>
        <v>348.65374983303883</v>
      </c>
      <c r="BJ177" s="62">
        <f t="shared" si="119"/>
        <v>312.05848669315151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-5.6843418860808015E-14</v>
      </c>
      <c r="BZ177" s="14">
        <f>BY177*VLOOKUP('Données projet'!$B$12,Paramètres!$A$1:$I$88,3,0)*VLOOKUP('Données projet'!$B$12,Paramètres!$A$1:$I$88,5,0)</f>
        <v>-4.1677594708744434E-14</v>
      </c>
      <c r="CA177" s="14" t="e">
        <f t="shared" si="170"/>
        <v>#NUM!</v>
      </c>
      <c r="CB177" s="22" t="e">
        <f t="shared" si="171"/>
        <v>#NUM!</v>
      </c>
      <c r="CC177" s="62" t="e">
        <f t="shared" si="122"/>
        <v>#NUM!</v>
      </c>
      <c r="CD177" s="62">
        <f ca="1">AVERAGE(OFFSET($CC$3,0,0,'Données projet'!$E$12+1,1))-AVERAGE(OFFSET($H$3,0,0,'Données projet'!$E$12+1,1))</f>
        <v>264.06656596707364</v>
      </c>
      <c r="CE177" s="62">
        <f t="shared" si="123"/>
        <v>315.34415130230195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5.6843418860808015E-14</v>
      </c>
      <c r="CU177" s="18">
        <f>CT177*VLOOKUP('Données projet'!$B$13,Paramètres!$A$1:$I$88,3,0)*VLOOKUP('Données projet'!$B$13,Paramètres!$A$1:$I$88,5,0)</f>
        <v>3.3992364478763198E-14</v>
      </c>
      <c r="CV177" s="14">
        <f t="shared" si="173"/>
        <v>5.790027782444094E-13</v>
      </c>
      <c r="CW177" s="22">
        <f t="shared" si="174"/>
        <v>1.0676332069095257E-12</v>
      </c>
      <c r="CX177" s="62">
        <f t="shared" si="126"/>
        <v>293.33333333333439</v>
      </c>
      <c r="CY177" s="62">
        <f ca="1">AVERAGE(OFFSET($CX$3,0,0,'Données projet'!$E$13+1,1))-AVERAGE(OFFSET($H$3,0,0,'Données projet'!$E$13+1,1))</f>
        <v>162.29089122912319</v>
      </c>
      <c r="CZ177" s="62">
        <f t="shared" si="127"/>
        <v>253.15422514195427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0.60987002986841277</v>
      </c>
      <c r="DG177" s="23">
        <f>EXP(-LN(2)/25)*DG176+(1-EXP(-LN(2)/25))/(LN(2)/25)*Calculateur!DB177*Calculateur!DD177*VLOOKUP('Données projet'!$B$9,Paramètres!$A$1:$I$88,3,0)*0.475*44/12</f>
        <v>9.79505884210609E-2</v>
      </c>
      <c r="DH177" s="23">
        <f>EXP(-LN(2)/2)*DH176+(1-EXP(-LN(2)/2))/(LN(2)/2)*DB177*DE177*VLOOKUP('Données projet'!$B$9,Paramètres!$A$1:$I$88,3,0)*0.475*44/12</f>
        <v>4.9468871632040275E-22</v>
      </c>
      <c r="DI177" s="24">
        <f t="shared" si="175"/>
        <v>0.70782061828947362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-5.6843418860808015E-14</v>
      </c>
      <c r="DP177" s="18">
        <f>DO177*VLOOKUP('Données projet'!$B$14,Paramètres!$A$1:$I$88,3,0)*VLOOKUP('Données projet'!$B$14,Paramètres!$A$1:$I$88,5,0)</f>
        <v>-4.5224624045658861E-14</v>
      </c>
      <c r="DQ177" s="14" t="e">
        <f t="shared" si="176"/>
        <v>#NUM!</v>
      </c>
      <c r="DR177" s="22" t="e">
        <f t="shared" si="177"/>
        <v>#NUM!</v>
      </c>
      <c r="DS177" s="62" t="e">
        <f t="shared" si="130"/>
        <v>#NUM!</v>
      </c>
      <c r="DT177" s="62">
        <f ca="1">AVERAGE(OFFSET($DS$3,0,0,'Données projet'!$E$14+1,1))-AVERAGE(OFFSET($H$3,0,0,'Données projet'!$E$14+1,1))</f>
        <v>290.20755061064017</v>
      </c>
      <c r="DU177" s="62">
        <f t="shared" si="131"/>
        <v>343.54750327717181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5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1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-1.1368683772161603E-13</v>
      </c>
      <c r="O178" s="14">
        <f>N178*VLOOKUP('Données projet'!$B$9,Paramètres!$A$1:$I$88,3,0)*VLOOKUP('Données projet'!$B$9,Paramètres!$A$1:$I$88,5,0)</f>
        <v>-5.3205440053716299E-14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300.03481708703549</v>
      </c>
      <c r="T178" s="62">
        <f t="shared" si="110"/>
        <v>102.6350860969182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-2.2737367544323206E-13</v>
      </c>
      <c r="AJ178" s="14">
        <f>AI178*VLOOKUP('Données projet'!$B$10,Paramètres!$A$1:$I$88,3,0)*VLOOKUP('Données projet'!$B$10,Paramètres!$A$1:$I$88,5,0)</f>
        <v>-1.2710188457276673E-13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328.27336939084597</v>
      </c>
      <c r="AO178" s="62">
        <f t="shared" si="115"/>
        <v>448.79354389108755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0.30540048204314058</v>
      </c>
      <c r="AV178" s="23">
        <f>EXP(-LN(2)/25)*AV177+(1-EXP(-LN(2)/25))/(LN(2)/25)*Calculateur!AQ178*Calculateur!AS178*VLOOKUP('Données projet'!$B$9,Paramètres!$A$1:$I$88,3,0)*0.475*44/12</f>
        <v>0.24702169120490372</v>
      </c>
      <c r="AW178" s="23">
        <f>EXP(-LN(2)/2)*AW177+(1-EXP(-LN(2)/2))/(LN(2)/2)*AQ178*AT178*VLOOKUP('Données projet'!$B$9,Paramètres!$A$1:$I$88,3,0)*0.475*44/12</f>
        <v>2.1813030360047914E-21</v>
      </c>
      <c r="AX178" s="23">
        <f t="shared" si="166"/>
        <v>0.55242217324804432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-2.2737367544323206E-13</v>
      </c>
      <c r="BE178" s="14">
        <f>BD178*VLOOKUP('Données projet'!$B$11,Paramètres!$A$1:$I$88,3,0)*VLOOKUP('Données projet'!$B$11,Paramètres!$A$1:$I$88,5,0)</f>
        <v>-1.9863364286720756E-13</v>
      </c>
      <c r="BF178" s="14" t="e">
        <f t="shared" si="167"/>
        <v>#NUM!</v>
      </c>
      <c r="BG178" s="22" t="e">
        <f t="shared" si="168"/>
        <v>#NUM!</v>
      </c>
      <c r="BH178" s="62" t="e">
        <f t="shared" si="118"/>
        <v>#NUM!</v>
      </c>
      <c r="BI178" s="62">
        <f ca="1">AVERAGE(OFFSET($BH$3,0,0,'Données projet'!$E$11+1,1))-AVERAGE(OFFSET($H$3,0,0,'Données projet'!$E$11+1,1))</f>
        <v>348.65374983303883</v>
      </c>
      <c r="BJ178" s="62">
        <f t="shared" si="119"/>
        <v>312.05848669315151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-5.6843418860808015E-14</v>
      </c>
      <c r="BZ178" s="14">
        <f>BY178*VLOOKUP('Données projet'!$B$12,Paramètres!$A$1:$I$88,3,0)*VLOOKUP('Données projet'!$B$12,Paramètres!$A$1:$I$88,5,0)</f>
        <v>-4.1677594708744434E-14</v>
      </c>
      <c r="CA178" s="14" t="e">
        <f t="shared" si="170"/>
        <v>#NUM!</v>
      </c>
      <c r="CB178" s="22" t="e">
        <f t="shared" si="171"/>
        <v>#NUM!</v>
      </c>
      <c r="CC178" s="62" t="e">
        <f t="shared" si="122"/>
        <v>#NUM!</v>
      </c>
      <c r="CD178" s="62">
        <f ca="1">AVERAGE(OFFSET($CC$3,0,0,'Données projet'!$E$12+1,1))-AVERAGE(OFFSET($H$3,0,0,'Données projet'!$E$12+1,1))</f>
        <v>264.06656596707364</v>
      </c>
      <c r="CE178" s="62">
        <f t="shared" si="123"/>
        <v>315.34415130230195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5.6843418860808015E-14</v>
      </c>
      <c r="CU178" s="18">
        <f>CT178*VLOOKUP('Données projet'!$B$13,Paramètres!$A$1:$I$88,3,0)*VLOOKUP('Données projet'!$B$13,Paramètres!$A$1:$I$88,5,0)</f>
        <v>3.3992364478763198E-14</v>
      </c>
      <c r="CV178" s="14">
        <f t="shared" si="173"/>
        <v>5.790027782444094E-13</v>
      </c>
      <c r="CW178" s="22">
        <f t="shared" si="174"/>
        <v>1.0676332069095257E-12</v>
      </c>
      <c r="CX178" s="62">
        <f t="shared" si="126"/>
        <v>293.33333333333439</v>
      </c>
      <c r="CY178" s="62">
        <f ca="1">AVERAGE(OFFSET($CX$3,0,0,'Données projet'!$E$13+1,1))-AVERAGE(OFFSET($H$3,0,0,'Données projet'!$E$13+1,1))</f>
        <v>162.29089122912319</v>
      </c>
      <c r="CZ178" s="62">
        <f t="shared" si="127"/>
        <v>253.15422514195427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0.59791085056668103</v>
      </c>
      <c r="DG178" s="23">
        <f>EXP(-LN(2)/25)*DG177+(1-EXP(-LN(2)/25))/(LN(2)/25)*Calculateur!DB178*Calculateur!DD178*VLOOKUP('Données projet'!$B$9,Paramètres!$A$1:$I$88,3,0)*0.475*44/12</f>
        <v>9.5272124429689409E-2</v>
      </c>
      <c r="DH178" s="23">
        <f>EXP(-LN(2)/2)*DH177+(1-EXP(-LN(2)/2))/(LN(2)/2)*DB178*DE178*VLOOKUP('Données projet'!$B$9,Paramètres!$A$1:$I$88,3,0)*0.475*44/12</f>
        <v>3.4979774588662511E-22</v>
      </c>
      <c r="DI178" s="24">
        <f t="shared" si="175"/>
        <v>0.69318297499637049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-5.6843418860808015E-14</v>
      </c>
      <c r="DP178" s="18">
        <f>DO178*VLOOKUP('Données projet'!$B$14,Paramètres!$A$1:$I$88,3,0)*VLOOKUP('Données projet'!$B$14,Paramètres!$A$1:$I$88,5,0)</f>
        <v>-4.5224624045658861E-14</v>
      </c>
      <c r="DQ178" s="14" t="e">
        <f t="shared" si="176"/>
        <v>#NUM!</v>
      </c>
      <c r="DR178" s="22" t="e">
        <f t="shared" si="177"/>
        <v>#NUM!</v>
      </c>
      <c r="DS178" s="62" t="e">
        <f t="shared" si="130"/>
        <v>#NUM!</v>
      </c>
      <c r="DT178" s="62">
        <f ca="1">AVERAGE(OFFSET($DS$3,0,0,'Données projet'!$E$14+1,1))-AVERAGE(OFFSET($H$3,0,0,'Données projet'!$E$14+1,1))</f>
        <v>290.20755061064017</v>
      </c>
      <c r="DU178" s="62">
        <f t="shared" si="131"/>
        <v>343.54750327717181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5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1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-1.1368683772161603E-13</v>
      </c>
      <c r="O179" s="14">
        <f>N179*VLOOKUP('Données projet'!$B$9,Paramètres!$A$1:$I$88,3,0)*VLOOKUP('Données projet'!$B$9,Paramètres!$A$1:$I$88,5,0)</f>
        <v>-5.3205440053716299E-14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300.03481708703549</v>
      </c>
      <c r="T179" s="62">
        <f t="shared" si="110"/>
        <v>102.6350860969182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-2.2737367544323206E-13</v>
      </c>
      <c r="AJ179" s="14">
        <f>AI179*VLOOKUP('Données projet'!$B$10,Paramètres!$A$1:$I$88,3,0)*VLOOKUP('Données projet'!$B$10,Paramètres!$A$1:$I$88,5,0)</f>
        <v>-1.2710188457276673E-13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328.27336939084597</v>
      </c>
      <c r="AO179" s="62">
        <f t="shared" si="115"/>
        <v>448.79354389108755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0.29941176486617543</v>
      </c>
      <c r="AV179" s="23">
        <f>EXP(-LN(2)/25)*AV178+(1-EXP(-LN(2)/25))/(LN(2)/25)*Calculateur!AQ179*Calculateur!AS179*VLOOKUP('Données projet'!$B$9,Paramètres!$A$1:$I$88,3,0)*0.475*44/12</f>
        <v>0.24026687006859945</v>
      </c>
      <c r="AW179" s="23">
        <f>EXP(-LN(2)/2)*AW178+(1-EXP(-LN(2)/2))/(LN(2)/2)*AQ179*AT179*VLOOKUP('Données projet'!$B$9,Paramètres!$A$1:$I$88,3,0)*0.475*44/12</f>
        <v>1.5424141685817918E-21</v>
      </c>
      <c r="AX179" s="23">
        <f t="shared" si="166"/>
        <v>0.53967863493477486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-2.2737367544323206E-13</v>
      </c>
      <c r="BE179" s="14">
        <f>BD179*VLOOKUP('Données projet'!$B$11,Paramètres!$A$1:$I$88,3,0)*VLOOKUP('Données projet'!$B$11,Paramètres!$A$1:$I$88,5,0)</f>
        <v>-1.9863364286720756E-13</v>
      </c>
      <c r="BF179" s="14" t="e">
        <f t="shared" si="167"/>
        <v>#NUM!</v>
      </c>
      <c r="BG179" s="22" t="e">
        <f t="shared" si="168"/>
        <v>#NUM!</v>
      </c>
      <c r="BH179" s="62" t="e">
        <f t="shared" si="118"/>
        <v>#NUM!</v>
      </c>
      <c r="BI179" s="62">
        <f ca="1">AVERAGE(OFFSET($BH$3,0,0,'Données projet'!$E$11+1,1))-AVERAGE(OFFSET($H$3,0,0,'Données projet'!$E$11+1,1))</f>
        <v>348.65374983303883</v>
      </c>
      <c r="BJ179" s="62">
        <f t="shared" si="119"/>
        <v>312.05848669315151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-5.6843418860808015E-14</v>
      </c>
      <c r="BZ179" s="14">
        <f>BY179*VLOOKUP('Données projet'!$B$12,Paramètres!$A$1:$I$88,3,0)*VLOOKUP('Données projet'!$B$12,Paramètres!$A$1:$I$88,5,0)</f>
        <v>-4.1677594708744434E-14</v>
      </c>
      <c r="CA179" s="14" t="e">
        <f t="shared" si="170"/>
        <v>#NUM!</v>
      </c>
      <c r="CB179" s="22" t="e">
        <f t="shared" si="171"/>
        <v>#NUM!</v>
      </c>
      <c r="CC179" s="62" t="e">
        <f t="shared" si="122"/>
        <v>#NUM!</v>
      </c>
      <c r="CD179" s="62">
        <f ca="1">AVERAGE(OFFSET($CC$3,0,0,'Données projet'!$E$12+1,1))-AVERAGE(OFFSET($H$3,0,0,'Données projet'!$E$12+1,1))</f>
        <v>264.06656596707364</v>
      </c>
      <c r="CE179" s="62">
        <f t="shared" si="123"/>
        <v>315.34415130230195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5.6843418860808015E-14</v>
      </c>
      <c r="CU179" s="18">
        <f>CT179*VLOOKUP('Données projet'!$B$13,Paramètres!$A$1:$I$88,3,0)*VLOOKUP('Données projet'!$B$13,Paramètres!$A$1:$I$88,5,0)</f>
        <v>3.3992364478763198E-14</v>
      </c>
      <c r="CV179" s="14">
        <f t="shared" si="173"/>
        <v>5.790027782444094E-13</v>
      </c>
      <c r="CW179" s="22">
        <f t="shared" si="174"/>
        <v>1.0676332069095257E-12</v>
      </c>
      <c r="CX179" s="62">
        <f t="shared" si="126"/>
        <v>293.33333333333439</v>
      </c>
      <c r="CY179" s="62">
        <f ca="1">AVERAGE(OFFSET($CX$3,0,0,'Données projet'!$E$13+1,1))-AVERAGE(OFFSET($H$3,0,0,'Données projet'!$E$13+1,1))</f>
        <v>162.29089122912319</v>
      </c>
      <c r="CZ179" s="62">
        <f t="shared" si="127"/>
        <v>253.15422514195427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0.58618618347667717</v>
      </c>
      <c r="DG179" s="23">
        <f>EXP(-LN(2)/25)*DG178+(1-EXP(-LN(2)/25))/(LN(2)/25)*Calculateur!DB179*Calculateur!DD179*VLOOKUP('Données projet'!$B$9,Paramètres!$A$1:$I$88,3,0)*0.475*44/12</f>
        <v>9.2666903177016272E-2</v>
      </c>
      <c r="DH179" s="23">
        <f>EXP(-LN(2)/2)*DH178+(1-EXP(-LN(2)/2))/(LN(2)/2)*DB179*DE179*VLOOKUP('Données projet'!$B$9,Paramètres!$A$1:$I$88,3,0)*0.475*44/12</f>
        <v>2.4734435816020137E-22</v>
      </c>
      <c r="DI179" s="24">
        <f t="shared" si="175"/>
        <v>0.67885308665369348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-5.6843418860808015E-14</v>
      </c>
      <c r="DP179" s="18">
        <f>DO179*VLOOKUP('Données projet'!$B$14,Paramètres!$A$1:$I$88,3,0)*VLOOKUP('Données projet'!$B$14,Paramètres!$A$1:$I$88,5,0)</f>
        <v>-4.5224624045658861E-14</v>
      </c>
      <c r="DQ179" s="14" t="e">
        <f t="shared" si="176"/>
        <v>#NUM!</v>
      </c>
      <c r="DR179" s="22" t="e">
        <f t="shared" si="177"/>
        <v>#NUM!</v>
      </c>
      <c r="DS179" s="62" t="e">
        <f t="shared" si="130"/>
        <v>#NUM!</v>
      </c>
      <c r="DT179" s="62">
        <f ca="1">AVERAGE(OFFSET($DS$3,0,0,'Données projet'!$E$14+1,1))-AVERAGE(OFFSET($H$3,0,0,'Données projet'!$E$14+1,1))</f>
        <v>290.20755061064017</v>
      </c>
      <c r="DU179" s="62">
        <f t="shared" si="131"/>
        <v>343.54750327717181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5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1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-1.1368683772161603E-13</v>
      </c>
      <c r="O180" s="14">
        <f>N180*VLOOKUP('Données projet'!$B$9,Paramètres!$A$1:$I$88,3,0)*VLOOKUP('Données projet'!$B$9,Paramètres!$A$1:$I$88,5,0)</f>
        <v>-5.3205440053716299E-14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300.03481708703549</v>
      </c>
      <c r="T180" s="62">
        <f t="shared" si="110"/>
        <v>102.6350860969182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-2.2737367544323206E-13</v>
      </c>
      <c r="AJ180" s="14">
        <f>AI180*VLOOKUP('Données projet'!$B$10,Paramètres!$A$1:$I$88,3,0)*VLOOKUP('Données projet'!$B$10,Paramètres!$A$1:$I$88,5,0)</f>
        <v>-1.2710188457276673E-13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328.27336939084597</v>
      </c>
      <c r="AO180" s="62">
        <f t="shared" si="115"/>
        <v>448.79354389108755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0.29354048278029377</v>
      </c>
      <c r="AV180" s="23">
        <f>EXP(-LN(2)/25)*AV179+(1-EXP(-LN(2)/25))/(LN(2)/25)*Calculateur!AQ180*Calculateur!AS180*VLOOKUP('Données projet'!$B$9,Paramètres!$A$1:$I$88,3,0)*0.475*44/12</f>
        <v>0.23369675987148805</v>
      </c>
      <c r="AW180" s="23">
        <f>EXP(-LN(2)/2)*AW179+(1-EXP(-LN(2)/2))/(LN(2)/2)*AQ180*AT180*VLOOKUP('Données projet'!$B$9,Paramètres!$A$1:$I$88,3,0)*0.475*44/12</f>
        <v>1.0906515180023957E-21</v>
      </c>
      <c r="AX180" s="23">
        <f t="shared" si="166"/>
        <v>0.52723724265178185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-2.2737367544323206E-13</v>
      </c>
      <c r="BE180" s="14">
        <f>BD180*VLOOKUP('Données projet'!$B$11,Paramètres!$A$1:$I$88,3,0)*VLOOKUP('Données projet'!$B$11,Paramètres!$A$1:$I$88,5,0)</f>
        <v>-1.9863364286720756E-13</v>
      </c>
      <c r="BF180" s="14" t="e">
        <f t="shared" si="167"/>
        <v>#NUM!</v>
      </c>
      <c r="BG180" s="22" t="e">
        <f t="shared" si="168"/>
        <v>#NUM!</v>
      </c>
      <c r="BH180" s="62" t="e">
        <f t="shared" si="118"/>
        <v>#NUM!</v>
      </c>
      <c r="BI180" s="62">
        <f ca="1">AVERAGE(OFFSET($BH$3,0,0,'Données projet'!$E$11+1,1))-AVERAGE(OFFSET($H$3,0,0,'Données projet'!$E$11+1,1))</f>
        <v>348.65374983303883</v>
      </c>
      <c r="BJ180" s="62">
        <f t="shared" si="119"/>
        <v>312.05848669315151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-5.6843418860808015E-14</v>
      </c>
      <c r="BZ180" s="14">
        <f>BY180*VLOOKUP('Données projet'!$B$12,Paramètres!$A$1:$I$88,3,0)*VLOOKUP('Données projet'!$B$12,Paramètres!$A$1:$I$88,5,0)</f>
        <v>-4.1677594708744434E-14</v>
      </c>
      <c r="CA180" s="14" t="e">
        <f t="shared" si="170"/>
        <v>#NUM!</v>
      </c>
      <c r="CB180" s="22" t="e">
        <f t="shared" si="171"/>
        <v>#NUM!</v>
      </c>
      <c r="CC180" s="62" t="e">
        <f t="shared" si="122"/>
        <v>#NUM!</v>
      </c>
      <c r="CD180" s="62">
        <f ca="1">AVERAGE(OFFSET($CC$3,0,0,'Données projet'!$E$12+1,1))-AVERAGE(OFFSET($H$3,0,0,'Données projet'!$E$12+1,1))</f>
        <v>264.06656596707364</v>
      </c>
      <c r="CE180" s="62">
        <f t="shared" si="123"/>
        <v>315.34415130230195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5.6843418860808015E-14</v>
      </c>
      <c r="CU180" s="18">
        <f>CT180*VLOOKUP('Données projet'!$B$13,Paramètres!$A$1:$I$88,3,0)*VLOOKUP('Données projet'!$B$13,Paramètres!$A$1:$I$88,5,0)</f>
        <v>3.3992364478763198E-14</v>
      </c>
      <c r="CV180" s="14">
        <f t="shared" si="173"/>
        <v>5.790027782444094E-13</v>
      </c>
      <c r="CW180" s="22">
        <f t="shared" si="174"/>
        <v>1.0676332069095257E-12</v>
      </c>
      <c r="CX180" s="62">
        <f t="shared" si="126"/>
        <v>293.33333333333439</v>
      </c>
      <c r="CY180" s="62">
        <f ca="1">AVERAGE(OFFSET($CX$3,0,0,'Données projet'!$E$13+1,1))-AVERAGE(OFFSET($H$3,0,0,'Données projet'!$E$13+1,1))</f>
        <v>162.29089122912319</v>
      </c>
      <c r="CZ180" s="62">
        <f t="shared" si="127"/>
        <v>253.15422514195427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0.57469142995696743</v>
      </c>
      <c r="DG180" s="23">
        <f>EXP(-LN(2)/25)*DG179+(1-EXP(-LN(2)/25))/(LN(2)/25)*Calculateur!DB180*Calculateur!DD180*VLOOKUP('Données projet'!$B$9,Paramètres!$A$1:$I$88,3,0)*0.475*44/12</f>
        <v>9.013292183650011E-2</v>
      </c>
      <c r="DH180" s="23">
        <f>EXP(-LN(2)/2)*DH179+(1-EXP(-LN(2)/2))/(LN(2)/2)*DB180*DE180*VLOOKUP('Données projet'!$B$9,Paramètres!$A$1:$I$88,3,0)*0.475*44/12</f>
        <v>1.7489887294331256E-22</v>
      </c>
      <c r="DI180" s="24">
        <f t="shared" si="175"/>
        <v>0.66482435179346755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-5.6843418860808015E-14</v>
      </c>
      <c r="DP180" s="18">
        <f>DO180*VLOOKUP('Données projet'!$B$14,Paramètres!$A$1:$I$88,3,0)*VLOOKUP('Données projet'!$B$14,Paramètres!$A$1:$I$88,5,0)</f>
        <v>-4.5224624045658861E-14</v>
      </c>
      <c r="DQ180" s="14" t="e">
        <f t="shared" si="176"/>
        <v>#NUM!</v>
      </c>
      <c r="DR180" s="22" t="e">
        <f t="shared" si="177"/>
        <v>#NUM!</v>
      </c>
      <c r="DS180" s="62" t="e">
        <f t="shared" si="130"/>
        <v>#NUM!</v>
      </c>
      <c r="DT180" s="62">
        <f ca="1">AVERAGE(OFFSET($DS$3,0,0,'Données projet'!$E$14+1,1))-AVERAGE(OFFSET($H$3,0,0,'Données projet'!$E$14+1,1))</f>
        <v>290.20755061064017</v>
      </c>
      <c r="DU180" s="62">
        <f t="shared" si="131"/>
        <v>343.54750327717181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5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1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-1.1368683772161603E-13</v>
      </c>
      <c r="O181" s="14">
        <f>N181*VLOOKUP('Données projet'!$B$9,Paramètres!$A$1:$I$88,3,0)*VLOOKUP('Données projet'!$B$9,Paramètres!$A$1:$I$88,5,0)</f>
        <v>-5.3205440053716299E-14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300.03481708703549</v>
      </c>
      <c r="T181" s="62">
        <f t="shared" si="110"/>
        <v>102.6350860969182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-2.2737367544323206E-13</v>
      </c>
      <c r="AJ181" s="14">
        <f>AI181*VLOOKUP('Données projet'!$B$10,Paramètres!$A$1:$I$88,3,0)*VLOOKUP('Données projet'!$B$10,Paramètres!$A$1:$I$88,5,0)</f>
        <v>-1.2710188457276673E-13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328.27336939084597</v>
      </c>
      <c r="AO181" s="62">
        <f t="shared" si="115"/>
        <v>448.79354389108755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0.28778433295498779</v>
      </c>
      <c r="AV181" s="23">
        <f>EXP(-LN(2)/25)*AV180+(1-EXP(-LN(2)/25))/(LN(2)/25)*Calculateur!AQ181*Calculateur!AS181*VLOOKUP('Données projet'!$B$9,Paramètres!$A$1:$I$88,3,0)*0.475*44/12</f>
        <v>0.22730630968322374</v>
      </c>
      <c r="AW181" s="23">
        <f>EXP(-LN(2)/2)*AW180+(1-EXP(-LN(2)/2))/(LN(2)/2)*AQ181*AT181*VLOOKUP('Données projet'!$B$9,Paramètres!$A$1:$I$88,3,0)*0.475*44/12</f>
        <v>7.7120708429089591E-22</v>
      </c>
      <c r="AX181" s="23">
        <f t="shared" si="166"/>
        <v>0.51509064263821158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-2.2737367544323206E-13</v>
      </c>
      <c r="BE181" s="14">
        <f>BD181*VLOOKUP('Données projet'!$B$11,Paramètres!$A$1:$I$88,3,0)*VLOOKUP('Données projet'!$B$11,Paramètres!$A$1:$I$88,5,0)</f>
        <v>-1.9863364286720756E-13</v>
      </c>
      <c r="BF181" s="14" t="e">
        <f t="shared" si="167"/>
        <v>#NUM!</v>
      </c>
      <c r="BG181" s="22" t="e">
        <f t="shared" si="168"/>
        <v>#NUM!</v>
      </c>
      <c r="BH181" s="62" t="e">
        <f t="shared" si="118"/>
        <v>#NUM!</v>
      </c>
      <c r="BI181" s="62">
        <f ca="1">AVERAGE(OFFSET($BH$3,0,0,'Données projet'!$E$11+1,1))-AVERAGE(OFFSET($H$3,0,0,'Données projet'!$E$11+1,1))</f>
        <v>348.65374983303883</v>
      </c>
      <c r="BJ181" s="62">
        <f t="shared" si="119"/>
        <v>312.05848669315151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-5.6843418860808015E-14</v>
      </c>
      <c r="BZ181" s="14">
        <f>BY181*VLOOKUP('Données projet'!$B$12,Paramètres!$A$1:$I$88,3,0)*VLOOKUP('Données projet'!$B$12,Paramètres!$A$1:$I$88,5,0)</f>
        <v>-4.1677594708744434E-14</v>
      </c>
      <c r="CA181" s="14" t="e">
        <f t="shared" si="170"/>
        <v>#NUM!</v>
      </c>
      <c r="CB181" s="22" t="e">
        <f t="shared" si="171"/>
        <v>#NUM!</v>
      </c>
      <c r="CC181" s="62" t="e">
        <f t="shared" si="122"/>
        <v>#NUM!</v>
      </c>
      <c r="CD181" s="62">
        <f ca="1">AVERAGE(OFFSET($CC$3,0,0,'Données projet'!$E$12+1,1))-AVERAGE(OFFSET($H$3,0,0,'Données projet'!$E$12+1,1))</f>
        <v>264.06656596707364</v>
      </c>
      <c r="CE181" s="62">
        <f t="shared" si="123"/>
        <v>315.34415130230195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5.6843418860808015E-14</v>
      </c>
      <c r="CU181" s="18">
        <f>CT181*VLOOKUP('Données projet'!$B$13,Paramètres!$A$1:$I$88,3,0)*VLOOKUP('Données projet'!$B$13,Paramètres!$A$1:$I$88,5,0)</f>
        <v>3.3992364478763198E-14</v>
      </c>
      <c r="CV181" s="14">
        <f t="shared" si="173"/>
        <v>5.790027782444094E-13</v>
      </c>
      <c r="CW181" s="22">
        <f t="shared" si="174"/>
        <v>1.0676332069095257E-12</v>
      </c>
      <c r="CX181" s="62">
        <f t="shared" si="126"/>
        <v>293.33333333333439</v>
      </c>
      <c r="CY181" s="62">
        <f ca="1">AVERAGE(OFFSET($CX$3,0,0,'Données projet'!$E$13+1,1))-AVERAGE(OFFSET($H$3,0,0,'Données projet'!$E$13+1,1))</f>
        <v>162.29089122912319</v>
      </c>
      <c r="CZ181" s="62">
        <f t="shared" si="127"/>
        <v>253.15422514195427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0.56342208154267193</v>
      </c>
      <c r="DG181" s="23">
        <f>EXP(-LN(2)/25)*DG180+(1-EXP(-LN(2)/25))/(LN(2)/25)*Calculateur!DB181*Calculateur!DD181*VLOOKUP('Données projet'!$B$9,Paramètres!$A$1:$I$88,3,0)*0.475*44/12</f>
        <v>8.7668232348996664E-2</v>
      </c>
      <c r="DH181" s="23">
        <f>EXP(-LN(2)/2)*DH180+(1-EXP(-LN(2)/2))/(LN(2)/2)*DB181*DE181*VLOOKUP('Données projet'!$B$9,Paramètres!$A$1:$I$88,3,0)*0.475*44/12</f>
        <v>1.2367217908010069E-22</v>
      </c>
      <c r="DI181" s="24">
        <f t="shared" si="175"/>
        <v>0.6510903138916686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-5.6843418860808015E-14</v>
      </c>
      <c r="DP181" s="18">
        <f>DO181*VLOOKUP('Données projet'!$B$14,Paramètres!$A$1:$I$88,3,0)*VLOOKUP('Données projet'!$B$14,Paramètres!$A$1:$I$88,5,0)</f>
        <v>-4.5224624045658861E-14</v>
      </c>
      <c r="DQ181" s="14" t="e">
        <f t="shared" si="176"/>
        <v>#NUM!</v>
      </c>
      <c r="DR181" s="22" t="e">
        <f t="shared" si="177"/>
        <v>#NUM!</v>
      </c>
      <c r="DS181" s="62" t="e">
        <f t="shared" si="130"/>
        <v>#NUM!</v>
      </c>
      <c r="DT181" s="62">
        <f ca="1">AVERAGE(OFFSET($DS$3,0,0,'Données projet'!$E$14+1,1))-AVERAGE(OFFSET($H$3,0,0,'Données projet'!$E$14+1,1))</f>
        <v>290.20755061064017</v>
      </c>
      <c r="DU181" s="62">
        <f t="shared" si="131"/>
        <v>343.54750327717181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5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1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-1.1368683772161603E-13</v>
      </c>
      <c r="O182" s="14">
        <f>N182*VLOOKUP('Données projet'!$B$9,Paramètres!$A$1:$I$88,3,0)*VLOOKUP('Données projet'!$B$9,Paramètres!$A$1:$I$88,5,0)</f>
        <v>-5.3205440053716299E-14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300.03481708703549</v>
      </c>
      <c r="T182" s="62">
        <f t="shared" si="110"/>
        <v>102.6350860969182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-2.2737367544323206E-13</v>
      </c>
      <c r="AJ182" s="14">
        <f>AI182*VLOOKUP('Données projet'!$B$10,Paramètres!$A$1:$I$88,3,0)*VLOOKUP('Données projet'!$B$10,Paramètres!$A$1:$I$88,5,0)</f>
        <v>-1.2710188457276673E-13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328.27336939084597</v>
      </c>
      <c r="AO182" s="62">
        <f t="shared" si="115"/>
        <v>448.79354389108755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0.28214105771685133</v>
      </c>
      <c r="AV182" s="23">
        <f>EXP(-LN(2)/25)*AV181+(1-EXP(-LN(2)/25))/(LN(2)/25)*Calculateur!AQ182*Calculateur!AS182*VLOOKUP('Données projet'!$B$9,Paramètres!$A$1:$I$88,3,0)*0.475*44/12</f>
        <v>0.22109060669141667</v>
      </c>
      <c r="AW182" s="23">
        <f>EXP(-LN(2)/2)*AW181+(1-EXP(-LN(2)/2))/(LN(2)/2)*AQ182*AT182*VLOOKUP('Données projet'!$B$9,Paramètres!$A$1:$I$88,3,0)*0.475*44/12</f>
        <v>5.4532575900119784E-22</v>
      </c>
      <c r="AX182" s="23">
        <f t="shared" si="166"/>
        <v>0.50323166440826794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-2.2737367544323206E-13</v>
      </c>
      <c r="BE182" s="14">
        <f>BD182*VLOOKUP('Données projet'!$B$11,Paramètres!$A$1:$I$88,3,0)*VLOOKUP('Données projet'!$B$11,Paramètres!$A$1:$I$88,5,0)</f>
        <v>-1.9863364286720756E-13</v>
      </c>
      <c r="BF182" s="14" t="e">
        <f t="shared" si="167"/>
        <v>#NUM!</v>
      </c>
      <c r="BG182" s="22" t="e">
        <f t="shared" si="168"/>
        <v>#NUM!</v>
      </c>
      <c r="BH182" s="62" t="e">
        <f t="shared" si="118"/>
        <v>#NUM!</v>
      </c>
      <c r="BI182" s="62">
        <f ca="1">AVERAGE(OFFSET($BH$3,0,0,'Données projet'!$E$11+1,1))-AVERAGE(OFFSET($H$3,0,0,'Données projet'!$E$11+1,1))</f>
        <v>348.65374983303883</v>
      </c>
      <c r="BJ182" s="62">
        <f t="shared" si="119"/>
        <v>312.05848669315151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-5.6843418860808015E-14</v>
      </c>
      <c r="BZ182" s="14">
        <f>BY182*VLOOKUP('Données projet'!$B$12,Paramètres!$A$1:$I$88,3,0)*VLOOKUP('Données projet'!$B$12,Paramètres!$A$1:$I$88,5,0)</f>
        <v>-4.1677594708744434E-14</v>
      </c>
      <c r="CA182" s="14" t="e">
        <f t="shared" si="170"/>
        <v>#NUM!</v>
      </c>
      <c r="CB182" s="22" t="e">
        <f t="shared" si="171"/>
        <v>#NUM!</v>
      </c>
      <c r="CC182" s="62" t="e">
        <f t="shared" si="122"/>
        <v>#NUM!</v>
      </c>
      <c r="CD182" s="62">
        <f ca="1">AVERAGE(OFFSET($CC$3,0,0,'Données projet'!$E$12+1,1))-AVERAGE(OFFSET($H$3,0,0,'Données projet'!$E$12+1,1))</f>
        <v>264.06656596707364</v>
      </c>
      <c r="CE182" s="62">
        <f t="shared" si="123"/>
        <v>315.34415130230195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5.6843418860808015E-14</v>
      </c>
      <c r="CU182" s="18">
        <f>CT182*VLOOKUP('Données projet'!$B$13,Paramètres!$A$1:$I$88,3,0)*VLOOKUP('Données projet'!$B$13,Paramètres!$A$1:$I$88,5,0)</f>
        <v>3.3992364478763198E-14</v>
      </c>
      <c r="CV182" s="14">
        <f t="shared" si="173"/>
        <v>5.790027782444094E-13</v>
      </c>
      <c r="CW182" s="22">
        <f t="shared" si="174"/>
        <v>1.0676332069095257E-12</v>
      </c>
      <c r="CX182" s="62">
        <f t="shared" si="126"/>
        <v>293.33333333333439</v>
      </c>
      <c r="CY182" s="62">
        <f ca="1">AVERAGE(OFFSET($CX$3,0,0,'Données projet'!$E$13+1,1))-AVERAGE(OFFSET($H$3,0,0,'Données projet'!$E$13+1,1))</f>
        <v>162.29089122912319</v>
      </c>
      <c r="CZ182" s="62">
        <f t="shared" si="127"/>
        <v>253.15422514195427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0.55237371817715686</v>
      </c>
      <c r="DG182" s="23">
        <f>EXP(-LN(2)/25)*DG181+(1-EXP(-LN(2)/25))/(LN(2)/25)*Calculateur!DB182*Calculateur!DD182*VLOOKUP('Données projet'!$B$9,Paramètres!$A$1:$I$88,3,0)*0.475*44/12</f>
        <v>8.5270939925141384E-2</v>
      </c>
      <c r="DH182" s="23">
        <f>EXP(-LN(2)/2)*DH181+(1-EXP(-LN(2)/2))/(LN(2)/2)*DB182*DE182*VLOOKUP('Données projet'!$B$9,Paramètres!$A$1:$I$88,3,0)*0.475*44/12</f>
        <v>8.7449436471656278E-23</v>
      </c>
      <c r="DI182" s="24">
        <f t="shared" si="175"/>
        <v>0.6376446581022982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-5.6843418860808015E-14</v>
      </c>
      <c r="DP182" s="18">
        <f>DO182*VLOOKUP('Données projet'!$B$14,Paramètres!$A$1:$I$88,3,0)*VLOOKUP('Données projet'!$B$14,Paramètres!$A$1:$I$88,5,0)</f>
        <v>-4.5224624045658861E-14</v>
      </c>
      <c r="DQ182" s="14" t="e">
        <f t="shared" si="176"/>
        <v>#NUM!</v>
      </c>
      <c r="DR182" s="22" t="e">
        <f t="shared" si="177"/>
        <v>#NUM!</v>
      </c>
      <c r="DS182" s="62" t="e">
        <f t="shared" si="130"/>
        <v>#NUM!</v>
      </c>
      <c r="DT182" s="62">
        <f ca="1">AVERAGE(OFFSET($DS$3,0,0,'Données projet'!$E$14+1,1))-AVERAGE(OFFSET($H$3,0,0,'Données projet'!$E$14+1,1))</f>
        <v>290.20755061064017</v>
      </c>
      <c r="DU182" s="62">
        <f t="shared" si="131"/>
        <v>343.54750327717181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5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1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-1.1368683772161603E-13</v>
      </c>
      <c r="O183" s="14">
        <f>N183*VLOOKUP('Données projet'!$B$9,Paramètres!$A$1:$I$88,3,0)*VLOOKUP('Données projet'!$B$9,Paramètres!$A$1:$I$88,5,0)</f>
        <v>-5.3205440053716299E-14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300.03481708703549</v>
      </c>
      <c r="T183" s="62">
        <f t="shared" si="110"/>
        <v>102.6350860969182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-2.2737367544323206E-13</v>
      </c>
      <c r="AJ183" s="14">
        <f>AI183*VLOOKUP('Données projet'!$B$10,Paramètres!$A$1:$I$88,3,0)*VLOOKUP('Données projet'!$B$10,Paramètres!$A$1:$I$88,5,0)</f>
        <v>-1.2710188457276673E-13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328.27336939084597</v>
      </c>
      <c r="AO183" s="62">
        <f t="shared" si="115"/>
        <v>448.79354389108755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0.27660844366407672</v>
      </c>
      <c r="AV183" s="23">
        <f>EXP(-LN(2)/25)*AV182+(1-EXP(-LN(2)/25))/(LN(2)/25)*Calculateur!AQ183*Calculateur!AS183*VLOOKUP('Données projet'!$B$9,Paramètres!$A$1:$I$88,3,0)*0.475*44/12</f>
        <v>0.21504487242479017</v>
      </c>
      <c r="AW183" s="23">
        <f>EXP(-LN(2)/2)*AW182+(1-EXP(-LN(2)/2))/(LN(2)/2)*AQ183*AT183*VLOOKUP('Données projet'!$B$9,Paramètres!$A$1:$I$88,3,0)*0.475*44/12</f>
        <v>3.8560354214544796E-22</v>
      </c>
      <c r="AX183" s="23">
        <f t="shared" si="166"/>
        <v>0.49165331608886687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-2.2737367544323206E-13</v>
      </c>
      <c r="BE183" s="14">
        <f>BD183*VLOOKUP('Données projet'!$B$11,Paramètres!$A$1:$I$88,3,0)*VLOOKUP('Données projet'!$B$11,Paramètres!$A$1:$I$88,5,0)</f>
        <v>-1.9863364286720756E-13</v>
      </c>
      <c r="BF183" s="14" t="e">
        <f t="shared" si="167"/>
        <v>#NUM!</v>
      </c>
      <c r="BG183" s="22" t="e">
        <f t="shared" si="168"/>
        <v>#NUM!</v>
      </c>
      <c r="BH183" s="62" t="e">
        <f t="shared" si="118"/>
        <v>#NUM!</v>
      </c>
      <c r="BI183" s="62">
        <f ca="1">AVERAGE(OFFSET($BH$3,0,0,'Données projet'!$E$11+1,1))-AVERAGE(OFFSET($H$3,0,0,'Données projet'!$E$11+1,1))</f>
        <v>348.65374983303883</v>
      </c>
      <c r="BJ183" s="62">
        <f t="shared" si="119"/>
        <v>312.05848669315151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-5.6843418860808015E-14</v>
      </c>
      <c r="BZ183" s="14">
        <f>BY183*VLOOKUP('Données projet'!$B$12,Paramètres!$A$1:$I$88,3,0)*VLOOKUP('Données projet'!$B$12,Paramètres!$A$1:$I$88,5,0)</f>
        <v>-4.1677594708744434E-14</v>
      </c>
      <c r="CA183" s="14" t="e">
        <f t="shared" si="170"/>
        <v>#NUM!</v>
      </c>
      <c r="CB183" s="22" t="e">
        <f t="shared" si="171"/>
        <v>#NUM!</v>
      </c>
      <c r="CC183" s="62" t="e">
        <f t="shared" si="122"/>
        <v>#NUM!</v>
      </c>
      <c r="CD183" s="62">
        <f ca="1">AVERAGE(OFFSET($CC$3,0,0,'Données projet'!$E$12+1,1))-AVERAGE(OFFSET($H$3,0,0,'Données projet'!$E$12+1,1))</f>
        <v>264.06656596707364</v>
      </c>
      <c r="CE183" s="62">
        <f t="shared" si="123"/>
        <v>315.34415130230195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5.6843418860808015E-14</v>
      </c>
      <c r="CU183" s="18">
        <f>CT183*VLOOKUP('Données projet'!$B$13,Paramètres!$A$1:$I$88,3,0)*VLOOKUP('Données projet'!$B$13,Paramètres!$A$1:$I$88,5,0)</f>
        <v>3.3992364478763198E-14</v>
      </c>
      <c r="CV183" s="14">
        <f t="shared" si="173"/>
        <v>5.790027782444094E-13</v>
      </c>
      <c r="CW183" s="22">
        <f t="shared" si="174"/>
        <v>1.0676332069095257E-12</v>
      </c>
      <c r="CX183" s="62">
        <f t="shared" si="126"/>
        <v>293.33333333333439</v>
      </c>
      <c r="CY183" s="62">
        <f ca="1">AVERAGE(OFFSET($CX$3,0,0,'Données projet'!$E$13+1,1))-AVERAGE(OFFSET($H$3,0,0,'Données projet'!$E$13+1,1))</f>
        <v>162.29089122912319</v>
      </c>
      <c r="CZ183" s="62">
        <f t="shared" si="127"/>
        <v>253.15422514195427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0.54154200647840334</v>
      </c>
      <c r="DG183" s="23">
        <f>EXP(-LN(2)/25)*DG182+(1-EXP(-LN(2)/25))/(LN(2)/25)*Calculateur!DB183*Calculateur!DD183*VLOOKUP('Données projet'!$B$9,Paramètres!$A$1:$I$88,3,0)*0.475*44/12</f>
        <v>8.293920158868455E-2</v>
      </c>
      <c r="DH183" s="23">
        <f>EXP(-LN(2)/2)*DH182+(1-EXP(-LN(2)/2))/(LN(2)/2)*DB183*DE183*VLOOKUP('Données projet'!$B$9,Paramètres!$A$1:$I$88,3,0)*0.475*44/12</f>
        <v>6.1836089540050344E-23</v>
      </c>
      <c r="DI183" s="24">
        <f t="shared" si="175"/>
        <v>0.62448120806708785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-5.6843418860808015E-14</v>
      </c>
      <c r="DP183" s="18">
        <f>DO183*VLOOKUP('Données projet'!$B$14,Paramètres!$A$1:$I$88,3,0)*VLOOKUP('Données projet'!$B$14,Paramètres!$A$1:$I$88,5,0)</f>
        <v>-4.5224624045658861E-14</v>
      </c>
      <c r="DQ183" s="14" t="e">
        <f t="shared" si="176"/>
        <v>#NUM!</v>
      </c>
      <c r="DR183" s="22" t="e">
        <f t="shared" si="177"/>
        <v>#NUM!</v>
      </c>
      <c r="DS183" s="62" t="e">
        <f t="shared" si="130"/>
        <v>#NUM!</v>
      </c>
      <c r="DT183" s="62">
        <f ca="1">AVERAGE(OFFSET($DS$3,0,0,'Données projet'!$E$14+1,1))-AVERAGE(OFFSET($H$3,0,0,'Données projet'!$E$14+1,1))</f>
        <v>290.20755061064017</v>
      </c>
      <c r="DU183" s="62">
        <f t="shared" si="131"/>
        <v>343.54750327717181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5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1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-1.1368683772161603E-13</v>
      </c>
      <c r="O184" s="14">
        <f>N184*VLOOKUP('Données projet'!$B$9,Paramètres!$A$1:$I$88,3,0)*VLOOKUP('Données projet'!$B$9,Paramètres!$A$1:$I$88,5,0)</f>
        <v>-5.3205440053716299E-14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300.03481708703549</v>
      </c>
      <c r="T184" s="62">
        <f t="shared" si="110"/>
        <v>102.6350860969182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-2.2737367544323206E-13</v>
      </c>
      <c r="AJ184" s="14">
        <f>AI184*VLOOKUP('Données projet'!$B$10,Paramètres!$A$1:$I$88,3,0)*VLOOKUP('Données projet'!$B$10,Paramètres!$A$1:$I$88,5,0)</f>
        <v>-1.2710188457276673E-13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328.27336939084597</v>
      </c>
      <c r="AO184" s="62">
        <f t="shared" si="115"/>
        <v>448.79354389108755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0.27118432079831561</v>
      </c>
      <c r="AV184" s="23">
        <f>EXP(-LN(2)/25)*AV183+(1-EXP(-LN(2)/25))/(LN(2)/25)*Calculateur!AQ184*Calculateur!AS184*VLOOKUP('Données projet'!$B$9,Paramètres!$A$1:$I$88,3,0)*0.475*44/12</f>
        <v>0.20916445907961595</v>
      </c>
      <c r="AW184" s="23">
        <f>EXP(-LN(2)/2)*AW183+(1-EXP(-LN(2)/2))/(LN(2)/2)*AQ184*AT184*VLOOKUP('Données projet'!$B$9,Paramètres!$A$1:$I$88,3,0)*0.475*44/12</f>
        <v>2.7266287950059892E-22</v>
      </c>
      <c r="AX184" s="23">
        <f t="shared" si="166"/>
        <v>0.48034877987793156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-2.2737367544323206E-13</v>
      </c>
      <c r="BE184" s="14">
        <f>BD184*VLOOKUP('Données projet'!$B$11,Paramètres!$A$1:$I$88,3,0)*VLOOKUP('Données projet'!$B$11,Paramètres!$A$1:$I$88,5,0)</f>
        <v>-1.9863364286720756E-13</v>
      </c>
      <c r="BF184" s="14" t="e">
        <f t="shared" si="167"/>
        <v>#NUM!</v>
      </c>
      <c r="BG184" s="22" t="e">
        <f t="shared" si="168"/>
        <v>#NUM!</v>
      </c>
      <c r="BH184" s="62" t="e">
        <f t="shared" si="118"/>
        <v>#NUM!</v>
      </c>
      <c r="BI184" s="62">
        <f ca="1">AVERAGE(OFFSET($BH$3,0,0,'Données projet'!$E$11+1,1))-AVERAGE(OFFSET($H$3,0,0,'Données projet'!$E$11+1,1))</f>
        <v>348.65374983303883</v>
      </c>
      <c r="BJ184" s="62">
        <f t="shared" si="119"/>
        <v>312.05848669315151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-5.6843418860808015E-14</v>
      </c>
      <c r="BZ184" s="14">
        <f>BY184*VLOOKUP('Données projet'!$B$12,Paramètres!$A$1:$I$88,3,0)*VLOOKUP('Données projet'!$B$12,Paramètres!$A$1:$I$88,5,0)</f>
        <v>-4.1677594708744434E-14</v>
      </c>
      <c r="CA184" s="14" t="e">
        <f t="shared" si="170"/>
        <v>#NUM!</v>
      </c>
      <c r="CB184" s="22" t="e">
        <f t="shared" si="171"/>
        <v>#NUM!</v>
      </c>
      <c r="CC184" s="62" t="e">
        <f t="shared" si="122"/>
        <v>#NUM!</v>
      </c>
      <c r="CD184" s="62">
        <f ca="1">AVERAGE(OFFSET($CC$3,0,0,'Données projet'!$E$12+1,1))-AVERAGE(OFFSET($H$3,0,0,'Données projet'!$E$12+1,1))</f>
        <v>264.06656596707364</v>
      </c>
      <c r="CE184" s="62">
        <f t="shared" si="123"/>
        <v>315.34415130230195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5.6843418860808015E-14</v>
      </c>
      <c r="CU184" s="18">
        <f>CT184*VLOOKUP('Données projet'!$B$13,Paramètres!$A$1:$I$88,3,0)*VLOOKUP('Données projet'!$B$13,Paramètres!$A$1:$I$88,5,0)</f>
        <v>3.3992364478763198E-14</v>
      </c>
      <c r="CV184" s="14">
        <f t="shared" si="173"/>
        <v>5.790027782444094E-13</v>
      </c>
      <c r="CW184" s="22">
        <f t="shared" si="174"/>
        <v>1.0676332069095257E-12</v>
      </c>
      <c r="CX184" s="62">
        <f t="shared" si="126"/>
        <v>293.33333333333439</v>
      </c>
      <c r="CY184" s="62">
        <f ca="1">AVERAGE(OFFSET($CX$3,0,0,'Données projet'!$E$13+1,1))-AVERAGE(OFFSET($H$3,0,0,'Données projet'!$E$13+1,1))</f>
        <v>162.29089122912319</v>
      </c>
      <c r="CZ184" s="62">
        <f t="shared" si="127"/>
        <v>253.15422514195427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0.53092269803937064</v>
      </c>
      <c r="DG184" s="23">
        <f>EXP(-LN(2)/25)*DG183+(1-EXP(-LN(2)/25))/(LN(2)/25)*Calculateur!DB184*Calculateur!DD184*VLOOKUP('Données projet'!$B$9,Paramètres!$A$1:$I$88,3,0)*0.475*44/12</f>
        <v>8.0671224759658919E-2</v>
      </c>
      <c r="DH184" s="23">
        <f>EXP(-LN(2)/2)*DH183+(1-EXP(-LN(2)/2))/(LN(2)/2)*DB184*DE184*VLOOKUP('Données projet'!$B$9,Paramètres!$A$1:$I$88,3,0)*0.475*44/12</f>
        <v>4.3724718235828139E-23</v>
      </c>
      <c r="DI184" s="24">
        <f t="shared" si="175"/>
        <v>0.61159392279902958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-5.6843418860808015E-14</v>
      </c>
      <c r="DP184" s="18">
        <f>DO184*VLOOKUP('Données projet'!$B$14,Paramètres!$A$1:$I$88,3,0)*VLOOKUP('Données projet'!$B$14,Paramètres!$A$1:$I$88,5,0)</f>
        <v>-4.5224624045658861E-14</v>
      </c>
      <c r="DQ184" s="14" t="e">
        <f t="shared" si="176"/>
        <v>#NUM!</v>
      </c>
      <c r="DR184" s="22" t="e">
        <f t="shared" si="177"/>
        <v>#NUM!</v>
      </c>
      <c r="DS184" s="62" t="e">
        <f t="shared" si="130"/>
        <v>#NUM!</v>
      </c>
      <c r="DT184" s="62">
        <f ca="1">AVERAGE(OFFSET($DS$3,0,0,'Données projet'!$E$14+1,1))-AVERAGE(OFFSET($H$3,0,0,'Données projet'!$E$14+1,1))</f>
        <v>290.20755061064017</v>
      </c>
      <c r="DU184" s="62">
        <f t="shared" si="131"/>
        <v>343.54750327717181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5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1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-1.1368683772161603E-13</v>
      </c>
      <c r="O185" s="14">
        <f>N185*VLOOKUP('Données projet'!$B$9,Paramètres!$A$1:$I$88,3,0)*VLOOKUP('Données projet'!$B$9,Paramètres!$A$1:$I$88,5,0)</f>
        <v>-5.3205440053716299E-14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300.03481708703549</v>
      </c>
      <c r="T185" s="62">
        <f t="shared" si="110"/>
        <v>102.6350860969182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-2.2737367544323206E-13</v>
      </c>
      <c r="AJ185" s="14">
        <f>AI185*VLOOKUP('Données projet'!$B$10,Paramètres!$A$1:$I$88,3,0)*VLOOKUP('Données projet'!$B$10,Paramètres!$A$1:$I$88,5,0)</f>
        <v>-1.2710188457276673E-13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328.27336939084597</v>
      </c>
      <c r="AO185" s="62">
        <f t="shared" si="115"/>
        <v>448.79354389108755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0.26586656167356382</v>
      </c>
      <c r="AV185" s="23">
        <f>EXP(-LN(2)/25)*AV184+(1-EXP(-LN(2)/25))/(LN(2)/25)*Calculateur!AQ185*Calculateur!AS185*VLOOKUP('Données projet'!$B$9,Paramètres!$A$1:$I$88,3,0)*0.475*44/12</f>
        <v>0.203444845946603</v>
      </c>
      <c r="AW185" s="23">
        <f>EXP(-LN(2)/2)*AW184+(1-EXP(-LN(2)/2))/(LN(2)/2)*AQ185*AT185*VLOOKUP('Données projet'!$B$9,Paramètres!$A$1:$I$88,3,0)*0.475*44/12</f>
        <v>1.9280177107272398E-22</v>
      </c>
      <c r="AX185" s="23">
        <f t="shared" si="166"/>
        <v>0.46931140762016682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-2.2737367544323206E-13</v>
      </c>
      <c r="BE185" s="14">
        <f>BD185*VLOOKUP('Données projet'!$B$11,Paramètres!$A$1:$I$88,3,0)*VLOOKUP('Données projet'!$B$11,Paramètres!$A$1:$I$88,5,0)</f>
        <v>-1.9863364286720756E-13</v>
      </c>
      <c r="BF185" s="14" t="e">
        <f t="shared" si="167"/>
        <v>#NUM!</v>
      </c>
      <c r="BG185" s="22" t="e">
        <f t="shared" si="168"/>
        <v>#NUM!</v>
      </c>
      <c r="BH185" s="62" t="e">
        <f t="shared" si="118"/>
        <v>#NUM!</v>
      </c>
      <c r="BI185" s="62">
        <f ca="1">AVERAGE(OFFSET($BH$3,0,0,'Données projet'!$E$11+1,1))-AVERAGE(OFFSET($H$3,0,0,'Données projet'!$E$11+1,1))</f>
        <v>348.65374983303883</v>
      </c>
      <c r="BJ185" s="62">
        <f t="shared" si="119"/>
        <v>312.05848669315151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-5.6843418860808015E-14</v>
      </c>
      <c r="BZ185" s="14">
        <f>BY185*VLOOKUP('Données projet'!$B$12,Paramètres!$A$1:$I$88,3,0)*VLOOKUP('Données projet'!$B$12,Paramètres!$A$1:$I$88,5,0)</f>
        <v>-4.1677594708744434E-14</v>
      </c>
      <c r="CA185" s="14" t="e">
        <f t="shared" si="170"/>
        <v>#NUM!</v>
      </c>
      <c r="CB185" s="22" t="e">
        <f t="shared" si="171"/>
        <v>#NUM!</v>
      </c>
      <c r="CC185" s="62" t="e">
        <f t="shared" si="122"/>
        <v>#NUM!</v>
      </c>
      <c r="CD185" s="62">
        <f ca="1">AVERAGE(OFFSET($CC$3,0,0,'Données projet'!$E$12+1,1))-AVERAGE(OFFSET($H$3,0,0,'Données projet'!$E$12+1,1))</f>
        <v>264.06656596707364</v>
      </c>
      <c r="CE185" s="62">
        <f t="shared" si="123"/>
        <v>315.34415130230195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5.6843418860808015E-14</v>
      </c>
      <c r="CU185" s="18">
        <f>CT185*VLOOKUP('Données projet'!$B$13,Paramètres!$A$1:$I$88,3,0)*VLOOKUP('Données projet'!$B$13,Paramètres!$A$1:$I$88,5,0)</f>
        <v>3.3992364478763198E-14</v>
      </c>
      <c r="CV185" s="14">
        <f t="shared" si="173"/>
        <v>5.790027782444094E-13</v>
      </c>
      <c r="CW185" s="22">
        <f t="shared" si="174"/>
        <v>1.0676332069095257E-12</v>
      </c>
      <c r="CX185" s="62">
        <f t="shared" si="126"/>
        <v>293.33333333333439</v>
      </c>
      <c r="CY185" s="62">
        <f ca="1">AVERAGE(OFFSET($CX$3,0,0,'Données projet'!$E$13+1,1))-AVERAGE(OFFSET($H$3,0,0,'Données projet'!$E$13+1,1))</f>
        <v>162.29089122912319</v>
      </c>
      <c r="CZ185" s="62">
        <f t="shared" si="127"/>
        <v>253.15422514195427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0.5205116277616888</v>
      </c>
      <c r="DG185" s="23">
        <f>EXP(-LN(2)/25)*DG184+(1-EXP(-LN(2)/25))/(LN(2)/25)*Calculateur!DB185*Calculateur!DD185*VLOOKUP('Données projet'!$B$9,Paramètres!$A$1:$I$88,3,0)*0.475*44/12</f>
        <v>7.8465265876290713E-2</v>
      </c>
      <c r="DH185" s="23">
        <f>EXP(-LN(2)/2)*DH184+(1-EXP(-LN(2)/2))/(LN(2)/2)*DB185*DE185*VLOOKUP('Données projet'!$B$9,Paramètres!$A$1:$I$88,3,0)*0.475*44/12</f>
        <v>3.0918044770025172E-23</v>
      </c>
      <c r="DI185" s="24">
        <f t="shared" si="175"/>
        <v>0.59897689363797957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-5.6843418860808015E-14</v>
      </c>
      <c r="DP185" s="18">
        <f>DO185*VLOOKUP('Données projet'!$B$14,Paramètres!$A$1:$I$88,3,0)*VLOOKUP('Données projet'!$B$14,Paramètres!$A$1:$I$88,5,0)</f>
        <v>-4.5224624045658861E-14</v>
      </c>
      <c r="DQ185" s="14" t="e">
        <f t="shared" si="176"/>
        <v>#NUM!</v>
      </c>
      <c r="DR185" s="22" t="e">
        <f t="shared" si="177"/>
        <v>#NUM!</v>
      </c>
      <c r="DS185" s="62" t="e">
        <f t="shared" si="130"/>
        <v>#NUM!</v>
      </c>
      <c r="DT185" s="62">
        <f ca="1">AVERAGE(OFFSET($DS$3,0,0,'Données projet'!$E$14+1,1))-AVERAGE(OFFSET($H$3,0,0,'Données projet'!$E$14+1,1))</f>
        <v>290.20755061064017</v>
      </c>
      <c r="DU185" s="62">
        <f t="shared" si="131"/>
        <v>343.54750327717181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5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1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-1.1368683772161603E-13</v>
      </c>
      <c r="O186" s="14">
        <f>N186*VLOOKUP('Données projet'!$B$9,Paramètres!$A$1:$I$88,3,0)*VLOOKUP('Données projet'!$B$9,Paramètres!$A$1:$I$88,5,0)</f>
        <v>-5.3205440053716299E-14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300.03481708703549</v>
      </c>
      <c r="T186" s="62">
        <f t="shared" si="110"/>
        <v>102.6350860969182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-2.2737367544323206E-13</v>
      </c>
      <c r="AJ186" s="14">
        <f>AI186*VLOOKUP('Données projet'!$B$10,Paramètres!$A$1:$I$88,3,0)*VLOOKUP('Données projet'!$B$10,Paramètres!$A$1:$I$88,5,0)</f>
        <v>-1.2710188457276673E-13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328.27336939084597</v>
      </c>
      <c r="AO186" s="62">
        <f t="shared" si="115"/>
        <v>448.79354389108755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0.26065308056173564</v>
      </c>
      <c r="AV186" s="23">
        <f>EXP(-LN(2)/25)*AV185+(1-EXP(-LN(2)/25))/(LN(2)/25)*Calculateur!AQ186*Calculateur!AS186*VLOOKUP('Données projet'!$B$9,Paramètres!$A$1:$I$88,3,0)*0.475*44/12</f>
        <v>0.19788163593549368</v>
      </c>
      <c r="AW186" s="23">
        <f>EXP(-LN(2)/2)*AW185+(1-EXP(-LN(2)/2))/(LN(2)/2)*AQ186*AT186*VLOOKUP('Données projet'!$B$9,Paramètres!$A$1:$I$88,3,0)*0.475*44/12</f>
        <v>1.3633143975029946E-22</v>
      </c>
      <c r="AX186" s="23">
        <f t="shared" si="166"/>
        <v>0.45853471649722932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-2.2737367544323206E-13</v>
      </c>
      <c r="BE186" s="14">
        <f>BD186*VLOOKUP('Données projet'!$B$11,Paramètres!$A$1:$I$88,3,0)*VLOOKUP('Données projet'!$B$11,Paramètres!$A$1:$I$88,5,0)</f>
        <v>-1.9863364286720756E-13</v>
      </c>
      <c r="BF186" s="14" t="e">
        <f t="shared" si="167"/>
        <v>#NUM!</v>
      </c>
      <c r="BG186" s="22" t="e">
        <f t="shared" si="168"/>
        <v>#NUM!</v>
      </c>
      <c r="BH186" s="62" t="e">
        <f t="shared" si="118"/>
        <v>#NUM!</v>
      </c>
      <c r="BI186" s="62">
        <f ca="1">AVERAGE(OFFSET($BH$3,0,0,'Données projet'!$E$11+1,1))-AVERAGE(OFFSET($H$3,0,0,'Données projet'!$E$11+1,1))</f>
        <v>348.65374983303883</v>
      </c>
      <c r="BJ186" s="62">
        <f t="shared" si="119"/>
        <v>312.05848669315151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-5.6843418860808015E-14</v>
      </c>
      <c r="BZ186" s="14">
        <f>BY186*VLOOKUP('Données projet'!$B$12,Paramètres!$A$1:$I$88,3,0)*VLOOKUP('Données projet'!$B$12,Paramètres!$A$1:$I$88,5,0)</f>
        <v>-4.1677594708744434E-14</v>
      </c>
      <c r="CA186" s="14" t="e">
        <f t="shared" si="170"/>
        <v>#NUM!</v>
      </c>
      <c r="CB186" s="22" t="e">
        <f t="shared" si="171"/>
        <v>#NUM!</v>
      </c>
      <c r="CC186" s="62" t="e">
        <f t="shared" si="122"/>
        <v>#NUM!</v>
      </c>
      <c r="CD186" s="62">
        <f ca="1">AVERAGE(OFFSET($CC$3,0,0,'Données projet'!$E$12+1,1))-AVERAGE(OFFSET($H$3,0,0,'Données projet'!$E$12+1,1))</f>
        <v>264.06656596707364</v>
      </c>
      <c r="CE186" s="62">
        <f t="shared" si="123"/>
        <v>315.34415130230195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5.6843418860808015E-14</v>
      </c>
      <c r="CU186" s="18">
        <f>CT186*VLOOKUP('Données projet'!$B$13,Paramètres!$A$1:$I$88,3,0)*VLOOKUP('Données projet'!$B$13,Paramètres!$A$1:$I$88,5,0)</f>
        <v>3.3992364478763198E-14</v>
      </c>
      <c r="CV186" s="14">
        <f t="shared" si="173"/>
        <v>5.790027782444094E-13</v>
      </c>
      <c r="CW186" s="22">
        <f t="shared" si="174"/>
        <v>1.0676332069095257E-12</v>
      </c>
      <c r="CX186" s="62">
        <f t="shared" si="126"/>
        <v>293.33333333333439</v>
      </c>
      <c r="CY186" s="62">
        <f ca="1">AVERAGE(OFFSET($CX$3,0,0,'Données projet'!$E$13+1,1))-AVERAGE(OFFSET($H$3,0,0,'Données projet'!$E$13+1,1))</f>
        <v>162.29089122912319</v>
      </c>
      <c r="CZ186" s="62">
        <f t="shared" si="127"/>
        <v>253.15422514195427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0.51030471222202645</v>
      </c>
      <c r="DG186" s="23">
        <f>EXP(-LN(2)/25)*DG185+(1-EXP(-LN(2)/25))/(LN(2)/25)*Calculateur!DB186*Calculateur!DD186*VLOOKUP('Données projet'!$B$9,Paramètres!$A$1:$I$88,3,0)*0.475*44/12</f>
        <v>7.6319629054594551E-2</v>
      </c>
      <c r="DH186" s="23">
        <f>EXP(-LN(2)/2)*DH185+(1-EXP(-LN(2)/2))/(LN(2)/2)*DB186*DE186*VLOOKUP('Données projet'!$B$9,Paramètres!$A$1:$I$88,3,0)*0.475*44/12</f>
        <v>2.186235911791407E-23</v>
      </c>
      <c r="DI186" s="24">
        <f t="shared" si="175"/>
        <v>0.586624341276621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-5.6843418860808015E-14</v>
      </c>
      <c r="DP186" s="18">
        <f>DO186*VLOOKUP('Données projet'!$B$14,Paramètres!$A$1:$I$88,3,0)*VLOOKUP('Données projet'!$B$14,Paramètres!$A$1:$I$88,5,0)</f>
        <v>-4.5224624045658861E-14</v>
      </c>
      <c r="DQ186" s="14" t="e">
        <f t="shared" si="176"/>
        <v>#NUM!</v>
      </c>
      <c r="DR186" s="22" t="e">
        <f t="shared" si="177"/>
        <v>#NUM!</v>
      </c>
      <c r="DS186" s="62" t="e">
        <f t="shared" si="130"/>
        <v>#NUM!</v>
      </c>
      <c r="DT186" s="62">
        <f ca="1">AVERAGE(OFFSET($DS$3,0,0,'Données projet'!$E$14+1,1))-AVERAGE(OFFSET($H$3,0,0,'Données projet'!$E$14+1,1))</f>
        <v>290.20755061064017</v>
      </c>
      <c r="DU186" s="62">
        <f t="shared" si="131"/>
        <v>343.54750327717181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5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1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-1.1368683772161603E-13</v>
      </c>
      <c r="O187" s="14">
        <f>N187*VLOOKUP('Données projet'!$B$9,Paramètres!$A$1:$I$88,3,0)*VLOOKUP('Données projet'!$B$9,Paramètres!$A$1:$I$88,5,0)</f>
        <v>-5.3205440053716299E-14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300.03481708703549</v>
      </c>
      <c r="T187" s="62">
        <f t="shared" si="110"/>
        <v>102.6350860969182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-2.2737367544323206E-13</v>
      </c>
      <c r="AJ187" s="14">
        <f>AI187*VLOOKUP('Données projet'!$B$10,Paramètres!$A$1:$I$88,3,0)*VLOOKUP('Données projet'!$B$10,Paramètres!$A$1:$I$88,5,0)</f>
        <v>-1.2710188457276673E-13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328.27336939084597</v>
      </c>
      <c r="AO187" s="62">
        <f t="shared" si="115"/>
        <v>448.79354389108755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0.2555418326346009</v>
      </c>
      <c r="AV187" s="23">
        <f>EXP(-LN(2)/25)*AV186+(1-EXP(-LN(2)/25))/(LN(2)/25)*Calculateur!AQ187*Calculateur!AS187*VLOOKUP('Données projet'!$B$9,Paramètres!$A$1:$I$88,3,0)*0.475*44/12</f>
        <v>0.19247055219469464</v>
      </c>
      <c r="AW187" s="23">
        <f>EXP(-LN(2)/2)*AW186+(1-EXP(-LN(2)/2))/(LN(2)/2)*AQ187*AT187*VLOOKUP('Données projet'!$B$9,Paramètres!$A$1:$I$88,3,0)*0.475*44/12</f>
        <v>9.6400885536361989E-23</v>
      </c>
      <c r="AX187" s="23">
        <f t="shared" si="166"/>
        <v>0.44801238482929551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-2.2737367544323206E-13</v>
      </c>
      <c r="BE187" s="14">
        <f>BD187*VLOOKUP('Données projet'!$B$11,Paramètres!$A$1:$I$88,3,0)*VLOOKUP('Données projet'!$B$11,Paramètres!$A$1:$I$88,5,0)</f>
        <v>-1.9863364286720756E-13</v>
      </c>
      <c r="BF187" s="14" t="e">
        <f t="shared" si="167"/>
        <v>#NUM!</v>
      </c>
      <c r="BG187" s="22" t="e">
        <f t="shared" si="168"/>
        <v>#NUM!</v>
      </c>
      <c r="BH187" s="62" t="e">
        <f t="shared" si="118"/>
        <v>#NUM!</v>
      </c>
      <c r="BI187" s="62">
        <f ca="1">AVERAGE(OFFSET($BH$3,0,0,'Données projet'!$E$11+1,1))-AVERAGE(OFFSET($H$3,0,0,'Données projet'!$E$11+1,1))</f>
        <v>348.65374983303883</v>
      </c>
      <c r="BJ187" s="62">
        <f t="shared" si="119"/>
        <v>312.05848669315151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-5.6843418860808015E-14</v>
      </c>
      <c r="BZ187" s="14">
        <f>BY187*VLOOKUP('Données projet'!$B$12,Paramètres!$A$1:$I$88,3,0)*VLOOKUP('Données projet'!$B$12,Paramètres!$A$1:$I$88,5,0)</f>
        <v>-4.1677594708744434E-14</v>
      </c>
      <c r="CA187" s="14" t="e">
        <f t="shared" si="170"/>
        <v>#NUM!</v>
      </c>
      <c r="CB187" s="22" t="e">
        <f t="shared" si="171"/>
        <v>#NUM!</v>
      </c>
      <c r="CC187" s="62" t="e">
        <f t="shared" si="122"/>
        <v>#NUM!</v>
      </c>
      <c r="CD187" s="62">
        <f ca="1">AVERAGE(OFFSET($CC$3,0,0,'Données projet'!$E$12+1,1))-AVERAGE(OFFSET($H$3,0,0,'Données projet'!$E$12+1,1))</f>
        <v>264.06656596707364</v>
      </c>
      <c r="CE187" s="62">
        <f t="shared" si="123"/>
        <v>315.34415130230195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5.6843418860808015E-14</v>
      </c>
      <c r="CU187" s="18">
        <f>CT187*VLOOKUP('Données projet'!$B$13,Paramètres!$A$1:$I$88,3,0)*VLOOKUP('Données projet'!$B$13,Paramètres!$A$1:$I$88,5,0)</f>
        <v>3.3992364478763198E-14</v>
      </c>
      <c r="CV187" s="14">
        <f t="shared" si="173"/>
        <v>5.790027782444094E-13</v>
      </c>
      <c r="CW187" s="22">
        <f t="shared" si="174"/>
        <v>1.0676332069095257E-12</v>
      </c>
      <c r="CX187" s="62">
        <f t="shared" si="126"/>
        <v>293.33333333333439</v>
      </c>
      <c r="CY187" s="62">
        <f ca="1">AVERAGE(OFFSET($CX$3,0,0,'Données projet'!$E$13+1,1))-AVERAGE(OFFSET($H$3,0,0,'Données projet'!$E$13+1,1))</f>
        <v>162.29089122912319</v>
      </c>
      <c r="CZ187" s="62">
        <f t="shared" si="127"/>
        <v>253.15422514195427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0.5002979480704931</v>
      </c>
      <c r="DG187" s="23">
        <f>EXP(-LN(2)/25)*DG186+(1-EXP(-LN(2)/25))/(LN(2)/25)*Calculateur!DB187*Calculateur!DD187*VLOOKUP('Données projet'!$B$9,Paramètres!$A$1:$I$88,3,0)*0.475*44/12</f>
        <v>7.4232664784621802E-2</v>
      </c>
      <c r="DH187" s="23">
        <f>EXP(-LN(2)/2)*DH186+(1-EXP(-LN(2)/2))/(LN(2)/2)*DB187*DE187*VLOOKUP('Données projet'!$B$9,Paramètres!$A$1:$I$88,3,0)*0.475*44/12</f>
        <v>1.5459022385012586E-23</v>
      </c>
      <c r="DI187" s="24">
        <f t="shared" si="175"/>
        <v>0.57453061285511486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-5.6843418860808015E-14</v>
      </c>
      <c r="DP187" s="18">
        <f>DO187*VLOOKUP('Données projet'!$B$14,Paramètres!$A$1:$I$88,3,0)*VLOOKUP('Données projet'!$B$14,Paramètres!$A$1:$I$88,5,0)</f>
        <v>-4.5224624045658861E-14</v>
      </c>
      <c r="DQ187" s="14" t="e">
        <f t="shared" si="176"/>
        <v>#NUM!</v>
      </c>
      <c r="DR187" s="22" t="e">
        <f t="shared" si="177"/>
        <v>#NUM!</v>
      </c>
      <c r="DS187" s="62" t="e">
        <f t="shared" si="130"/>
        <v>#NUM!</v>
      </c>
      <c r="DT187" s="62">
        <f ca="1">AVERAGE(OFFSET($DS$3,0,0,'Données projet'!$E$14+1,1))-AVERAGE(OFFSET($H$3,0,0,'Données projet'!$E$14+1,1))</f>
        <v>290.20755061064017</v>
      </c>
      <c r="DU187" s="62">
        <f t="shared" si="131"/>
        <v>343.54750327717181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5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1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-1.1368683772161603E-13</v>
      </c>
      <c r="O188" s="14">
        <f>N188*VLOOKUP('Données projet'!$B$9,Paramètres!$A$1:$I$88,3,0)*VLOOKUP('Données projet'!$B$9,Paramètres!$A$1:$I$88,5,0)</f>
        <v>-5.3205440053716299E-14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300.03481708703549</v>
      </c>
      <c r="T188" s="62">
        <f t="shared" si="110"/>
        <v>102.6350860969182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-2.2737367544323206E-13</v>
      </c>
      <c r="AJ188" s="14">
        <f>AI188*VLOOKUP('Données projet'!$B$10,Paramètres!$A$1:$I$88,3,0)*VLOOKUP('Données projet'!$B$10,Paramètres!$A$1:$I$88,5,0)</f>
        <v>-1.2710188457276673E-13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328.27336939084597</v>
      </c>
      <c r="AO188" s="62">
        <f t="shared" si="115"/>
        <v>448.79354389108755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0.2505308131617639</v>
      </c>
      <c r="AV188" s="23">
        <f>EXP(-LN(2)/25)*AV187+(1-EXP(-LN(2)/25))/(LN(2)/25)*Calculateur!AQ188*Calculateur!AS188*VLOOKUP('Données projet'!$B$9,Paramètres!$A$1:$I$88,3,0)*0.475*44/12</f>
        <v>0.18720743482334426</v>
      </c>
      <c r="AW188" s="23">
        <f>EXP(-LN(2)/2)*AW187+(1-EXP(-LN(2)/2))/(LN(2)/2)*AQ188*AT188*VLOOKUP('Données projet'!$B$9,Paramètres!$A$1:$I$88,3,0)*0.475*44/12</f>
        <v>6.816571987514973E-23</v>
      </c>
      <c r="AX188" s="23">
        <f t="shared" si="166"/>
        <v>0.43773824798510819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-2.2737367544323206E-13</v>
      </c>
      <c r="BE188" s="14">
        <f>BD188*VLOOKUP('Données projet'!$B$11,Paramètres!$A$1:$I$88,3,0)*VLOOKUP('Données projet'!$B$11,Paramètres!$A$1:$I$88,5,0)</f>
        <v>-1.9863364286720756E-13</v>
      </c>
      <c r="BF188" s="14" t="e">
        <f t="shared" si="167"/>
        <v>#NUM!</v>
      </c>
      <c r="BG188" s="22" t="e">
        <f t="shared" si="168"/>
        <v>#NUM!</v>
      </c>
      <c r="BH188" s="62" t="e">
        <f t="shared" si="118"/>
        <v>#NUM!</v>
      </c>
      <c r="BI188" s="62">
        <f ca="1">AVERAGE(OFFSET($BH$3,0,0,'Données projet'!$E$11+1,1))-AVERAGE(OFFSET($H$3,0,0,'Données projet'!$E$11+1,1))</f>
        <v>348.65374983303883</v>
      </c>
      <c r="BJ188" s="62">
        <f t="shared" si="119"/>
        <v>312.05848669315151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-5.6843418860808015E-14</v>
      </c>
      <c r="BZ188" s="14">
        <f>BY188*VLOOKUP('Données projet'!$B$12,Paramètres!$A$1:$I$88,3,0)*VLOOKUP('Données projet'!$B$12,Paramètres!$A$1:$I$88,5,0)</f>
        <v>-4.1677594708744434E-14</v>
      </c>
      <c r="CA188" s="14" t="e">
        <f t="shared" si="170"/>
        <v>#NUM!</v>
      </c>
      <c r="CB188" s="22" t="e">
        <f t="shared" si="171"/>
        <v>#NUM!</v>
      </c>
      <c r="CC188" s="62" t="e">
        <f t="shared" si="122"/>
        <v>#NUM!</v>
      </c>
      <c r="CD188" s="62">
        <f ca="1">AVERAGE(OFFSET($CC$3,0,0,'Données projet'!$E$12+1,1))-AVERAGE(OFFSET($H$3,0,0,'Données projet'!$E$12+1,1))</f>
        <v>264.06656596707364</v>
      </c>
      <c r="CE188" s="62">
        <f t="shared" si="123"/>
        <v>315.34415130230195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5.6843418860808015E-14</v>
      </c>
      <c r="CU188" s="18">
        <f>CT188*VLOOKUP('Données projet'!$B$13,Paramètres!$A$1:$I$88,3,0)*VLOOKUP('Données projet'!$B$13,Paramètres!$A$1:$I$88,5,0)</f>
        <v>3.3992364478763198E-14</v>
      </c>
      <c r="CV188" s="14">
        <f t="shared" si="173"/>
        <v>5.790027782444094E-13</v>
      </c>
      <c r="CW188" s="22">
        <f t="shared" si="174"/>
        <v>1.0676332069095257E-12</v>
      </c>
      <c r="CX188" s="62">
        <f t="shared" si="126"/>
        <v>293.33333333333439</v>
      </c>
      <c r="CY188" s="62">
        <f ca="1">AVERAGE(OFFSET($CX$3,0,0,'Données projet'!$E$13+1,1))-AVERAGE(OFFSET($H$3,0,0,'Données projet'!$E$13+1,1))</f>
        <v>162.29089122912319</v>
      </c>
      <c r="CZ188" s="62">
        <f t="shared" si="127"/>
        <v>253.15422514195427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0.49048741046044786</v>
      </c>
      <c r="DG188" s="23">
        <f>EXP(-LN(2)/25)*DG187+(1-EXP(-LN(2)/25))/(LN(2)/25)*Calculateur!DB188*Calculateur!DD188*VLOOKUP('Données projet'!$B$9,Paramètres!$A$1:$I$88,3,0)*0.475*44/12</f>
        <v>7.2202768662360139E-2</v>
      </c>
      <c r="DH188" s="23">
        <f>EXP(-LN(2)/2)*DH187+(1-EXP(-LN(2)/2))/(LN(2)/2)*DB188*DE188*VLOOKUP('Données projet'!$B$9,Paramètres!$A$1:$I$88,3,0)*0.475*44/12</f>
        <v>1.0931179558957035E-23</v>
      </c>
      <c r="DI188" s="24">
        <f t="shared" si="175"/>
        <v>0.56269017912280805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-5.6843418860808015E-14</v>
      </c>
      <c r="DP188" s="18">
        <f>DO188*VLOOKUP('Données projet'!$B$14,Paramètres!$A$1:$I$88,3,0)*VLOOKUP('Données projet'!$B$14,Paramètres!$A$1:$I$88,5,0)</f>
        <v>-4.5224624045658861E-14</v>
      </c>
      <c r="DQ188" s="14" t="e">
        <f t="shared" si="176"/>
        <v>#NUM!</v>
      </c>
      <c r="DR188" s="22" t="e">
        <f t="shared" si="177"/>
        <v>#NUM!</v>
      </c>
      <c r="DS188" s="62" t="e">
        <f t="shared" si="130"/>
        <v>#NUM!</v>
      </c>
      <c r="DT188" s="62">
        <f ca="1">AVERAGE(OFFSET($DS$3,0,0,'Données projet'!$E$14+1,1))-AVERAGE(OFFSET($H$3,0,0,'Données projet'!$E$14+1,1))</f>
        <v>290.20755061064017</v>
      </c>
      <c r="DU188" s="62">
        <f t="shared" si="131"/>
        <v>343.54750327717181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5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1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-1.1368683772161603E-13</v>
      </c>
      <c r="O189" s="14">
        <f>N189*VLOOKUP('Données projet'!$B$9,Paramètres!$A$1:$I$88,3,0)*VLOOKUP('Données projet'!$B$9,Paramètres!$A$1:$I$88,5,0)</f>
        <v>-5.3205440053716299E-14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300.03481708703549</v>
      </c>
      <c r="T189" s="62">
        <f t="shared" si="110"/>
        <v>102.6350860969182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-2.2737367544323206E-13</v>
      </c>
      <c r="AJ189" s="14">
        <f>AI189*VLOOKUP('Données projet'!$B$10,Paramètres!$A$1:$I$88,3,0)*VLOOKUP('Données projet'!$B$10,Paramètres!$A$1:$I$88,5,0)</f>
        <v>-1.2710188457276673E-13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328.27336939084597</v>
      </c>
      <c r="AO189" s="62">
        <f t="shared" si="115"/>
        <v>448.79354389108755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0.24561805672436912</v>
      </c>
      <c r="AV189" s="23">
        <f>EXP(-LN(2)/25)*AV188+(1-EXP(-LN(2)/25))/(LN(2)/25)*Calculateur!AQ189*Calculateur!AS189*VLOOKUP('Données projet'!$B$9,Paramètres!$A$1:$I$88,3,0)*0.475*44/12</f>
        <v>0.18208823767328877</v>
      </c>
      <c r="AW189" s="23">
        <f>EXP(-LN(2)/2)*AW188+(1-EXP(-LN(2)/2))/(LN(2)/2)*AQ189*AT189*VLOOKUP('Données projet'!$B$9,Paramètres!$A$1:$I$88,3,0)*0.475*44/12</f>
        <v>4.8200442768180994E-23</v>
      </c>
      <c r="AX189" s="23">
        <f t="shared" si="166"/>
        <v>0.42770629439765789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-2.2737367544323206E-13</v>
      </c>
      <c r="BE189" s="14">
        <f>BD189*VLOOKUP('Données projet'!$B$11,Paramètres!$A$1:$I$88,3,0)*VLOOKUP('Données projet'!$B$11,Paramètres!$A$1:$I$88,5,0)</f>
        <v>-1.9863364286720756E-13</v>
      </c>
      <c r="BF189" s="14" t="e">
        <f t="shared" si="167"/>
        <v>#NUM!</v>
      </c>
      <c r="BG189" s="22" t="e">
        <f t="shared" si="168"/>
        <v>#NUM!</v>
      </c>
      <c r="BH189" s="62" t="e">
        <f t="shared" si="118"/>
        <v>#NUM!</v>
      </c>
      <c r="BI189" s="62">
        <f ca="1">AVERAGE(OFFSET($BH$3,0,0,'Données projet'!$E$11+1,1))-AVERAGE(OFFSET($H$3,0,0,'Données projet'!$E$11+1,1))</f>
        <v>348.65374983303883</v>
      </c>
      <c r="BJ189" s="62">
        <f t="shared" si="119"/>
        <v>312.05848669315151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-5.6843418860808015E-14</v>
      </c>
      <c r="BZ189" s="14">
        <f>BY189*VLOOKUP('Données projet'!$B$12,Paramètres!$A$1:$I$88,3,0)*VLOOKUP('Données projet'!$B$12,Paramètres!$A$1:$I$88,5,0)</f>
        <v>-4.1677594708744434E-14</v>
      </c>
      <c r="CA189" s="14" t="e">
        <f t="shared" si="170"/>
        <v>#NUM!</v>
      </c>
      <c r="CB189" s="22" t="e">
        <f t="shared" si="171"/>
        <v>#NUM!</v>
      </c>
      <c r="CC189" s="62" t="e">
        <f t="shared" si="122"/>
        <v>#NUM!</v>
      </c>
      <c r="CD189" s="62">
        <f ca="1">AVERAGE(OFFSET($CC$3,0,0,'Données projet'!$E$12+1,1))-AVERAGE(OFFSET($H$3,0,0,'Données projet'!$E$12+1,1))</f>
        <v>264.06656596707364</v>
      </c>
      <c r="CE189" s="62">
        <f t="shared" si="123"/>
        <v>315.34415130230195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5.6843418860808015E-14</v>
      </c>
      <c r="CU189" s="18">
        <f>CT189*VLOOKUP('Données projet'!$B$13,Paramètres!$A$1:$I$88,3,0)*VLOOKUP('Données projet'!$B$13,Paramètres!$A$1:$I$88,5,0)</f>
        <v>3.3992364478763198E-14</v>
      </c>
      <c r="CV189" s="14">
        <f t="shared" si="173"/>
        <v>5.790027782444094E-13</v>
      </c>
      <c r="CW189" s="22">
        <f t="shared" si="174"/>
        <v>1.0676332069095257E-12</v>
      </c>
      <c r="CX189" s="62">
        <f t="shared" si="126"/>
        <v>293.33333333333439</v>
      </c>
      <c r="CY189" s="62">
        <f ca="1">AVERAGE(OFFSET($CX$3,0,0,'Données projet'!$E$13+1,1))-AVERAGE(OFFSET($H$3,0,0,'Données projet'!$E$13+1,1))</f>
        <v>162.29089122912319</v>
      </c>
      <c r="CZ189" s="62">
        <f t="shared" si="127"/>
        <v>253.15422514195427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0.48086925150909848</v>
      </c>
      <c r="DG189" s="23">
        <f>EXP(-LN(2)/25)*DG188+(1-EXP(-LN(2)/25))/(LN(2)/25)*Calculateur!DB189*Calculateur!DD189*VLOOKUP('Données projet'!$B$9,Paramètres!$A$1:$I$88,3,0)*0.475*44/12</f>
        <v>7.022838015630932E-2</v>
      </c>
      <c r="DH189" s="23">
        <f>EXP(-LN(2)/2)*DH188+(1-EXP(-LN(2)/2))/(LN(2)/2)*DB189*DE189*VLOOKUP('Données projet'!$B$9,Paramètres!$A$1:$I$88,3,0)*0.475*44/12</f>
        <v>7.729511192506293E-24</v>
      </c>
      <c r="DI189" s="24">
        <f t="shared" si="175"/>
        <v>0.55109763166540782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-5.6843418860808015E-14</v>
      </c>
      <c r="DP189" s="18">
        <f>DO189*VLOOKUP('Données projet'!$B$14,Paramètres!$A$1:$I$88,3,0)*VLOOKUP('Données projet'!$B$14,Paramètres!$A$1:$I$88,5,0)</f>
        <v>-4.5224624045658861E-14</v>
      </c>
      <c r="DQ189" s="14" t="e">
        <f t="shared" si="176"/>
        <v>#NUM!</v>
      </c>
      <c r="DR189" s="22" t="e">
        <f t="shared" si="177"/>
        <v>#NUM!</v>
      </c>
      <c r="DS189" s="62" t="e">
        <f t="shared" si="130"/>
        <v>#NUM!</v>
      </c>
      <c r="DT189" s="62">
        <f ca="1">AVERAGE(OFFSET($DS$3,0,0,'Données projet'!$E$14+1,1))-AVERAGE(OFFSET($H$3,0,0,'Données projet'!$E$14+1,1))</f>
        <v>290.20755061064017</v>
      </c>
      <c r="DU189" s="62">
        <f t="shared" si="131"/>
        <v>343.54750327717181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5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1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-1.1368683772161603E-13</v>
      </c>
      <c r="O190" s="14">
        <f>N190*VLOOKUP('Données projet'!$B$9,Paramètres!$A$1:$I$88,3,0)*VLOOKUP('Données projet'!$B$9,Paramètres!$A$1:$I$88,5,0)</f>
        <v>-5.3205440053716299E-14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300.03481708703549</v>
      </c>
      <c r="T190" s="62">
        <f t="shared" si="110"/>
        <v>102.6350860969182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-2.2737367544323206E-13</v>
      </c>
      <c r="AJ190" s="14">
        <f>AI190*VLOOKUP('Données projet'!$B$10,Paramètres!$A$1:$I$88,3,0)*VLOOKUP('Données projet'!$B$10,Paramètres!$A$1:$I$88,5,0)</f>
        <v>-1.2710188457276673E-13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328.27336939084597</v>
      </c>
      <c r="AO190" s="62">
        <f t="shared" si="115"/>
        <v>448.79354389108755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0.24080163644422611</v>
      </c>
      <c r="AV190" s="23">
        <f>EXP(-LN(2)/25)*AV189+(1-EXP(-LN(2)/25))/(LN(2)/25)*Calculateur!AQ190*Calculateur!AS190*VLOOKUP('Données projet'!$B$9,Paramètres!$A$1:$I$88,3,0)*0.475*44/12</f>
        <v>0.17710902523850844</v>
      </c>
      <c r="AW190" s="23">
        <f>EXP(-LN(2)/2)*AW189+(1-EXP(-LN(2)/2))/(LN(2)/2)*AQ190*AT190*VLOOKUP('Données projet'!$B$9,Paramètres!$A$1:$I$88,3,0)*0.475*44/12</f>
        <v>3.4082859937574865E-23</v>
      </c>
      <c r="AX190" s="23">
        <f t="shared" si="166"/>
        <v>0.41791066168273455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-2.2737367544323206E-13</v>
      </c>
      <c r="BE190" s="14">
        <f>BD190*VLOOKUP('Données projet'!$B$11,Paramètres!$A$1:$I$88,3,0)*VLOOKUP('Données projet'!$B$11,Paramètres!$A$1:$I$88,5,0)</f>
        <v>-1.9863364286720756E-13</v>
      </c>
      <c r="BF190" s="14" t="e">
        <f t="shared" si="167"/>
        <v>#NUM!</v>
      </c>
      <c r="BG190" s="22" t="e">
        <f t="shared" si="168"/>
        <v>#NUM!</v>
      </c>
      <c r="BH190" s="62" t="e">
        <f t="shared" si="118"/>
        <v>#NUM!</v>
      </c>
      <c r="BI190" s="62">
        <f ca="1">AVERAGE(OFFSET($BH$3,0,0,'Données projet'!$E$11+1,1))-AVERAGE(OFFSET($H$3,0,0,'Données projet'!$E$11+1,1))</f>
        <v>348.65374983303883</v>
      </c>
      <c r="BJ190" s="62">
        <f t="shared" si="119"/>
        <v>312.05848669315151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-5.6843418860808015E-14</v>
      </c>
      <c r="BZ190" s="14">
        <f>BY190*VLOOKUP('Données projet'!$B$12,Paramètres!$A$1:$I$88,3,0)*VLOOKUP('Données projet'!$B$12,Paramètres!$A$1:$I$88,5,0)</f>
        <v>-4.1677594708744434E-14</v>
      </c>
      <c r="CA190" s="14" t="e">
        <f t="shared" si="170"/>
        <v>#NUM!</v>
      </c>
      <c r="CB190" s="22" t="e">
        <f t="shared" si="171"/>
        <v>#NUM!</v>
      </c>
      <c r="CC190" s="62" t="e">
        <f t="shared" si="122"/>
        <v>#NUM!</v>
      </c>
      <c r="CD190" s="62">
        <f ca="1">AVERAGE(OFFSET($CC$3,0,0,'Données projet'!$E$12+1,1))-AVERAGE(OFFSET($H$3,0,0,'Données projet'!$E$12+1,1))</f>
        <v>264.06656596707364</v>
      </c>
      <c r="CE190" s="62">
        <f t="shared" si="123"/>
        <v>315.34415130230195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5.6843418860808015E-14</v>
      </c>
      <c r="CU190" s="18">
        <f>CT190*VLOOKUP('Données projet'!$B$13,Paramètres!$A$1:$I$88,3,0)*VLOOKUP('Données projet'!$B$13,Paramètres!$A$1:$I$88,5,0)</f>
        <v>3.3992364478763198E-14</v>
      </c>
      <c r="CV190" s="14">
        <f t="shared" si="173"/>
        <v>5.790027782444094E-13</v>
      </c>
      <c r="CW190" s="22">
        <f t="shared" si="174"/>
        <v>1.0676332069095257E-12</v>
      </c>
      <c r="CX190" s="62">
        <f t="shared" si="126"/>
        <v>293.33333333333439</v>
      </c>
      <c r="CY190" s="62">
        <f ca="1">AVERAGE(OFFSET($CX$3,0,0,'Données projet'!$E$13+1,1))-AVERAGE(OFFSET($H$3,0,0,'Données projet'!$E$13+1,1))</f>
        <v>162.29089122912319</v>
      </c>
      <c r="CZ190" s="62">
        <f t="shared" si="127"/>
        <v>253.15422514195427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0.4714396987882874</v>
      </c>
      <c r="DG190" s="23">
        <f>EXP(-LN(2)/25)*DG189+(1-EXP(-LN(2)/25))/(LN(2)/25)*Calculateur!DB190*Calculateur!DD190*VLOOKUP('Données projet'!$B$9,Paramètres!$A$1:$I$88,3,0)*0.475*44/12</f>
        <v>6.8307981407785032E-2</v>
      </c>
      <c r="DH190" s="23">
        <f>EXP(-LN(2)/2)*DH189+(1-EXP(-LN(2)/2))/(LN(2)/2)*DB190*DE190*VLOOKUP('Données projet'!$B$9,Paramètres!$A$1:$I$88,3,0)*0.475*44/12</f>
        <v>5.4655897794785174E-24</v>
      </c>
      <c r="DI190" s="24">
        <f t="shared" si="175"/>
        <v>0.53974768019607244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-5.6843418860808015E-14</v>
      </c>
      <c r="DP190" s="18">
        <f>DO190*VLOOKUP('Données projet'!$B$14,Paramètres!$A$1:$I$88,3,0)*VLOOKUP('Données projet'!$B$14,Paramètres!$A$1:$I$88,5,0)</f>
        <v>-4.5224624045658861E-14</v>
      </c>
      <c r="DQ190" s="14" t="e">
        <f t="shared" si="176"/>
        <v>#NUM!</v>
      </c>
      <c r="DR190" s="22" t="e">
        <f t="shared" si="177"/>
        <v>#NUM!</v>
      </c>
      <c r="DS190" s="62" t="e">
        <f t="shared" si="130"/>
        <v>#NUM!</v>
      </c>
      <c r="DT190" s="62">
        <f ca="1">AVERAGE(OFFSET($DS$3,0,0,'Données projet'!$E$14+1,1))-AVERAGE(OFFSET($H$3,0,0,'Données projet'!$E$14+1,1))</f>
        <v>290.20755061064017</v>
      </c>
      <c r="DU190" s="62">
        <f t="shared" si="131"/>
        <v>343.54750327717181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5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1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-1.1368683772161603E-13</v>
      </c>
      <c r="O191" s="14">
        <f>N191*VLOOKUP('Données projet'!$B$9,Paramètres!$A$1:$I$88,3,0)*VLOOKUP('Données projet'!$B$9,Paramètres!$A$1:$I$88,5,0)</f>
        <v>-5.3205440053716299E-14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300.03481708703549</v>
      </c>
      <c r="T191" s="62">
        <f t="shared" si="110"/>
        <v>102.6350860969182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-2.2737367544323206E-13</v>
      </c>
      <c r="AJ191" s="14">
        <f>AI191*VLOOKUP('Données projet'!$B$10,Paramètres!$A$1:$I$88,3,0)*VLOOKUP('Données projet'!$B$10,Paramètres!$A$1:$I$88,5,0)</f>
        <v>-1.2710188457276673E-13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328.27336939084597</v>
      </c>
      <c r="AO191" s="62">
        <f t="shared" si="115"/>
        <v>448.79354389108755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0.23607966322805041</v>
      </c>
      <c r="AV191" s="23">
        <f>EXP(-LN(2)/25)*AV190+(1-EXP(-LN(2)/25))/(LN(2)/25)*Calculateur!AQ191*Calculateur!AS191*VLOOKUP('Données projet'!$B$9,Paramètres!$A$1:$I$88,3,0)*0.475*44/12</f>
        <v>0.17226596962960258</v>
      </c>
      <c r="AW191" s="23">
        <f>EXP(-LN(2)/2)*AW190+(1-EXP(-LN(2)/2))/(LN(2)/2)*AQ191*AT191*VLOOKUP('Données projet'!$B$9,Paramètres!$A$1:$I$88,3,0)*0.475*44/12</f>
        <v>2.4100221384090497E-23</v>
      </c>
      <c r="AX191" s="23">
        <f t="shared" si="166"/>
        <v>0.40834563285765302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-2.2737367544323206E-13</v>
      </c>
      <c r="BE191" s="14">
        <f>BD191*VLOOKUP('Données projet'!$B$11,Paramètres!$A$1:$I$88,3,0)*VLOOKUP('Données projet'!$B$11,Paramètres!$A$1:$I$88,5,0)</f>
        <v>-1.9863364286720756E-13</v>
      </c>
      <c r="BF191" s="14" t="e">
        <f t="shared" si="167"/>
        <v>#NUM!</v>
      </c>
      <c r="BG191" s="22" t="e">
        <f t="shared" si="168"/>
        <v>#NUM!</v>
      </c>
      <c r="BH191" s="62" t="e">
        <f t="shared" si="118"/>
        <v>#NUM!</v>
      </c>
      <c r="BI191" s="62">
        <f ca="1">AVERAGE(OFFSET($BH$3,0,0,'Données projet'!$E$11+1,1))-AVERAGE(OFFSET($H$3,0,0,'Données projet'!$E$11+1,1))</f>
        <v>348.65374983303883</v>
      </c>
      <c r="BJ191" s="62">
        <f t="shared" si="119"/>
        <v>312.05848669315151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-5.6843418860808015E-14</v>
      </c>
      <c r="BZ191" s="14">
        <f>BY191*VLOOKUP('Données projet'!$B$12,Paramètres!$A$1:$I$88,3,0)*VLOOKUP('Données projet'!$B$12,Paramètres!$A$1:$I$88,5,0)</f>
        <v>-4.1677594708744434E-14</v>
      </c>
      <c r="CA191" s="14" t="e">
        <f t="shared" si="170"/>
        <v>#NUM!</v>
      </c>
      <c r="CB191" s="22" t="e">
        <f t="shared" si="171"/>
        <v>#NUM!</v>
      </c>
      <c r="CC191" s="62" t="e">
        <f t="shared" si="122"/>
        <v>#NUM!</v>
      </c>
      <c r="CD191" s="62">
        <f ca="1">AVERAGE(OFFSET($CC$3,0,0,'Données projet'!$E$12+1,1))-AVERAGE(OFFSET($H$3,0,0,'Données projet'!$E$12+1,1))</f>
        <v>264.06656596707364</v>
      </c>
      <c r="CE191" s="62">
        <f t="shared" si="123"/>
        <v>315.34415130230195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5.6843418860808015E-14</v>
      </c>
      <c r="CU191" s="18">
        <f>CT191*VLOOKUP('Données projet'!$B$13,Paramètres!$A$1:$I$88,3,0)*VLOOKUP('Données projet'!$B$13,Paramètres!$A$1:$I$88,5,0)</f>
        <v>3.3992364478763198E-14</v>
      </c>
      <c r="CV191" s="14">
        <f t="shared" si="173"/>
        <v>5.790027782444094E-13</v>
      </c>
      <c r="CW191" s="22">
        <f t="shared" si="174"/>
        <v>1.0676332069095257E-12</v>
      </c>
      <c r="CX191" s="62">
        <f t="shared" si="126"/>
        <v>293.33333333333439</v>
      </c>
      <c r="CY191" s="62">
        <f ca="1">AVERAGE(OFFSET($CX$3,0,0,'Données projet'!$E$13+1,1))-AVERAGE(OFFSET($H$3,0,0,'Données projet'!$E$13+1,1))</f>
        <v>162.29089122912319</v>
      </c>
      <c r="CZ191" s="62">
        <f t="shared" si="127"/>
        <v>253.15422514195427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0.46219505384487214</v>
      </c>
      <c r="DG191" s="23">
        <f>EXP(-LN(2)/25)*DG190+(1-EXP(-LN(2)/25))/(LN(2)/25)*Calculateur!DB191*Calculateur!DD191*VLOOKUP('Données projet'!$B$9,Paramètres!$A$1:$I$88,3,0)*0.475*44/12</f>
        <v>6.6440096064028523E-2</v>
      </c>
      <c r="DH191" s="23">
        <f>EXP(-LN(2)/2)*DH190+(1-EXP(-LN(2)/2))/(LN(2)/2)*DB191*DE191*VLOOKUP('Données projet'!$B$9,Paramètres!$A$1:$I$88,3,0)*0.475*44/12</f>
        <v>3.8647555962531465E-24</v>
      </c>
      <c r="DI191" s="24">
        <f t="shared" si="175"/>
        <v>0.5286351499089007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-5.6843418860808015E-14</v>
      </c>
      <c r="DP191" s="18">
        <f>DO191*VLOOKUP('Données projet'!$B$14,Paramètres!$A$1:$I$88,3,0)*VLOOKUP('Données projet'!$B$14,Paramètres!$A$1:$I$88,5,0)</f>
        <v>-4.5224624045658861E-14</v>
      </c>
      <c r="DQ191" s="14" t="e">
        <f t="shared" si="176"/>
        <v>#NUM!</v>
      </c>
      <c r="DR191" s="22" t="e">
        <f t="shared" si="177"/>
        <v>#NUM!</v>
      </c>
      <c r="DS191" s="62" t="e">
        <f t="shared" si="130"/>
        <v>#NUM!</v>
      </c>
      <c r="DT191" s="62">
        <f ca="1">AVERAGE(OFFSET($DS$3,0,0,'Données projet'!$E$14+1,1))-AVERAGE(OFFSET($H$3,0,0,'Données projet'!$E$14+1,1))</f>
        <v>290.20755061064017</v>
      </c>
      <c r="DU191" s="62">
        <f t="shared" si="131"/>
        <v>343.54750327717181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5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1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-1.1368683772161603E-13</v>
      </c>
      <c r="O192" s="14">
        <f>N192*VLOOKUP('Données projet'!$B$9,Paramètres!$A$1:$I$88,3,0)*VLOOKUP('Données projet'!$B$9,Paramètres!$A$1:$I$88,5,0)</f>
        <v>-5.3205440053716299E-14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300.03481708703549</v>
      </c>
      <c r="T192" s="62">
        <f t="shared" si="110"/>
        <v>102.6350860969182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-2.2737367544323206E-13</v>
      </c>
      <c r="AJ192" s="14">
        <f>AI192*VLOOKUP('Données projet'!$B$10,Paramètres!$A$1:$I$88,3,0)*VLOOKUP('Données projet'!$B$10,Paramètres!$A$1:$I$88,5,0)</f>
        <v>-1.2710188457276673E-13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328.27336939084597</v>
      </c>
      <c r="AO192" s="62">
        <f t="shared" si="115"/>
        <v>448.79354389108755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0.23145028502652465</v>
      </c>
      <c r="AV192" s="23">
        <f>EXP(-LN(2)/25)*AV191+(1-EXP(-LN(2)/25))/(LN(2)/25)*Calculateur!AQ192*Calculateur!AS192*VLOOKUP('Données projet'!$B$9,Paramètres!$A$1:$I$88,3,0)*0.475*44/12</f>
        <v>0.16755534763100749</v>
      </c>
      <c r="AW192" s="23">
        <f>EXP(-LN(2)/2)*AW191+(1-EXP(-LN(2)/2))/(LN(2)/2)*AQ192*AT192*VLOOKUP('Données projet'!$B$9,Paramètres!$A$1:$I$88,3,0)*0.475*44/12</f>
        <v>1.7041429968787432E-23</v>
      </c>
      <c r="AX192" s="23">
        <f t="shared" si="166"/>
        <v>0.39900563265753214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-2.2737367544323206E-13</v>
      </c>
      <c r="BE192" s="14">
        <f>BD192*VLOOKUP('Données projet'!$B$11,Paramètres!$A$1:$I$88,3,0)*VLOOKUP('Données projet'!$B$11,Paramètres!$A$1:$I$88,5,0)</f>
        <v>-1.9863364286720756E-13</v>
      </c>
      <c r="BF192" s="14" t="e">
        <f t="shared" si="167"/>
        <v>#NUM!</v>
      </c>
      <c r="BG192" s="22" t="e">
        <f t="shared" si="168"/>
        <v>#NUM!</v>
      </c>
      <c r="BH192" s="62" t="e">
        <f t="shared" si="118"/>
        <v>#NUM!</v>
      </c>
      <c r="BI192" s="62">
        <f ca="1">AVERAGE(OFFSET($BH$3,0,0,'Données projet'!$E$11+1,1))-AVERAGE(OFFSET($H$3,0,0,'Données projet'!$E$11+1,1))</f>
        <v>348.65374983303883</v>
      </c>
      <c r="BJ192" s="62">
        <f t="shared" si="119"/>
        <v>312.05848669315151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-5.6843418860808015E-14</v>
      </c>
      <c r="BZ192" s="14">
        <f>BY192*VLOOKUP('Données projet'!$B$12,Paramètres!$A$1:$I$88,3,0)*VLOOKUP('Données projet'!$B$12,Paramètres!$A$1:$I$88,5,0)</f>
        <v>-4.1677594708744434E-14</v>
      </c>
      <c r="CA192" s="14" t="e">
        <f t="shared" si="170"/>
        <v>#NUM!</v>
      </c>
      <c r="CB192" s="22" t="e">
        <f t="shared" si="171"/>
        <v>#NUM!</v>
      </c>
      <c r="CC192" s="62" t="e">
        <f t="shared" si="122"/>
        <v>#NUM!</v>
      </c>
      <c r="CD192" s="62">
        <f ca="1">AVERAGE(OFFSET($CC$3,0,0,'Données projet'!$E$12+1,1))-AVERAGE(OFFSET($H$3,0,0,'Données projet'!$E$12+1,1))</f>
        <v>264.06656596707364</v>
      </c>
      <c r="CE192" s="62">
        <f t="shared" si="123"/>
        <v>315.34415130230195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5.6843418860808015E-14</v>
      </c>
      <c r="CU192" s="18">
        <f>CT192*VLOOKUP('Données projet'!$B$13,Paramètres!$A$1:$I$88,3,0)*VLOOKUP('Données projet'!$B$13,Paramètres!$A$1:$I$88,5,0)</f>
        <v>3.3992364478763198E-14</v>
      </c>
      <c r="CV192" s="14">
        <f t="shared" si="173"/>
        <v>5.790027782444094E-13</v>
      </c>
      <c r="CW192" s="22">
        <f t="shared" si="174"/>
        <v>1.0676332069095257E-12</v>
      </c>
      <c r="CX192" s="62">
        <f t="shared" si="126"/>
        <v>293.33333333333439</v>
      </c>
      <c r="CY192" s="62">
        <f ca="1">AVERAGE(OFFSET($CX$3,0,0,'Données projet'!$E$13+1,1))-AVERAGE(OFFSET($H$3,0,0,'Données projet'!$E$13+1,1))</f>
        <v>162.29089122912319</v>
      </c>
      <c r="CZ192" s="62">
        <f t="shared" si="127"/>
        <v>253.15422514195427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0.45313169075012061</v>
      </c>
      <c r="DG192" s="23">
        <f>EXP(-LN(2)/25)*DG191+(1-EXP(-LN(2)/25))/(LN(2)/25)*Calculateur!DB192*Calculateur!DD192*VLOOKUP('Données projet'!$B$9,Paramètres!$A$1:$I$88,3,0)*0.475*44/12</f>
        <v>6.4623288143224863E-2</v>
      </c>
      <c r="DH192" s="23">
        <f>EXP(-LN(2)/2)*DH191+(1-EXP(-LN(2)/2))/(LN(2)/2)*DB192*DE192*VLOOKUP('Données projet'!$B$9,Paramètres!$A$1:$I$88,3,0)*0.475*44/12</f>
        <v>2.7327948897392587E-24</v>
      </c>
      <c r="DI192" s="24">
        <f t="shared" si="175"/>
        <v>0.51775497889334543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-5.6843418860808015E-14</v>
      </c>
      <c r="DP192" s="18">
        <f>DO192*VLOOKUP('Données projet'!$B$14,Paramètres!$A$1:$I$88,3,0)*VLOOKUP('Données projet'!$B$14,Paramètres!$A$1:$I$88,5,0)</f>
        <v>-4.5224624045658861E-14</v>
      </c>
      <c r="DQ192" s="14" t="e">
        <f t="shared" si="176"/>
        <v>#NUM!</v>
      </c>
      <c r="DR192" s="22" t="e">
        <f t="shared" si="177"/>
        <v>#NUM!</v>
      </c>
      <c r="DS192" s="62" t="e">
        <f t="shared" si="130"/>
        <v>#NUM!</v>
      </c>
      <c r="DT192" s="62">
        <f ca="1">AVERAGE(OFFSET($DS$3,0,0,'Données projet'!$E$14+1,1))-AVERAGE(OFFSET($H$3,0,0,'Données projet'!$E$14+1,1))</f>
        <v>290.20755061064017</v>
      </c>
      <c r="DU192" s="62">
        <f t="shared" si="131"/>
        <v>343.54750327717181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5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1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-1.1368683772161603E-13</v>
      </c>
      <c r="O193" s="14">
        <f>N193*VLOOKUP('Données projet'!$B$9,Paramètres!$A$1:$I$88,3,0)*VLOOKUP('Données projet'!$B$9,Paramètres!$A$1:$I$88,5,0)</f>
        <v>-5.3205440053716299E-14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300.03481708703549</v>
      </c>
      <c r="T193" s="62">
        <f t="shared" si="110"/>
        <v>102.6350860969182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-2.2737367544323206E-13</v>
      </c>
      <c r="AJ193" s="14">
        <f>AI193*VLOOKUP('Données projet'!$B$10,Paramètres!$A$1:$I$88,3,0)*VLOOKUP('Données projet'!$B$10,Paramètres!$A$1:$I$88,5,0)</f>
        <v>-1.2710188457276673E-13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328.27336939084597</v>
      </c>
      <c r="AO193" s="62">
        <f t="shared" si="115"/>
        <v>448.79354389108755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0.22691168610788892</v>
      </c>
      <c r="AV193" s="23">
        <f>EXP(-LN(2)/25)*AV192+(1-EXP(-LN(2)/25))/(LN(2)/25)*Calculateur!AQ193*Calculateur!AS193*VLOOKUP('Données projet'!$B$9,Paramètres!$A$1:$I$88,3,0)*0.475*44/12</f>
        <v>0.16297353783868482</v>
      </c>
      <c r="AW193" s="23">
        <f>EXP(-LN(2)/2)*AW192+(1-EXP(-LN(2)/2))/(LN(2)/2)*AQ193*AT193*VLOOKUP('Données projet'!$B$9,Paramètres!$A$1:$I$88,3,0)*0.475*44/12</f>
        <v>1.2050110692045249E-23</v>
      </c>
      <c r="AX193" s="23">
        <f t="shared" si="166"/>
        <v>0.38988522394657377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-2.2737367544323206E-13</v>
      </c>
      <c r="BE193" s="14">
        <f>BD193*VLOOKUP('Données projet'!$B$11,Paramètres!$A$1:$I$88,3,0)*VLOOKUP('Données projet'!$B$11,Paramètres!$A$1:$I$88,5,0)</f>
        <v>-1.9863364286720756E-13</v>
      </c>
      <c r="BF193" s="14" t="e">
        <f t="shared" si="167"/>
        <v>#NUM!</v>
      </c>
      <c r="BG193" s="22" t="e">
        <f t="shared" si="168"/>
        <v>#NUM!</v>
      </c>
      <c r="BH193" s="62" t="e">
        <f t="shared" si="118"/>
        <v>#NUM!</v>
      </c>
      <c r="BI193" s="62">
        <f ca="1">AVERAGE(OFFSET($BH$3,0,0,'Données projet'!$E$11+1,1))-AVERAGE(OFFSET($H$3,0,0,'Données projet'!$E$11+1,1))</f>
        <v>348.65374983303883</v>
      </c>
      <c r="BJ193" s="62">
        <f t="shared" si="119"/>
        <v>312.05848669315151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-5.6843418860808015E-14</v>
      </c>
      <c r="BZ193" s="14">
        <f>BY193*VLOOKUP('Données projet'!$B$12,Paramètres!$A$1:$I$88,3,0)*VLOOKUP('Données projet'!$B$12,Paramètres!$A$1:$I$88,5,0)</f>
        <v>-4.1677594708744434E-14</v>
      </c>
      <c r="CA193" s="14" t="e">
        <f t="shared" si="170"/>
        <v>#NUM!</v>
      </c>
      <c r="CB193" s="22" t="e">
        <f t="shared" si="171"/>
        <v>#NUM!</v>
      </c>
      <c r="CC193" s="62" t="e">
        <f t="shared" si="122"/>
        <v>#NUM!</v>
      </c>
      <c r="CD193" s="62">
        <f ca="1">AVERAGE(OFFSET($CC$3,0,0,'Données projet'!$E$12+1,1))-AVERAGE(OFFSET($H$3,0,0,'Données projet'!$E$12+1,1))</f>
        <v>264.06656596707364</v>
      </c>
      <c r="CE193" s="62">
        <f t="shared" si="123"/>
        <v>315.34415130230195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5.6843418860808015E-14</v>
      </c>
      <c r="CU193" s="18">
        <f>CT193*VLOOKUP('Données projet'!$B$13,Paramètres!$A$1:$I$88,3,0)*VLOOKUP('Données projet'!$B$13,Paramètres!$A$1:$I$88,5,0)</f>
        <v>3.3992364478763198E-14</v>
      </c>
      <c r="CV193" s="14">
        <f t="shared" si="173"/>
        <v>5.790027782444094E-13</v>
      </c>
      <c r="CW193" s="22">
        <f t="shared" si="174"/>
        <v>1.0676332069095257E-12</v>
      </c>
      <c r="CX193" s="62">
        <f t="shared" si="126"/>
        <v>293.33333333333439</v>
      </c>
      <c r="CY193" s="62">
        <f ca="1">AVERAGE(OFFSET($CX$3,0,0,'Données projet'!$E$13+1,1))-AVERAGE(OFFSET($H$3,0,0,'Données projet'!$E$13+1,1))</f>
        <v>162.29089122912319</v>
      </c>
      <c r="CZ193" s="62">
        <f t="shared" si="127"/>
        <v>253.15422514195427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0.44424605467755152</v>
      </c>
      <c r="DG193" s="23">
        <f>EXP(-LN(2)/25)*DG192+(1-EXP(-LN(2)/25))/(LN(2)/25)*Calculateur!DB193*Calculateur!DD193*VLOOKUP('Données projet'!$B$9,Paramètres!$A$1:$I$88,3,0)*0.475*44/12</f>
        <v>6.2856160930557362E-2</v>
      </c>
      <c r="DH193" s="23">
        <f>EXP(-LN(2)/2)*DH192+(1-EXP(-LN(2)/2))/(LN(2)/2)*DB193*DE193*VLOOKUP('Données projet'!$B$9,Paramètres!$A$1:$I$88,3,0)*0.475*44/12</f>
        <v>1.9323777981265732E-24</v>
      </c>
      <c r="DI193" s="24">
        <f t="shared" si="175"/>
        <v>0.50710221560810886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-5.6843418860808015E-14</v>
      </c>
      <c r="DP193" s="18">
        <f>DO193*VLOOKUP('Données projet'!$B$14,Paramètres!$A$1:$I$88,3,0)*VLOOKUP('Données projet'!$B$14,Paramètres!$A$1:$I$88,5,0)</f>
        <v>-4.5224624045658861E-14</v>
      </c>
      <c r="DQ193" s="14" t="e">
        <f t="shared" si="176"/>
        <v>#NUM!</v>
      </c>
      <c r="DR193" s="22" t="e">
        <f t="shared" si="177"/>
        <v>#NUM!</v>
      </c>
      <c r="DS193" s="62" t="e">
        <f t="shared" si="130"/>
        <v>#NUM!</v>
      </c>
      <c r="DT193" s="62">
        <f ca="1">AVERAGE(OFFSET($DS$3,0,0,'Données projet'!$E$14+1,1))-AVERAGE(OFFSET($H$3,0,0,'Données projet'!$E$14+1,1))</f>
        <v>290.20755061064017</v>
      </c>
      <c r="DU193" s="62">
        <f t="shared" si="131"/>
        <v>343.54750327717181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5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1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-1.1368683772161603E-13</v>
      </c>
      <c r="O194" s="14">
        <f>N194*VLOOKUP('Données projet'!$B$9,Paramètres!$A$1:$I$88,3,0)*VLOOKUP('Données projet'!$B$9,Paramètres!$A$1:$I$88,5,0)</f>
        <v>-5.3205440053716299E-14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300.03481708703549</v>
      </c>
      <c r="T194" s="62">
        <f t="shared" si="110"/>
        <v>102.6350860969182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-2.2737367544323206E-13</v>
      </c>
      <c r="AJ194" s="14">
        <f>AI194*VLOOKUP('Données projet'!$B$10,Paramètres!$A$1:$I$88,3,0)*VLOOKUP('Données projet'!$B$10,Paramètres!$A$1:$I$88,5,0)</f>
        <v>-1.2710188457276673E-13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328.27336939084597</v>
      </c>
      <c r="AO194" s="62">
        <f t="shared" si="115"/>
        <v>448.79354389108755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0.22246208634577563</v>
      </c>
      <c r="AV194" s="23">
        <f>EXP(-LN(2)/25)*AV193+(1-EXP(-LN(2)/25))/(LN(2)/25)*Calculateur!AQ194*Calculateur!AS194*VLOOKUP('Données projet'!$B$9,Paramètres!$A$1:$I$88,3,0)*0.475*44/12</f>
        <v>0.15851701787608011</v>
      </c>
      <c r="AW194" s="23">
        <f>EXP(-LN(2)/2)*AW193+(1-EXP(-LN(2)/2))/(LN(2)/2)*AQ194*AT194*VLOOKUP('Données projet'!$B$9,Paramètres!$A$1:$I$88,3,0)*0.475*44/12</f>
        <v>8.5207149843937162E-24</v>
      </c>
      <c r="AX194" s="23">
        <f t="shared" si="166"/>
        <v>0.38097910422185577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-2.2737367544323206E-13</v>
      </c>
      <c r="BE194" s="14">
        <f>BD194*VLOOKUP('Données projet'!$B$11,Paramètres!$A$1:$I$88,3,0)*VLOOKUP('Données projet'!$B$11,Paramètres!$A$1:$I$88,5,0)</f>
        <v>-1.9863364286720756E-13</v>
      </c>
      <c r="BF194" s="14" t="e">
        <f t="shared" si="167"/>
        <v>#NUM!</v>
      </c>
      <c r="BG194" s="22" t="e">
        <f t="shared" si="168"/>
        <v>#NUM!</v>
      </c>
      <c r="BH194" s="62" t="e">
        <f t="shared" si="118"/>
        <v>#NUM!</v>
      </c>
      <c r="BI194" s="62">
        <f ca="1">AVERAGE(OFFSET($BH$3,0,0,'Données projet'!$E$11+1,1))-AVERAGE(OFFSET($H$3,0,0,'Données projet'!$E$11+1,1))</f>
        <v>348.65374983303883</v>
      </c>
      <c r="BJ194" s="62">
        <f t="shared" si="119"/>
        <v>312.05848669315151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-5.6843418860808015E-14</v>
      </c>
      <c r="BZ194" s="14">
        <f>BY194*VLOOKUP('Données projet'!$B$12,Paramètres!$A$1:$I$88,3,0)*VLOOKUP('Données projet'!$B$12,Paramètres!$A$1:$I$88,5,0)</f>
        <v>-4.1677594708744434E-14</v>
      </c>
      <c r="CA194" s="14" t="e">
        <f t="shared" si="170"/>
        <v>#NUM!</v>
      </c>
      <c r="CB194" s="22" t="e">
        <f t="shared" si="171"/>
        <v>#NUM!</v>
      </c>
      <c r="CC194" s="62" t="e">
        <f t="shared" si="122"/>
        <v>#NUM!</v>
      </c>
      <c r="CD194" s="62">
        <f ca="1">AVERAGE(OFFSET($CC$3,0,0,'Données projet'!$E$12+1,1))-AVERAGE(OFFSET($H$3,0,0,'Données projet'!$E$12+1,1))</f>
        <v>264.06656596707364</v>
      </c>
      <c r="CE194" s="62">
        <f t="shared" si="123"/>
        <v>315.34415130230195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5.6843418860808015E-14</v>
      </c>
      <c r="CU194" s="18">
        <f>CT194*VLOOKUP('Données projet'!$B$13,Paramètres!$A$1:$I$88,3,0)*VLOOKUP('Données projet'!$B$13,Paramètres!$A$1:$I$88,5,0)</f>
        <v>3.3992364478763198E-14</v>
      </c>
      <c r="CV194" s="14">
        <f t="shared" si="173"/>
        <v>5.790027782444094E-13</v>
      </c>
      <c r="CW194" s="22">
        <f t="shared" si="174"/>
        <v>1.0676332069095257E-12</v>
      </c>
      <c r="CX194" s="62">
        <f t="shared" si="126"/>
        <v>293.33333333333439</v>
      </c>
      <c r="CY194" s="62">
        <f ca="1">AVERAGE(OFFSET($CX$3,0,0,'Données projet'!$E$13+1,1))-AVERAGE(OFFSET($H$3,0,0,'Données projet'!$E$13+1,1))</f>
        <v>162.29089122912319</v>
      </c>
      <c r="CZ194" s="62">
        <f t="shared" si="127"/>
        <v>253.15422514195427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0.43553466050866269</v>
      </c>
      <c r="DG194" s="23">
        <f>EXP(-LN(2)/25)*DG193+(1-EXP(-LN(2)/25))/(LN(2)/25)*Calculateur!DB194*Calculateur!DD194*VLOOKUP('Données projet'!$B$9,Paramètres!$A$1:$I$88,3,0)*0.475*44/12</f>
        <v>6.1137355904449429E-2</v>
      </c>
      <c r="DH194" s="23">
        <f>EXP(-LN(2)/2)*DH193+(1-EXP(-LN(2)/2))/(LN(2)/2)*DB194*DE194*VLOOKUP('Données projet'!$B$9,Paramètres!$A$1:$I$88,3,0)*0.475*44/12</f>
        <v>1.3663974448696293E-24</v>
      </c>
      <c r="DI194" s="24">
        <f t="shared" si="175"/>
        <v>0.49667201641311209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-5.6843418860808015E-14</v>
      </c>
      <c r="DP194" s="18">
        <f>DO194*VLOOKUP('Données projet'!$B$14,Paramètres!$A$1:$I$88,3,0)*VLOOKUP('Données projet'!$B$14,Paramètres!$A$1:$I$88,5,0)</f>
        <v>-4.5224624045658861E-14</v>
      </c>
      <c r="DQ194" s="14" t="e">
        <f t="shared" si="176"/>
        <v>#NUM!</v>
      </c>
      <c r="DR194" s="22" t="e">
        <f t="shared" si="177"/>
        <v>#NUM!</v>
      </c>
      <c r="DS194" s="62" t="e">
        <f t="shared" si="130"/>
        <v>#NUM!</v>
      </c>
      <c r="DT194" s="62">
        <f ca="1">AVERAGE(OFFSET($DS$3,0,0,'Données projet'!$E$14+1,1))-AVERAGE(OFFSET($H$3,0,0,'Données projet'!$E$14+1,1))</f>
        <v>290.20755061064017</v>
      </c>
      <c r="DU194" s="62">
        <f t="shared" si="131"/>
        <v>343.54750327717181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5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1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-1.1368683772161603E-13</v>
      </c>
      <c r="O195" s="14">
        <f>N195*VLOOKUP('Données projet'!$B$9,Paramètres!$A$1:$I$88,3,0)*VLOOKUP('Données projet'!$B$9,Paramètres!$A$1:$I$88,5,0)</f>
        <v>-5.3205440053716299E-14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300.03481708703549</v>
      </c>
      <c r="T195" s="62">
        <f t="shared" ref="T195:T203" si="192">$R$33-$H$33</f>
        <v>102.6350860969182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-2.2737367544323206E-13</v>
      </c>
      <c r="AJ195" s="14">
        <f>AI195*VLOOKUP('Données projet'!$B$10,Paramètres!$A$1:$I$88,3,0)*VLOOKUP('Données projet'!$B$10,Paramètres!$A$1:$I$88,5,0)</f>
        <v>-1.2710188457276673E-13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328.27336939084597</v>
      </c>
      <c r="AO195" s="62">
        <f t="shared" si="115"/>
        <v>448.79354389108755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0.21809974052100953</v>
      </c>
      <c r="AV195" s="23">
        <f>EXP(-LN(2)/25)*AV194+(1-EXP(-LN(2)/25))/(LN(2)/25)*Calculateur!AQ195*Calculateur!AS195*VLOOKUP('Données projet'!$B$9,Paramètres!$A$1:$I$88,3,0)*0.475*44/12</f>
        <v>0.15418236168621102</v>
      </c>
      <c r="AW195" s="23">
        <f>EXP(-LN(2)/2)*AW194+(1-EXP(-LN(2)/2))/(LN(2)/2)*AQ195*AT195*VLOOKUP('Données projet'!$B$9,Paramètres!$A$1:$I$88,3,0)*0.475*44/12</f>
        <v>6.0250553460226243E-24</v>
      </c>
      <c r="AX195" s="23">
        <f t="shared" si="166"/>
        <v>0.37228210220722058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-2.2737367544323206E-13</v>
      </c>
      <c r="BE195" s="14">
        <f>BD195*VLOOKUP('Données projet'!$B$11,Paramètres!$A$1:$I$88,3,0)*VLOOKUP('Données projet'!$B$11,Paramètres!$A$1:$I$88,5,0)</f>
        <v>-1.9863364286720756E-13</v>
      </c>
      <c r="BF195" s="14" t="e">
        <f t="shared" si="167"/>
        <v>#NUM!</v>
      </c>
      <c r="BG195" s="22" t="e">
        <f t="shared" si="168"/>
        <v>#NUM!</v>
      </c>
      <c r="BH195" s="62" t="e">
        <f t="shared" si="118"/>
        <v>#NUM!</v>
      </c>
      <c r="BI195" s="62">
        <f ca="1">AVERAGE(OFFSET($BH$3,0,0,'Données projet'!$E$11+1,1))-AVERAGE(OFFSET($H$3,0,0,'Données projet'!$E$11+1,1))</f>
        <v>348.65374983303883</v>
      </c>
      <c r="BJ195" s="62">
        <f t="shared" si="119"/>
        <v>312.05848669315151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-5.6843418860808015E-14</v>
      </c>
      <c r="BZ195" s="14">
        <f>BY195*VLOOKUP('Données projet'!$B$12,Paramètres!$A$1:$I$88,3,0)*VLOOKUP('Données projet'!$B$12,Paramètres!$A$1:$I$88,5,0)</f>
        <v>-4.1677594708744434E-14</v>
      </c>
      <c r="CA195" s="14" t="e">
        <f t="shared" si="170"/>
        <v>#NUM!</v>
      </c>
      <c r="CB195" s="22" t="e">
        <f t="shared" si="171"/>
        <v>#NUM!</v>
      </c>
      <c r="CC195" s="62" t="e">
        <f t="shared" si="122"/>
        <v>#NUM!</v>
      </c>
      <c r="CD195" s="62">
        <f ca="1">AVERAGE(OFFSET($CC$3,0,0,'Données projet'!$E$12+1,1))-AVERAGE(OFFSET($H$3,0,0,'Données projet'!$E$12+1,1))</f>
        <v>264.06656596707364</v>
      </c>
      <c r="CE195" s="62">
        <f t="shared" si="123"/>
        <v>315.34415130230195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5.6843418860808015E-14</v>
      </c>
      <c r="CU195" s="18">
        <f>CT195*VLOOKUP('Données projet'!$B$13,Paramètres!$A$1:$I$88,3,0)*VLOOKUP('Données projet'!$B$13,Paramètres!$A$1:$I$88,5,0)</f>
        <v>3.3992364478763198E-14</v>
      </c>
      <c r="CV195" s="14">
        <f t="shared" si="173"/>
        <v>5.790027782444094E-13</v>
      </c>
      <c r="CW195" s="22">
        <f t="shared" si="174"/>
        <v>1.0676332069095257E-12</v>
      </c>
      <c r="CX195" s="62">
        <f t="shared" si="126"/>
        <v>293.33333333333439</v>
      </c>
      <c r="CY195" s="62">
        <f ca="1">AVERAGE(OFFSET($CX$3,0,0,'Données projet'!$E$13+1,1))-AVERAGE(OFFSET($H$3,0,0,'Données projet'!$E$13+1,1))</f>
        <v>162.29089122912319</v>
      </c>
      <c r="CZ195" s="62">
        <f t="shared" si="127"/>
        <v>253.15422514195427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0.42699409146599998</v>
      </c>
      <c r="DG195" s="23">
        <f>EXP(-LN(2)/25)*DG194+(1-EXP(-LN(2)/25))/(LN(2)/25)*Calculateur!DB195*Calculateur!DD195*VLOOKUP('Données projet'!$B$9,Paramètres!$A$1:$I$88,3,0)*0.475*44/12</f>
        <v>5.9465551692168446E-2</v>
      </c>
      <c r="DH195" s="23">
        <f>EXP(-LN(2)/2)*DH194+(1-EXP(-LN(2)/2))/(LN(2)/2)*DB195*DE195*VLOOKUP('Données projet'!$B$9,Paramètres!$A$1:$I$88,3,0)*0.475*44/12</f>
        <v>9.6618889906328662E-25</v>
      </c>
      <c r="DI195" s="24">
        <f t="shared" si="175"/>
        <v>0.48645964315816842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-5.6843418860808015E-14</v>
      </c>
      <c r="DP195" s="18">
        <f>DO195*VLOOKUP('Données projet'!$B$14,Paramètres!$A$1:$I$88,3,0)*VLOOKUP('Données projet'!$B$14,Paramètres!$A$1:$I$88,5,0)</f>
        <v>-4.5224624045658861E-14</v>
      </c>
      <c r="DQ195" s="14" t="e">
        <f t="shared" si="176"/>
        <v>#NUM!</v>
      </c>
      <c r="DR195" s="22" t="e">
        <f t="shared" si="177"/>
        <v>#NUM!</v>
      </c>
      <c r="DS195" s="62" t="e">
        <f t="shared" si="130"/>
        <v>#NUM!</v>
      </c>
      <c r="DT195" s="62">
        <f ca="1">AVERAGE(OFFSET($DS$3,0,0,'Données projet'!$E$14+1,1))-AVERAGE(OFFSET($H$3,0,0,'Données projet'!$E$14+1,1))</f>
        <v>290.20755061064017</v>
      </c>
      <c r="DU195" s="62">
        <f t="shared" si="131"/>
        <v>343.54750327717181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5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3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-1.1368683772161603E-13</v>
      </c>
      <c r="O196" s="14">
        <f>N196*VLOOKUP('Données projet'!$B$9,Paramètres!$A$1:$I$88,3,0)*VLOOKUP('Données projet'!$B$9,Paramètres!$A$1:$I$88,5,0)</f>
        <v>-5.3205440053716299E-14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300.03481708703549</v>
      </c>
      <c r="T196" s="62">
        <f t="shared" si="192"/>
        <v>102.6350860969182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-2.2737367544323206E-13</v>
      </c>
      <c r="AJ196" s="14">
        <f>AI196*VLOOKUP('Données projet'!$B$10,Paramètres!$A$1:$I$88,3,0)*VLOOKUP('Données projet'!$B$10,Paramètres!$A$1:$I$88,5,0)</f>
        <v>-1.2710188457276673E-13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328.27336939084597</v>
      </c>
      <c r="AO196" s="62">
        <f t="shared" ref="AO196:AO203" si="195">$AM$33-$H$33</f>
        <v>448.79354389108755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0.21382293763709886</v>
      </c>
      <c r="AV196" s="23">
        <f>EXP(-LN(2)/25)*AV195+(1-EXP(-LN(2)/25))/(LN(2)/25)*Calculateur!AQ196*Calculateur!AS196*VLOOKUP('Données projet'!$B$9,Paramètres!$A$1:$I$88,3,0)*0.475*44/12</f>
        <v>0.14996623689780356</v>
      </c>
      <c r="AW196" s="23">
        <f>EXP(-LN(2)/2)*AW195+(1-EXP(-LN(2)/2))/(LN(2)/2)*AQ196*AT196*VLOOKUP('Données projet'!$B$9,Paramètres!$A$1:$I$88,3,0)*0.475*44/12</f>
        <v>4.2603574921968581E-24</v>
      </c>
      <c r="AX196" s="23">
        <f t="shared" si="166"/>
        <v>0.36378917453490245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-2.2737367544323206E-13</v>
      </c>
      <c r="BE196" s="14">
        <f>BD196*VLOOKUP('Données projet'!$B$11,Paramètres!$A$1:$I$88,3,0)*VLOOKUP('Données projet'!$B$11,Paramètres!$A$1:$I$88,5,0)</f>
        <v>-1.9863364286720756E-13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6">BG196+(AY196+AZ196)*44/12</f>
        <v>#NUM!</v>
      </c>
      <c r="BI196" s="62">
        <f ca="1">AVERAGE(OFFSET($BH$3,0,0,'Données projet'!$E$11+1,1))-AVERAGE(OFFSET($H$3,0,0,'Données projet'!$E$11+1,1))</f>
        <v>348.65374983303883</v>
      </c>
      <c r="BJ196" s="62">
        <f t="shared" ref="BJ196:BJ203" si="197">$BH$33-$H$33</f>
        <v>312.05848669315151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-5.6843418860808015E-14</v>
      </c>
      <c r="BZ196" s="14">
        <f>BY196*VLOOKUP('Données projet'!$B$12,Paramètres!$A$1:$I$88,3,0)*VLOOKUP('Données projet'!$B$12,Paramètres!$A$1:$I$88,5,0)</f>
        <v>-4.1677594708744434E-14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8">CB196+(BT196+BU196)*44/12</f>
        <v>#NUM!</v>
      </c>
      <c r="CD196" s="62">
        <f ca="1">AVERAGE(OFFSET($CC$3,0,0,'Données projet'!$E$12+1,1))-AVERAGE(OFFSET($H$3,0,0,'Données projet'!$E$12+1,1))</f>
        <v>264.06656596707364</v>
      </c>
      <c r="CE196" s="62">
        <f t="shared" ref="CE196:CE203" si="199">$CC$33-$H$33</f>
        <v>315.34415130230195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5.6843418860808015E-14</v>
      </c>
      <c r="CU196" s="18">
        <f>CT196*VLOOKUP('Données projet'!$B$13,Paramètres!$A$1:$I$88,3,0)*VLOOKUP('Données projet'!$B$13,Paramètres!$A$1:$I$88,5,0)</f>
        <v>3.3992364478763198E-14</v>
      </c>
      <c r="CV196" s="14">
        <f t="shared" si="173"/>
        <v>5.790027782444094E-13</v>
      </c>
      <c r="CW196" s="22">
        <f t="shared" si="174"/>
        <v>1.0676332069095257E-12</v>
      </c>
      <c r="CX196" s="62">
        <f t="shared" ref="CX196:CX203" si="200">CW196+(CO196+CP196)*44/12</f>
        <v>293.33333333333439</v>
      </c>
      <c r="CY196" s="62">
        <f ca="1">AVERAGE(OFFSET($CX$3,0,0,'Données projet'!$E$13+1,1))-AVERAGE(OFFSET($H$3,0,0,'Données projet'!$E$13+1,1))</f>
        <v>162.29089122912319</v>
      </c>
      <c r="CZ196" s="62">
        <f t="shared" ref="CZ196:CZ203" si="201">$CX$33-$H$33</f>
        <v>253.15422514195427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0.41862099777303113</v>
      </c>
      <c r="DG196" s="23">
        <f>EXP(-LN(2)/25)*DG195+(1-EXP(-LN(2)/25))/(LN(2)/25)*Calculateur!DB196*Calculateur!DD196*VLOOKUP('Données projet'!$B$9,Paramètres!$A$1:$I$88,3,0)*0.475*44/12</f>
        <v>5.7839463053988648E-2</v>
      </c>
      <c r="DH196" s="23">
        <f>EXP(-LN(2)/2)*DH195+(1-EXP(-LN(2)/2))/(LN(2)/2)*DB196*DE196*VLOOKUP('Données projet'!$B$9,Paramètres!$A$1:$I$88,3,0)*0.475*44/12</f>
        <v>6.8319872243481467E-25</v>
      </c>
      <c r="DI196" s="24">
        <f t="shared" si="175"/>
        <v>0.47646046082701976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-5.6843418860808015E-14</v>
      </c>
      <c r="DP196" s="18">
        <f>DO196*VLOOKUP('Données projet'!$B$14,Paramètres!$A$1:$I$88,3,0)*VLOOKUP('Données projet'!$B$14,Paramètres!$A$1:$I$88,5,0)</f>
        <v>-4.5224624045658861E-14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202">DR196+(DJ196+DK196)*44/12</f>
        <v>#NUM!</v>
      </c>
      <c r="DT196" s="62">
        <f ca="1">AVERAGE(OFFSET($DS$3,0,0,'Données projet'!$E$14+1,1))-AVERAGE(OFFSET($H$3,0,0,'Données projet'!$E$14+1,1))</f>
        <v>290.20755061064017</v>
      </c>
      <c r="DU196" s="62">
        <f t="shared" ref="DU196:DU203" si="203">$DS$33-$H$33</f>
        <v>343.54750327717181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1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3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-1.1368683772161603E-13</v>
      </c>
      <c r="O197" s="14">
        <f>N197*VLOOKUP('Données projet'!$B$9,Paramètres!$A$1:$I$88,3,0)*VLOOKUP('Données projet'!$B$9,Paramètres!$A$1:$I$88,5,0)</f>
        <v>-5.3205440053716299E-14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300.03481708703549</v>
      </c>
      <c r="T197" s="62">
        <f t="shared" si="192"/>
        <v>102.6350860969182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-2.2737367544323206E-13</v>
      </c>
      <c r="AJ197" s="14">
        <f>AI197*VLOOKUP('Données projet'!$B$10,Paramètres!$A$1:$I$88,3,0)*VLOOKUP('Données projet'!$B$10,Paramètres!$A$1:$I$88,5,0)</f>
        <v>-1.2710188457276673E-13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328.27336939084597</v>
      </c>
      <c r="AO197" s="62">
        <f t="shared" si="195"/>
        <v>448.79354389108755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0.20963000024914949</v>
      </c>
      <c r="AV197" s="23">
        <f>EXP(-LN(2)/25)*AV196+(1-EXP(-LN(2)/25))/(LN(2)/25)*Calculateur!AQ197*Calculateur!AS197*VLOOKUP('Données projet'!$B$9,Paramètres!$A$1:$I$88,3,0)*0.475*44/12</f>
        <v>0.14586540226345146</v>
      </c>
      <c r="AW197" s="23">
        <f>EXP(-LN(2)/2)*AW196+(1-EXP(-LN(2)/2))/(LN(2)/2)*AQ197*AT197*VLOOKUP('Données projet'!$B$9,Paramètres!$A$1:$I$88,3,0)*0.475*44/12</f>
        <v>3.0125276730113122E-24</v>
      </c>
      <c r="AX197" s="23">
        <f t="shared" si="166"/>
        <v>0.35549540251260092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-2.2737367544323206E-13</v>
      </c>
      <c r="BE197" s="14">
        <f>BD197*VLOOKUP('Données projet'!$B$11,Paramètres!$A$1:$I$88,3,0)*VLOOKUP('Données projet'!$B$11,Paramètres!$A$1:$I$88,5,0)</f>
        <v>-1.9863364286720756E-13</v>
      </c>
      <c r="BF197" s="14" t="e">
        <f t="shared" si="167"/>
        <v>#NUM!</v>
      </c>
      <c r="BG197" s="22" t="e">
        <f t="shared" si="168"/>
        <v>#NUM!</v>
      </c>
      <c r="BH197" s="62" t="e">
        <f t="shared" si="196"/>
        <v>#NUM!</v>
      </c>
      <c r="BI197" s="62">
        <f ca="1">AVERAGE(OFFSET($BH$3,0,0,'Données projet'!$E$11+1,1))-AVERAGE(OFFSET($H$3,0,0,'Données projet'!$E$11+1,1))</f>
        <v>348.65374983303883</v>
      </c>
      <c r="BJ197" s="62">
        <f t="shared" si="197"/>
        <v>312.05848669315151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-5.6843418860808015E-14</v>
      </c>
      <c r="BZ197" s="14">
        <f>BY197*VLOOKUP('Données projet'!$B$12,Paramètres!$A$1:$I$88,3,0)*VLOOKUP('Données projet'!$B$12,Paramètres!$A$1:$I$88,5,0)</f>
        <v>-4.1677594708744434E-14</v>
      </c>
      <c r="CA197" s="14" t="e">
        <f t="shared" si="170"/>
        <v>#NUM!</v>
      </c>
      <c r="CB197" s="22" t="e">
        <f t="shared" si="171"/>
        <v>#NUM!</v>
      </c>
      <c r="CC197" s="62" t="e">
        <f t="shared" si="198"/>
        <v>#NUM!</v>
      </c>
      <c r="CD197" s="62">
        <f ca="1">AVERAGE(OFFSET($CC$3,0,0,'Données projet'!$E$12+1,1))-AVERAGE(OFFSET($H$3,0,0,'Données projet'!$E$12+1,1))</f>
        <v>264.06656596707364</v>
      </c>
      <c r="CE197" s="62">
        <f t="shared" si="199"/>
        <v>315.34415130230195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5.6843418860808015E-14</v>
      </c>
      <c r="CU197" s="18">
        <f>CT197*VLOOKUP('Données projet'!$B$13,Paramètres!$A$1:$I$88,3,0)*VLOOKUP('Données projet'!$B$13,Paramètres!$A$1:$I$88,5,0)</f>
        <v>3.3992364478763198E-14</v>
      </c>
      <c r="CV197" s="14">
        <f t="shared" si="173"/>
        <v>5.790027782444094E-13</v>
      </c>
      <c r="CW197" s="22">
        <f t="shared" si="174"/>
        <v>1.0676332069095257E-12</v>
      </c>
      <c r="CX197" s="62">
        <f t="shared" si="200"/>
        <v>293.33333333333439</v>
      </c>
      <c r="CY197" s="62">
        <f ca="1">AVERAGE(OFFSET($CX$3,0,0,'Données projet'!$E$13+1,1))-AVERAGE(OFFSET($H$3,0,0,'Données projet'!$E$13+1,1))</f>
        <v>162.29089122912319</v>
      </c>
      <c r="CZ197" s="62">
        <f t="shared" si="201"/>
        <v>253.15422514195427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0.41041209534029854</v>
      </c>
      <c r="DG197" s="23">
        <f>EXP(-LN(2)/25)*DG196+(1-EXP(-LN(2)/25))/(LN(2)/25)*Calculateur!DB197*Calculateur!DD197*VLOOKUP('Données projet'!$B$9,Paramètres!$A$1:$I$88,3,0)*0.475*44/12</f>
        <v>5.625783989513216E-2</v>
      </c>
      <c r="DH197" s="23">
        <f>EXP(-LN(2)/2)*DH196+(1-EXP(-LN(2)/2))/(LN(2)/2)*DB197*DE197*VLOOKUP('Données projet'!$B$9,Paramètres!$A$1:$I$88,3,0)*0.475*44/12</f>
        <v>4.8309444953164331E-25</v>
      </c>
      <c r="DI197" s="24">
        <f t="shared" si="175"/>
        <v>0.46666993523543071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-5.6843418860808015E-14</v>
      </c>
      <c r="DP197" s="18">
        <f>DO197*VLOOKUP('Données projet'!$B$14,Paramètres!$A$1:$I$88,3,0)*VLOOKUP('Données projet'!$B$14,Paramètres!$A$1:$I$88,5,0)</f>
        <v>-4.5224624045658861E-14</v>
      </c>
      <c r="DQ197" s="14" t="e">
        <f t="shared" si="176"/>
        <v>#NUM!</v>
      </c>
      <c r="DR197" s="22" t="e">
        <f t="shared" si="177"/>
        <v>#NUM!</v>
      </c>
      <c r="DS197" s="62" t="e">
        <f t="shared" si="202"/>
        <v>#NUM!</v>
      </c>
      <c r="DT197" s="62">
        <f ca="1">AVERAGE(OFFSET($DS$3,0,0,'Données projet'!$E$14+1,1))-AVERAGE(OFFSET($H$3,0,0,'Données projet'!$E$14+1,1))</f>
        <v>290.20755061064017</v>
      </c>
      <c r="DU197" s="62">
        <f t="shared" si="203"/>
        <v>343.54750327717181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1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3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-1.1368683772161603E-13</v>
      </c>
      <c r="O198" s="14">
        <f>N198*VLOOKUP('Données projet'!$B$9,Paramètres!$A$1:$I$88,3,0)*VLOOKUP('Données projet'!$B$9,Paramètres!$A$1:$I$88,5,0)</f>
        <v>-5.3205440053716299E-14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300.03481708703549</v>
      </c>
      <c r="T198" s="62">
        <f t="shared" si="192"/>
        <v>102.6350860969182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-2.2737367544323206E-13</v>
      </c>
      <c r="AJ198" s="14">
        <f>AI198*VLOOKUP('Données projet'!$B$10,Paramètres!$A$1:$I$88,3,0)*VLOOKUP('Données projet'!$B$10,Paramètres!$A$1:$I$88,5,0)</f>
        <v>-1.2710188457276673E-13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328.27336939084597</v>
      </c>
      <c r="AO198" s="62">
        <f t="shared" si="195"/>
        <v>448.79354389108755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0.20551928380593854</v>
      </c>
      <c r="AV198" s="23">
        <f>EXP(-LN(2)/25)*AV197+(1-EXP(-LN(2)/25))/(LN(2)/25)*Calculateur!AQ198*Calculateur!AS198*VLOOKUP('Données projet'!$B$9,Paramètres!$A$1:$I$88,3,0)*0.475*44/12</f>
        <v>0.14187670516782924</v>
      </c>
      <c r="AW198" s="23">
        <f>EXP(-LN(2)/2)*AW197+(1-EXP(-LN(2)/2))/(LN(2)/2)*AQ198*AT198*VLOOKUP('Données projet'!$B$9,Paramètres!$A$1:$I$88,3,0)*0.475*44/12</f>
        <v>2.1301787460984291E-24</v>
      </c>
      <c r="AX198" s="23">
        <f t="shared" si="166"/>
        <v>0.34739598897376778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-2.2737367544323206E-13</v>
      </c>
      <c r="BE198" s="14">
        <f>BD198*VLOOKUP('Données projet'!$B$11,Paramètres!$A$1:$I$88,3,0)*VLOOKUP('Données projet'!$B$11,Paramètres!$A$1:$I$88,5,0)</f>
        <v>-1.9863364286720756E-13</v>
      </c>
      <c r="BF198" s="14" t="e">
        <f t="shared" si="167"/>
        <v>#NUM!</v>
      </c>
      <c r="BG198" s="22" t="e">
        <f t="shared" si="168"/>
        <v>#NUM!</v>
      </c>
      <c r="BH198" s="62" t="e">
        <f t="shared" si="196"/>
        <v>#NUM!</v>
      </c>
      <c r="BI198" s="62">
        <f ca="1">AVERAGE(OFFSET($BH$3,0,0,'Données projet'!$E$11+1,1))-AVERAGE(OFFSET($H$3,0,0,'Données projet'!$E$11+1,1))</f>
        <v>348.65374983303883</v>
      </c>
      <c r="BJ198" s="62">
        <f t="shared" si="197"/>
        <v>312.05848669315151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-5.6843418860808015E-14</v>
      </c>
      <c r="BZ198" s="14">
        <f>BY198*VLOOKUP('Données projet'!$B$12,Paramètres!$A$1:$I$88,3,0)*VLOOKUP('Données projet'!$B$12,Paramètres!$A$1:$I$88,5,0)</f>
        <v>-4.1677594708744434E-14</v>
      </c>
      <c r="CA198" s="14" t="e">
        <f t="shared" si="170"/>
        <v>#NUM!</v>
      </c>
      <c r="CB198" s="22" t="e">
        <f t="shared" si="171"/>
        <v>#NUM!</v>
      </c>
      <c r="CC198" s="62" t="e">
        <f t="shared" si="198"/>
        <v>#NUM!</v>
      </c>
      <c r="CD198" s="62">
        <f ca="1">AVERAGE(OFFSET($CC$3,0,0,'Données projet'!$E$12+1,1))-AVERAGE(OFFSET($H$3,0,0,'Données projet'!$E$12+1,1))</f>
        <v>264.06656596707364</v>
      </c>
      <c r="CE198" s="62">
        <f t="shared" si="199"/>
        <v>315.34415130230195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5.6843418860808015E-14</v>
      </c>
      <c r="CU198" s="18">
        <f>CT198*VLOOKUP('Données projet'!$B$13,Paramètres!$A$1:$I$88,3,0)*VLOOKUP('Données projet'!$B$13,Paramètres!$A$1:$I$88,5,0)</f>
        <v>3.3992364478763198E-14</v>
      </c>
      <c r="CV198" s="14">
        <f t="shared" si="173"/>
        <v>5.790027782444094E-13</v>
      </c>
      <c r="CW198" s="22">
        <f t="shared" si="174"/>
        <v>1.0676332069095257E-12</v>
      </c>
      <c r="CX198" s="62">
        <f t="shared" si="200"/>
        <v>293.33333333333439</v>
      </c>
      <c r="CY198" s="62">
        <f ca="1">AVERAGE(OFFSET($CX$3,0,0,'Données projet'!$E$13+1,1))-AVERAGE(OFFSET($H$3,0,0,'Données projet'!$E$13+1,1))</f>
        <v>162.29089122912319</v>
      </c>
      <c r="CZ198" s="62">
        <f t="shared" si="201"/>
        <v>253.15422514195427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0.40236416447733575</v>
      </c>
      <c r="DG198" s="23">
        <f>EXP(-LN(2)/25)*DG197+(1-EXP(-LN(2)/25))/(LN(2)/25)*Calculateur!DB198*Calculateur!DD198*VLOOKUP('Données projet'!$B$9,Paramètres!$A$1:$I$88,3,0)*0.475*44/12</f>
        <v>5.4719466304728549E-2</v>
      </c>
      <c r="DH198" s="23">
        <f>EXP(-LN(2)/2)*DH197+(1-EXP(-LN(2)/2))/(LN(2)/2)*DB198*DE198*VLOOKUP('Données projet'!$B$9,Paramètres!$A$1:$I$88,3,0)*0.475*44/12</f>
        <v>3.4159936121740734E-25</v>
      </c>
      <c r="DI198" s="24">
        <f t="shared" si="175"/>
        <v>0.45708363078206432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-5.6843418860808015E-14</v>
      </c>
      <c r="DP198" s="18">
        <f>DO198*VLOOKUP('Données projet'!$B$14,Paramètres!$A$1:$I$88,3,0)*VLOOKUP('Données projet'!$B$14,Paramètres!$A$1:$I$88,5,0)</f>
        <v>-4.5224624045658861E-14</v>
      </c>
      <c r="DQ198" s="14" t="e">
        <f t="shared" si="176"/>
        <v>#NUM!</v>
      </c>
      <c r="DR198" s="22" t="e">
        <f t="shared" si="177"/>
        <v>#NUM!</v>
      </c>
      <c r="DS198" s="62" t="e">
        <f t="shared" si="202"/>
        <v>#NUM!</v>
      </c>
      <c r="DT198" s="62">
        <f ca="1">AVERAGE(OFFSET($DS$3,0,0,'Données projet'!$E$14+1,1))-AVERAGE(OFFSET($H$3,0,0,'Données projet'!$E$14+1,1))</f>
        <v>290.20755061064017</v>
      </c>
      <c r="DU198" s="62">
        <f t="shared" si="203"/>
        <v>343.54750327717181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1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3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-1.1368683772161603E-13</v>
      </c>
      <c r="O199" s="14">
        <f>N199*VLOOKUP('Données projet'!$B$9,Paramètres!$A$1:$I$88,3,0)*VLOOKUP('Données projet'!$B$9,Paramètres!$A$1:$I$88,5,0)</f>
        <v>-5.3205440053716299E-14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300.03481708703549</v>
      </c>
      <c r="T199" s="62">
        <f t="shared" si="192"/>
        <v>102.6350860969182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-2.2737367544323206E-13</v>
      </c>
      <c r="AJ199" s="14">
        <f>AI199*VLOOKUP('Données projet'!$B$10,Paramètres!$A$1:$I$88,3,0)*VLOOKUP('Données projet'!$B$10,Paramètres!$A$1:$I$88,5,0)</f>
        <v>-1.2710188457276673E-13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328.27336939084597</v>
      </c>
      <c r="AO199" s="62">
        <f t="shared" si="195"/>
        <v>448.79354389108755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0.2014891760048895</v>
      </c>
      <c r="AV199" s="23">
        <f>EXP(-LN(2)/25)*AV198+(1-EXP(-LN(2)/25))/(LN(2)/25)*Calculateur!AQ199*Calculateur!AS199*VLOOKUP('Données projet'!$B$9,Paramètres!$A$1:$I$88,3,0)*0.475*44/12</f>
        <v>0.13799707920404328</v>
      </c>
      <c r="AW199" s="23">
        <f>EXP(-LN(2)/2)*AW198+(1-EXP(-LN(2)/2))/(LN(2)/2)*AQ199*AT199*VLOOKUP('Données projet'!$B$9,Paramètres!$A$1:$I$88,3,0)*0.475*44/12</f>
        <v>1.5062638365056561E-24</v>
      </c>
      <c r="AX199" s="23">
        <f t="shared" si="166"/>
        <v>0.33948625520893277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-2.2737367544323206E-13</v>
      </c>
      <c r="BE199" s="14">
        <f>BD199*VLOOKUP('Données projet'!$B$11,Paramètres!$A$1:$I$88,3,0)*VLOOKUP('Données projet'!$B$11,Paramètres!$A$1:$I$88,5,0)</f>
        <v>-1.9863364286720756E-13</v>
      </c>
      <c r="BF199" s="14" t="e">
        <f t="shared" si="167"/>
        <v>#NUM!</v>
      </c>
      <c r="BG199" s="22" t="e">
        <f t="shared" si="168"/>
        <v>#NUM!</v>
      </c>
      <c r="BH199" s="62" t="e">
        <f t="shared" si="196"/>
        <v>#NUM!</v>
      </c>
      <c r="BI199" s="62">
        <f ca="1">AVERAGE(OFFSET($BH$3,0,0,'Données projet'!$E$11+1,1))-AVERAGE(OFFSET($H$3,0,0,'Données projet'!$E$11+1,1))</f>
        <v>348.65374983303883</v>
      </c>
      <c r="BJ199" s="62">
        <f t="shared" si="197"/>
        <v>312.05848669315151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-5.6843418860808015E-14</v>
      </c>
      <c r="BZ199" s="14">
        <f>BY199*VLOOKUP('Données projet'!$B$12,Paramètres!$A$1:$I$88,3,0)*VLOOKUP('Données projet'!$B$12,Paramètres!$A$1:$I$88,5,0)</f>
        <v>-4.1677594708744434E-14</v>
      </c>
      <c r="CA199" s="14" t="e">
        <f t="shared" si="170"/>
        <v>#NUM!</v>
      </c>
      <c r="CB199" s="22" t="e">
        <f t="shared" si="171"/>
        <v>#NUM!</v>
      </c>
      <c r="CC199" s="62" t="e">
        <f t="shared" si="198"/>
        <v>#NUM!</v>
      </c>
      <c r="CD199" s="62">
        <f ca="1">AVERAGE(OFFSET($CC$3,0,0,'Données projet'!$E$12+1,1))-AVERAGE(OFFSET($H$3,0,0,'Données projet'!$E$12+1,1))</f>
        <v>264.06656596707364</v>
      </c>
      <c r="CE199" s="62">
        <f t="shared" si="199"/>
        <v>315.34415130230195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5.6843418860808015E-14</v>
      </c>
      <c r="CU199" s="18">
        <f>CT199*VLOOKUP('Données projet'!$B$13,Paramètres!$A$1:$I$88,3,0)*VLOOKUP('Données projet'!$B$13,Paramètres!$A$1:$I$88,5,0)</f>
        <v>3.3992364478763198E-14</v>
      </c>
      <c r="CV199" s="14">
        <f t="shared" si="173"/>
        <v>5.790027782444094E-13</v>
      </c>
      <c r="CW199" s="22">
        <f t="shared" si="174"/>
        <v>1.0676332069095257E-12</v>
      </c>
      <c r="CX199" s="62">
        <f t="shared" si="200"/>
        <v>293.33333333333439</v>
      </c>
      <c r="CY199" s="62">
        <f ca="1">AVERAGE(OFFSET($CX$3,0,0,'Données projet'!$E$13+1,1))-AVERAGE(OFFSET($H$3,0,0,'Données projet'!$E$13+1,1))</f>
        <v>162.29089122912319</v>
      </c>
      <c r="CZ199" s="62">
        <f t="shared" si="201"/>
        <v>253.15422514195427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0.39447404862984253</v>
      </c>
      <c r="DG199" s="23">
        <f>EXP(-LN(2)/25)*DG198+(1-EXP(-LN(2)/25))/(LN(2)/25)*Calculateur!DB199*Calculateur!DD199*VLOOKUP('Données projet'!$B$9,Paramètres!$A$1:$I$88,3,0)*0.475*44/12</f>
        <v>5.3223159621054075E-2</v>
      </c>
      <c r="DH199" s="23">
        <f>EXP(-LN(2)/2)*DH198+(1-EXP(-LN(2)/2))/(LN(2)/2)*DB199*DE199*VLOOKUP('Données projet'!$B$9,Paramètres!$A$1:$I$88,3,0)*0.475*44/12</f>
        <v>2.4154722476582166E-25</v>
      </c>
      <c r="DI199" s="24">
        <f t="shared" si="175"/>
        <v>0.44769720825089659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-5.6843418860808015E-14</v>
      </c>
      <c r="DP199" s="18">
        <f>DO199*VLOOKUP('Données projet'!$B$14,Paramètres!$A$1:$I$88,3,0)*VLOOKUP('Données projet'!$B$14,Paramètres!$A$1:$I$88,5,0)</f>
        <v>-4.5224624045658861E-14</v>
      </c>
      <c r="DQ199" s="14" t="e">
        <f t="shared" si="176"/>
        <v>#NUM!</v>
      </c>
      <c r="DR199" s="22" t="e">
        <f t="shared" si="177"/>
        <v>#NUM!</v>
      </c>
      <c r="DS199" s="62" t="e">
        <f t="shared" si="202"/>
        <v>#NUM!</v>
      </c>
      <c r="DT199" s="62">
        <f ca="1">AVERAGE(OFFSET($DS$3,0,0,'Données projet'!$E$14+1,1))-AVERAGE(OFFSET($H$3,0,0,'Données projet'!$E$14+1,1))</f>
        <v>290.20755061064017</v>
      </c>
      <c r="DU199" s="62">
        <f t="shared" si="203"/>
        <v>343.54750327717181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1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3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-1.1368683772161603E-13</v>
      </c>
      <c r="O200" s="14">
        <f>N200*VLOOKUP('Données projet'!$B$9,Paramètres!$A$1:$I$88,3,0)*VLOOKUP('Données projet'!$B$9,Paramètres!$A$1:$I$88,5,0)</f>
        <v>-5.3205440053716299E-14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300.03481708703549</v>
      </c>
      <c r="T200" s="62">
        <f t="shared" si="192"/>
        <v>102.6350860969182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-2.2737367544323206E-13</v>
      </c>
      <c r="AJ200" s="14">
        <f>AI200*VLOOKUP('Données projet'!$B$10,Paramètres!$A$1:$I$88,3,0)*VLOOKUP('Données projet'!$B$10,Paramètres!$A$1:$I$88,5,0)</f>
        <v>-1.2710188457276673E-13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328.27336939084597</v>
      </c>
      <c r="AO200" s="62">
        <f t="shared" si="195"/>
        <v>448.79354389108755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0.19753809615969598</v>
      </c>
      <c r="AV200" s="23">
        <f>EXP(-LN(2)/25)*AV199+(1-EXP(-LN(2)/25))/(LN(2)/25)*Calculateur!AQ200*Calculateur!AS200*VLOOKUP('Données projet'!$B$9,Paramètres!$A$1:$I$88,3,0)*0.475*44/12</f>
        <v>0.1342235418162577</v>
      </c>
      <c r="AW200" s="23">
        <f>EXP(-LN(2)/2)*AW199+(1-EXP(-LN(2)/2))/(LN(2)/2)*AQ200*AT200*VLOOKUP('Données projet'!$B$9,Paramètres!$A$1:$I$88,3,0)*0.475*44/12</f>
        <v>1.0650893730492145E-24</v>
      </c>
      <c r="AX200" s="23">
        <f t="shared" si="166"/>
        <v>0.3317616379759537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-2.2737367544323206E-13</v>
      </c>
      <c r="BE200" s="14">
        <f>BD200*VLOOKUP('Données projet'!$B$11,Paramètres!$A$1:$I$88,3,0)*VLOOKUP('Données projet'!$B$11,Paramètres!$A$1:$I$88,5,0)</f>
        <v>-1.9863364286720756E-13</v>
      </c>
      <c r="BF200" s="14" t="e">
        <f t="shared" si="167"/>
        <v>#NUM!</v>
      </c>
      <c r="BG200" s="22" t="e">
        <f t="shared" si="168"/>
        <v>#NUM!</v>
      </c>
      <c r="BH200" s="62" t="e">
        <f t="shared" si="196"/>
        <v>#NUM!</v>
      </c>
      <c r="BI200" s="62">
        <f ca="1">AVERAGE(OFFSET($BH$3,0,0,'Données projet'!$E$11+1,1))-AVERAGE(OFFSET($H$3,0,0,'Données projet'!$E$11+1,1))</f>
        <v>348.65374983303883</v>
      </c>
      <c r="BJ200" s="62">
        <f t="shared" si="197"/>
        <v>312.05848669315151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-5.6843418860808015E-14</v>
      </c>
      <c r="BZ200" s="14">
        <f>BY200*VLOOKUP('Données projet'!$B$12,Paramètres!$A$1:$I$88,3,0)*VLOOKUP('Données projet'!$B$12,Paramètres!$A$1:$I$88,5,0)</f>
        <v>-4.1677594708744434E-14</v>
      </c>
      <c r="CA200" s="14" t="e">
        <f t="shared" si="170"/>
        <v>#NUM!</v>
      </c>
      <c r="CB200" s="22" t="e">
        <f t="shared" si="171"/>
        <v>#NUM!</v>
      </c>
      <c r="CC200" s="62" t="e">
        <f t="shared" si="198"/>
        <v>#NUM!</v>
      </c>
      <c r="CD200" s="62">
        <f ca="1">AVERAGE(OFFSET($CC$3,0,0,'Données projet'!$E$12+1,1))-AVERAGE(OFFSET($H$3,0,0,'Données projet'!$E$12+1,1))</f>
        <v>264.06656596707364</v>
      </c>
      <c r="CE200" s="62">
        <f t="shared" si="199"/>
        <v>315.34415130230195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5.6843418860808015E-14</v>
      </c>
      <c r="CU200" s="18">
        <f>CT200*VLOOKUP('Données projet'!$B$13,Paramètres!$A$1:$I$88,3,0)*VLOOKUP('Données projet'!$B$13,Paramètres!$A$1:$I$88,5,0)</f>
        <v>3.3992364478763198E-14</v>
      </c>
      <c r="CV200" s="14">
        <f t="shared" si="173"/>
        <v>5.790027782444094E-13</v>
      </c>
      <c r="CW200" s="22">
        <f t="shared" si="174"/>
        <v>1.0676332069095257E-12</v>
      </c>
      <c r="CX200" s="62">
        <f t="shared" si="200"/>
        <v>293.33333333333439</v>
      </c>
      <c r="CY200" s="62">
        <f ca="1">AVERAGE(OFFSET($CX$3,0,0,'Données projet'!$E$13+1,1))-AVERAGE(OFFSET($H$3,0,0,'Données projet'!$E$13+1,1))</f>
        <v>162.29089122912319</v>
      </c>
      <c r="CZ200" s="62">
        <f t="shared" si="201"/>
        <v>253.15422514195427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0.3867386531416232</v>
      </c>
      <c r="DG200" s="23">
        <f>EXP(-LN(2)/25)*DG199+(1-EXP(-LN(2)/25))/(LN(2)/25)*Calculateur!DB200*Calculateur!DD200*VLOOKUP('Données projet'!$B$9,Paramètres!$A$1:$I$88,3,0)*0.475*44/12</f>
        <v>5.176776952233203E-2</v>
      </c>
      <c r="DH200" s="23">
        <f>EXP(-LN(2)/2)*DH199+(1-EXP(-LN(2)/2))/(LN(2)/2)*DB200*DE200*VLOOKUP('Données projet'!$B$9,Paramètres!$A$1:$I$88,3,0)*0.475*44/12</f>
        <v>1.7079968060870367E-25</v>
      </c>
      <c r="DI200" s="24">
        <f t="shared" si="175"/>
        <v>0.43850642266395523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-5.6843418860808015E-14</v>
      </c>
      <c r="DP200" s="18">
        <f>DO200*VLOOKUP('Données projet'!$B$14,Paramètres!$A$1:$I$88,3,0)*VLOOKUP('Données projet'!$B$14,Paramètres!$A$1:$I$88,5,0)</f>
        <v>-4.5224624045658861E-14</v>
      </c>
      <c r="DQ200" s="14" t="e">
        <f t="shared" si="176"/>
        <v>#NUM!</v>
      </c>
      <c r="DR200" s="22" t="e">
        <f t="shared" si="177"/>
        <v>#NUM!</v>
      </c>
      <c r="DS200" s="62" t="e">
        <f t="shared" si="202"/>
        <v>#NUM!</v>
      </c>
      <c r="DT200" s="62">
        <f ca="1">AVERAGE(OFFSET($DS$3,0,0,'Données projet'!$E$14+1,1))-AVERAGE(OFFSET($H$3,0,0,'Données projet'!$E$14+1,1))</f>
        <v>290.20755061064017</v>
      </c>
      <c r="DU200" s="62">
        <f t="shared" si="203"/>
        <v>343.54750327717181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1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3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-1.1368683772161603E-13</v>
      </c>
      <c r="O201" s="14">
        <f>N201*VLOOKUP('Données projet'!$B$9,Paramètres!$A$1:$I$88,3,0)*VLOOKUP('Données projet'!$B$9,Paramètres!$A$1:$I$88,5,0)</f>
        <v>-5.3205440053716299E-14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300.03481708703549</v>
      </c>
      <c r="T201" s="62">
        <f t="shared" si="192"/>
        <v>102.6350860969182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-2.2737367544323206E-13</v>
      </c>
      <c r="AJ201" s="14">
        <f>AI201*VLOOKUP('Données projet'!$B$10,Paramètres!$A$1:$I$88,3,0)*VLOOKUP('Données projet'!$B$10,Paramètres!$A$1:$I$88,5,0)</f>
        <v>-1.2710188457276673E-13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328.27336939084597</v>
      </c>
      <c r="AO201" s="62">
        <f t="shared" si="195"/>
        <v>448.79354389108755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0.19366449458034596</v>
      </c>
      <c r="AV201" s="23">
        <f>EXP(-LN(2)/25)*AV200+(1-EXP(-LN(2)/25))/(LN(2)/25)*Calculateur!AQ201*Calculateur!AS201*VLOOKUP('Données projet'!$B$9,Paramètres!$A$1:$I$88,3,0)*0.475*44/12</f>
        <v>0.13055319200678284</v>
      </c>
      <c r="AW201" s="23">
        <f>EXP(-LN(2)/2)*AW200+(1-EXP(-LN(2)/2))/(LN(2)/2)*AQ201*AT201*VLOOKUP('Données projet'!$B$9,Paramètres!$A$1:$I$88,3,0)*0.475*44/12</f>
        <v>7.5313191825282804E-25</v>
      </c>
      <c r="AX201" s="23">
        <f t="shared" si="166"/>
        <v>0.32421768658712879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-2.2737367544323206E-13</v>
      </c>
      <c r="BE201" s="14">
        <f>BD201*VLOOKUP('Données projet'!$B$11,Paramètres!$A$1:$I$88,3,0)*VLOOKUP('Données projet'!$B$11,Paramètres!$A$1:$I$88,5,0)</f>
        <v>-1.9863364286720756E-13</v>
      </c>
      <c r="BF201" s="14" t="e">
        <f t="shared" si="167"/>
        <v>#NUM!</v>
      </c>
      <c r="BG201" s="22" t="e">
        <f t="shared" si="168"/>
        <v>#NUM!</v>
      </c>
      <c r="BH201" s="62" t="e">
        <f t="shared" si="196"/>
        <v>#NUM!</v>
      </c>
      <c r="BI201" s="62">
        <f ca="1">AVERAGE(OFFSET($BH$3,0,0,'Données projet'!$E$11+1,1))-AVERAGE(OFFSET($H$3,0,0,'Données projet'!$E$11+1,1))</f>
        <v>348.65374983303883</v>
      </c>
      <c r="BJ201" s="62">
        <f t="shared" si="197"/>
        <v>312.05848669315151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-5.6843418860808015E-14</v>
      </c>
      <c r="BZ201" s="14">
        <f>BY201*VLOOKUP('Données projet'!$B$12,Paramètres!$A$1:$I$88,3,0)*VLOOKUP('Données projet'!$B$12,Paramètres!$A$1:$I$88,5,0)</f>
        <v>-4.1677594708744434E-14</v>
      </c>
      <c r="CA201" s="14" t="e">
        <f t="shared" si="170"/>
        <v>#NUM!</v>
      </c>
      <c r="CB201" s="22" t="e">
        <f t="shared" si="171"/>
        <v>#NUM!</v>
      </c>
      <c r="CC201" s="62" t="e">
        <f t="shared" si="198"/>
        <v>#NUM!</v>
      </c>
      <c r="CD201" s="62">
        <f ca="1">AVERAGE(OFFSET($CC$3,0,0,'Données projet'!$E$12+1,1))-AVERAGE(OFFSET($H$3,0,0,'Données projet'!$E$12+1,1))</f>
        <v>264.06656596707364</v>
      </c>
      <c r="CE201" s="62">
        <f t="shared" si="199"/>
        <v>315.34415130230195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5.6843418860808015E-14</v>
      </c>
      <c r="CU201" s="18">
        <f>CT201*VLOOKUP('Données projet'!$B$13,Paramètres!$A$1:$I$88,3,0)*VLOOKUP('Données projet'!$B$13,Paramètres!$A$1:$I$88,5,0)</f>
        <v>3.3992364478763198E-14</v>
      </c>
      <c r="CV201" s="14">
        <f t="shared" si="173"/>
        <v>5.790027782444094E-13</v>
      </c>
      <c r="CW201" s="22">
        <f t="shared" si="174"/>
        <v>1.0676332069095257E-12</v>
      </c>
      <c r="CX201" s="62">
        <f t="shared" si="200"/>
        <v>293.33333333333439</v>
      </c>
      <c r="CY201" s="62">
        <f ca="1">AVERAGE(OFFSET($CX$3,0,0,'Données projet'!$E$13+1,1))-AVERAGE(OFFSET($H$3,0,0,'Données projet'!$E$13+1,1))</f>
        <v>162.29089122912319</v>
      </c>
      <c r="CZ201" s="62">
        <f t="shared" si="201"/>
        <v>253.15422514195427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0.37915494404080247</v>
      </c>
      <c r="DG201" s="23">
        <f>EXP(-LN(2)/25)*DG200+(1-EXP(-LN(2)/25))/(LN(2)/25)*Calculateur!DB201*Calculateur!DD201*VLOOKUP('Données projet'!$B$9,Paramètres!$A$1:$I$88,3,0)*0.475*44/12</f>
        <v>5.0352177142395177E-2</v>
      </c>
      <c r="DH201" s="23">
        <f>EXP(-LN(2)/2)*DH200+(1-EXP(-LN(2)/2))/(LN(2)/2)*DB201*DE201*VLOOKUP('Données projet'!$B$9,Paramètres!$A$1:$I$88,3,0)*0.475*44/12</f>
        <v>1.2077361238291083E-25</v>
      </c>
      <c r="DI201" s="24">
        <f t="shared" si="175"/>
        <v>0.42950712118319767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-5.6843418860808015E-14</v>
      </c>
      <c r="DP201" s="18">
        <f>DO201*VLOOKUP('Données projet'!$B$14,Paramètres!$A$1:$I$88,3,0)*VLOOKUP('Données projet'!$B$14,Paramètres!$A$1:$I$88,5,0)</f>
        <v>-4.5224624045658861E-14</v>
      </c>
      <c r="DQ201" s="14" t="e">
        <f t="shared" si="176"/>
        <v>#NUM!</v>
      </c>
      <c r="DR201" s="22" t="e">
        <f t="shared" si="177"/>
        <v>#NUM!</v>
      </c>
      <c r="DS201" s="62" t="e">
        <f t="shared" si="202"/>
        <v>#NUM!</v>
      </c>
      <c r="DT201" s="62">
        <f ca="1">AVERAGE(OFFSET($DS$3,0,0,'Données projet'!$E$14+1,1))-AVERAGE(OFFSET($H$3,0,0,'Données projet'!$E$14+1,1))</f>
        <v>290.20755061064017</v>
      </c>
      <c r="DU201" s="62">
        <f t="shared" si="203"/>
        <v>343.54750327717181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1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3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-1.1368683772161603E-13</v>
      </c>
      <c r="O202" s="14">
        <f>N202*VLOOKUP('Données projet'!$B$9,Paramètres!$A$1:$I$88,3,0)*VLOOKUP('Données projet'!$B$9,Paramètres!$A$1:$I$88,5,0)</f>
        <v>-5.3205440053716299E-14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300.03481708703549</v>
      </c>
      <c r="T202" s="62">
        <f t="shared" si="192"/>
        <v>102.6350860969182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-2.2737367544323206E-13</v>
      </c>
      <c r="AJ202" s="14">
        <f>AI202*VLOOKUP('Données projet'!$B$10,Paramètres!$A$1:$I$88,3,0)*VLOOKUP('Données projet'!$B$10,Paramètres!$A$1:$I$88,5,0)</f>
        <v>-1.2710188457276673E-13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328.27336939084597</v>
      </c>
      <c r="AO202" s="62">
        <f t="shared" si="195"/>
        <v>448.79354389108755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0.18986685196530331</v>
      </c>
      <c r="AV202" s="23">
        <f>EXP(-LN(2)/25)*AV201+(1-EXP(-LN(2)/25))/(LN(2)/25)*Calculateur!AQ202*Calculateur!AS202*VLOOKUP('Données projet'!$B$9,Paramètres!$A$1:$I$88,3,0)*0.475*44/12</f>
        <v>0.12698320810586339</v>
      </c>
      <c r="AW202" s="23">
        <f>EXP(-LN(2)/2)*AW201+(1-EXP(-LN(2)/2))/(LN(2)/2)*AQ202*AT202*VLOOKUP('Données projet'!$B$9,Paramètres!$A$1:$I$88,3,0)*0.475*44/12</f>
        <v>5.3254468652460726E-25</v>
      </c>
      <c r="AX202" s="23">
        <f t="shared" si="166"/>
        <v>0.31685006007116667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-2.2737367544323206E-13</v>
      </c>
      <c r="BE202" s="14">
        <f>BD202*VLOOKUP('Données projet'!$B$11,Paramètres!$A$1:$I$88,3,0)*VLOOKUP('Données projet'!$B$11,Paramètres!$A$1:$I$88,5,0)</f>
        <v>-1.9863364286720756E-13</v>
      </c>
      <c r="BF202" s="14" t="e">
        <f t="shared" si="167"/>
        <v>#NUM!</v>
      </c>
      <c r="BG202" s="22" t="e">
        <f t="shared" si="168"/>
        <v>#NUM!</v>
      </c>
      <c r="BH202" s="62" t="e">
        <f t="shared" si="196"/>
        <v>#NUM!</v>
      </c>
      <c r="BI202" s="62">
        <f ca="1">AVERAGE(OFFSET($BH$3,0,0,'Données projet'!$E$11+1,1))-AVERAGE(OFFSET($H$3,0,0,'Données projet'!$E$11+1,1))</f>
        <v>348.65374983303883</v>
      </c>
      <c r="BJ202" s="62">
        <f t="shared" si="197"/>
        <v>312.05848669315151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-5.6843418860808015E-14</v>
      </c>
      <c r="BZ202" s="14">
        <f>BY202*VLOOKUP('Données projet'!$B$12,Paramètres!$A$1:$I$88,3,0)*VLOOKUP('Données projet'!$B$12,Paramètres!$A$1:$I$88,5,0)</f>
        <v>-4.1677594708744434E-14</v>
      </c>
      <c r="CA202" s="14" t="e">
        <f t="shared" si="170"/>
        <v>#NUM!</v>
      </c>
      <c r="CB202" s="22" t="e">
        <f t="shared" si="171"/>
        <v>#NUM!</v>
      </c>
      <c r="CC202" s="62" t="e">
        <f t="shared" si="198"/>
        <v>#NUM!</v>
      </c>
      <c r="CD202" s="62">
        <f ca="1">AVERAGE(OFFSET($CC$3,0,0,'Données projet'!$E$12+1,1))-AVERAGE(OFFSET($H$3,0,0,'Données projet'!$E$12+1,1))</f>
        <v>264.06656596707364</v>
      </c>
      <c r="CE202" s="62">
        <f t="shared" si="199"/>
        <v>315.34415130230195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5.6843418860808015E-14</v>
      </c>
      <c r="CU202" s="18">
        <f>CT202*VLOOKUP('Données projet'!$B$13,Paramètres!$A$1:$I$88,3,0)*VLOOKUP('Données projet'!$B$13,Paramètres!$A$1:$I$88,5,0)</f>
        <v>3.3992364478763198E-14</v>
      </c>
      <c r="CV202" s="14">
        <f t="shared" si="173"/>
        <v>5.790027782444094E-13</v>
      </c>
      <c r="CW202" s="22">
        <f t="shared" si="174"/>
        <v>1.0676332069095257E-12</v>
      </c>
      <c r="CX202" s="62">
        <f t="shared" si="200"/>
        <v>293.33333333333439</v>
      </c>
      <c r="CY202" s="62">
        <f ca="1">AVERAGE(OFFSET($CX$3,0,0,'Données projet'!$E$13+1,1))-AVERAGE(OFFSET($H$3,0,0,'Données projet'!$E$13+1,1))</f>
        <v>162.29089122912319</v>
      </c>
      <c r="CZ202" s="62">
        <f t="shared" si="201"/>
        <v>253.15422514195427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0.371719946849843</v>
      </c>
      <c r="DG202" s="23">
        <f>EXP(-LN(2)/25)*DG201+(1-EXP(-LN(2)/25))/(LN(2)/25)*Calculateur!DB202*Calculateur!DD202*VLOOKUP('Données projet'!$B$9,Paramètres!$A$1:$I$88,3,0)*0.475*44/12</f>
        <v>4.8975294210530464E-2</v>
      </c>
      <c r="DH202" s="23">
        <f>EXP(-LN(2)/2)*DH201+(1-EXP(-LN(2)/2))/(LN(2)/2)*DB202*DE202*VLOOKUP('Données projet'!$B$9,Paramètres!$A$1:$I$88,3,0)*0.475*44/12</f>
        <v>8.5399840304351834E-26</v>
      </c>
      <c r="DI202" s="24">
        <f t="shared" si="175"/>
        <v>0.42069524106037348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-5.6843418860808015E-14</v>
      </c>
      <c r="DP202" s="18">
        <f>DO202*VLOOKUP('Données projet'!$B$14,Paramètres!$A$1:$I$88,3,0)*VLOOKUP('Données projet'!$B$14,Paramètres!$A$1:$I$88,5,0)</f>
        <v>-4.5224624045658861E-14</v>
      </c>
      <c r="DQ202" s="14" t="e">
        <f t="shared" si="176"/>
        <v>#NUM!</v>
      </c>
      <c r="DR202" s="22" t="e">
        <f t="shared" si="177"/>
        <v>#NUM!</v>
      </c>
      <c r="DS202" s="62" t="e">
        <f t="shared" si="202"/>
        <v>#NUM!</v>
      </c>
      <c r="DT202" s="62">
        <f ca="1">AVERAGE(OFFSET($DS$3,0,0,'Données projet'!$E$14+1,1))-AVERAGE(OFFSET($H$3,0,0,'Données projet'!$E$14+1,1))</f>
        <v>290.20755061064017</v>
      </c>
      <c r="DU202" s="62">
        <f t="shared" si="203"/>
        <v>343.54750327717181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1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3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-1.1368683772161603E-13</v>
      </c>
      <c r="O203" s="14">
        <f>N203*VLOOKUP('Données projet'!$B$9,Paramètres!$A$1:$I$88,3,0)*VLOOKUP('Données projet'!$B$9,Paramètres!$A$1:$I$88,5,0)</f>
        <v>-5.3205440053716299E-14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300.03481708703549</v>
      </c>
      <c r="T203" s="62">
        <f t="shared" si="192"/>
        <v>102.6350860969182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-2.2737367544323206E-13</v>
      </c>
      <c r="AJ203" s="14">
        <f>AI203*VLOOKUP('Données projet'!$B$10,Paramètres!$A$1:$I$88,3,0)*VLOOKUP('Données projet'!$B$10,Paramètres!$A$1:$I$88,5,0)</f>
        <v>-1.2710188457276673E-13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328.27336939084597</v>
      </c>
      <c r="AO203" s="62">
        <f t="shared" si="195"/>
        <v>448.79354389108755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0.18614367880560839</v>
      </c>
      <c r="AV203" s="23">
        <f>EXP(-LN(2)/25)*AV202+(1-EXP(-LN(2)/25))/(LN(2)/25)*Calculateur!AQ203*Calculateur!AS203*VLOOKUP('Données projet'!$B$9,Paramètres!$A$1:$I$88,3,0)*0.475*44/12</f>
        <v>0.12351084560245186</v>
      </c>
      <c r="AW203" s="23">
        <f>EXP(-LN(2)/2)*AW202+(1-EXP(-LN(2)/2))/(LN(2)/2)*AQ203*AT203*VLOOKUP('Données projet'!$B$9,Paramètres!$A$1:$I$88,3,0)*0.475*44/12</f>
        <v>3.7656595912641402E-25</v>
      </c>
      <c r="AX203" s="23">
        <f t="shared" si="166"/>
        <v>0.30965452440806024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-2.2737367544323206E-13</v>
      </c>
      <c r="BE203" s="14">
        <f>BD203*VLOOKUP('Données projet'!$B$11,Paramètres!$A$1:$I$88,3,0)*VLOOKUP('Données projet'!$B$11,Paramètres!$A$1:$I$88,5,0)</f>
        <v>-1.9863364286720756E-13</v>
      </c>
      <c r="BF203" s="14" t="e">
        <f t="shared" si="167"/>
        <v>#NUM!</v>
      </c>
      <c r="BG203" s="22" t="e">
        <f t="shared" si="168"/>
        <v>#NUM!</v>
      </c>
      <c r="BH203" s="62" t="e">
        <f t="shared" si="196"/>
        <v>#NUM!</v>
      </c>
      <c r="BI203" s="62">
        <f ca="1">AVERAGE(OFFSET($BH$3,0,0,'Données projet'!$E$11+1,1))-AVERAGE(OFFSET($H$3,0,0,'Données projet'!$E$11+1,1))</f>
        <v>348.65374983303883</v>
      </c>
      <c r="BJ203" s="62">
        <f t="shared" si="197"/>
        <v>312.05848669315151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-5.6843418860808015E-14</v>
      </c>
      <c r="BZ203" s="14">
        <f>BY203*VLOOKUP('Données projet'!$B$12,Paramètres!$A$1:$I$88,3,0)*VLOOKUP('Données projet'!$B$12,Paramètres!$A$1:$I$88,5,0)</f>
        <v>-4.1677594708744434E-14</v>
      </c>
      <c r="CA203" s="14" t="e">
        <f t="shared" si="170"/>
        <v>#NUM!</v>
      </c>
      <c r="CB203" s="22" t="e">
        <f t="shared" si="171"/>
        <v>#NUM!</v>
      </c>
      <c r="CC203" s="62" t="e">
        <f t="shared" si="198"/>
        <v>#NUM!</v>
      </c>
      <c r="CD203" s="62">
        <f ca="1">AVERAGE(OFFSET($CC$3,0,0,'Données projet'!$E$12+1,1))-AVERAGE(OFFSET($H$3,0,0,'Données projet'!$E$12+1,1))</f>
        <v>264.06656596707364</v>
      </c>
      <c r="CE203" s="62">
        <f t="shared" si="199"/>
        <v>315.34415130230195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5.6843418860808015E-14</v>
      </c>
      <c r="CU203" s="18">
        <f>CT203*VLOOKUP('Données projet'!$B$13,Paramètres!$A$1:$I$88,3,0)*VLOOKUP('Données projet'!$B$13,Paramètres!$A$1:$I$88,5,0)</f>
        <v>3.3992364478763198E-14</v>
      </c>
      <c r="CV203" s="14">
        <f t="shared" si="173"/>
        <v>5.790027782444094E-13</v>
      </c>
      <c r="CW203" s="22">
        <f t="shared" si="174"/>
        <v>1.0676332069095257E-12</v>
      </c>
      <c r="CX203" s="62">
        <f t="shared" si="200"/>
        <v>293.33333333333439</v>
      </c>
      <c r="CY203" s="62">
        <f ca="1">AVERAGE(OFFSET($CX$3,0,0,'Données projet'!$E$13+1,1))-AVERAGE(OFFSET($H$3,0,0,'Données projet'!$E$13+1,1))</f>
        <v>162.29089122912319</v>
      </c>
      <c r="CZ203" s="62">
        <f t="shared" si="201"/>
        <v>253.15422514195427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0.36443074541889775</v>
      </c>
      <c r="DG203" s="23">
        <f>EXP(-LN(2)/25)*DG202+(1-EXP(-LN(2)/25))/(LN(2)/25)*Calculateur!DB203*Calculateur!DD203*VLOOKUP('Données projet'!$B$9,Paramètres!$A$1:$I$88,3,0)*0.475*44/12</f>
        <v>4.7636062214844718E-2</v>
      </c>
      <c r="DH203" s="23">
        <f>EXP(-LN(2)/2)*DH202+(1-EXP(-LN(2)/2))/(LN(2)/2)*DB203*DE203*VLOOKUP('Données projet'!$B$9,Paramètres!$A$1:$I$88,3,0)*0.475*44/12</f>
        <v>6.0386806191455414E-26</v>
      </c>
      <c r="DI203" s="24">
        <f t="shared" si="175"/>
        <v>0.41206680763374248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-5.6843418860808015E-14</v>
      </c>
      <c r="DP203" s="18">
        <f>DO203*VLOOKUP('Données projet'!$B$14,Paramètres!$A$1:$I$88,3,0)*VLOOKUP('Données projet'!$B$14,Paramètres!$A$1:$I$88,5,0)</f>
        <v>-4.5224624045658861E-14</v>
      </c>
      <c r="DQ203" s="14" t="e">
        <f t="shared" si="176"/>
        <v>#NUM!</v>
      </c>
      <c r="DR203" s="22" t="e">
        <f t="shared" si="177"/>
        <v>#NUM!</v>
      </c>
      <c r="DS203" s="62" t="e">
        <f t="shared" si="202"/>
        <v>#NUM!</v>
      </c>
      <c r="DT203" s="62">
        <f ca="1">AVERAGE(OFFSET($DS$3,0,0,'Données projet'!$E$14+1,1))-AVERAGE(OFFSET($H$3,0,0,'Données projet'!$E$14+1,1))</f>
        <v>290.20755061064017</v>
      </c>
      <c r="DU203" s="62">
        <f t="shared" si="203"/>
        <v>343.54750327717181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1.1812937373976771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1.3480061545972777</v>
      </c>
      <c r="BA205" s="88">
        <f>EXP(LN('Données projet'!B88)/'Données projet'!A88)</f>
        <v>1.2557008269631629</v>
      </c>
      <c r="BV205" s="88">
        <f>EXP(LN('Données projet'!B114)/'Données projet'!A114)</f>
        <v>1.2721323532877689</v>
      </c>
      <c r="CQ205" s="88">
        <f>EXP(LN('Données projet'!B140)/'Données projet'!A140)</f>
        <v>1.35673740976754</v>
      </c>
      <c r="DL205" s="88">
        <f>EXP(LN('Données projet'!B166)/'Données projet'!A166)</f>
        <v>1.2721323532877689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34" t="s">
        <v>0</v>
      </c>
      <c r="B1" s="135" t="s">
        <v>106</v>
      </c>
      <c r="C1" s="136" t="s">
        <v>144</v>
      </c>
      <c r="D1" s="135" t="s">
        <v>100</v>
      </c>
      <c r="E1" s="136" t="s">
        <v>145</v>
      </c>
      <c r="F1" s="136" t="s">
        <v>100</v>
      </c>
      <c r="G1" s="136" t="s">
        <v>146</v>
      </c>
      <c r="H1" s="136" t="s">
        <v>100</v>
      </c>
      <c r="I1" s="137" t="s">
        <v>147</v>
      </c>
      <c r="J1" s="104"/>
      <c r="K1" s="104"/>
      <c r="L1" s="104"/>
      <c r="M1" s="104"/>
      <c r="N1" s="104"/>
    </row>
    <row r="2" spans="1:16" x14ac:dyDescent="0.25">
      <c r="A2" s="138" t="s">
        <v>1</v>
      </c>
      <c r="B2" s="139" t="s">
        <v>53</v>
      </c>
      <c r="C2" s="140">
        <v>0.62</v>
      </c>
      <c r="D2" s="140" t="s">
        <v>161</v>
      </c>
      <c r="E2" s="140">
        <v>1.56</v>
      </c>
      <c r="F2" s="140" t="s">
        <v>275</v>
      </c>
      <c r="G2" s="141">
        <v>0.43</v>
      </c>
      <c r="H2" s="142" t="s">
        <v>279</v>
      </c>
      <c r="I2" s="143">
        <v>0.25</v>
      </c>
      <c r="J2" s="104"/>
      <c r="K2" s="104"/>
      <c r="L2" s="104"/>
      <c r="M2" s="104"/>
      <c r="N2" s="104"/>
      <c r="O2" s="271" t="s">
        <v>238</v>
      </c>
      <c r="P2" s="144">
        <v>0</v>
      </c>
    </row>
    <row r="3" spans="1:16" ht="15.75" thickBot="1" x14ac:dyDescent="0.3">
      <c r="A3" s="145" t="s">
        <v>2</v>
      </c>
      <c r="B3" s="146" t="s">
        <v>54</v>
      </c>
      <c r="C3" s="147">
        <v>0.64</v>
      </c>
      <c r="D3" s="147" t="s">
        <v>161</v>
      </c>
      <c r="E3" s="147">
        <v>1.56</v>
      </c>
      <c r="F3" s="148" t="s">
        <v>275</v>
      </c>
      <c r="G3" s="149">
        <v>0.43</v>
      </c>
      <c r="H3" s="147" t="s">
        <v>279</v>
      </c>
      <c r="I3" s="150">
        <v>0.25</v>
      </c>
      <c r="J3" s="104"/>
      <c r="K3" s="104"/>
      <c r="L3" s="104"/>
      <c r="M3" s="104"/>
      <c r="N3" s="104"/>
      <c r="O3" s="272"/>
      <c r="P3" s="151">
        <v>0.2</v>
      </c>
    </row>
    <row r="4" spans="1:16" ht="15.75" thickBot="1" x14ac:dyDescent="0.3">
      <c r="A4" s="145" t="s">
        <v>98</v>
      </c>
      <c r="B4" s="146" t="s">
        <v>99</v>
      </c>
      <c r="C4" s="147">
        <v>0.42</v>
      </c>
      <c r="D4" s="147" t="s">
        <v>161</v>
      </c>
      <c r="E4" s="147">
        <v>1.56</v>
      </c>
      <c r="F4" s="148" t="s">
        <v>275</v>
      </c>
      <c r="G4" s="149">
        <v>0.43</v>
      </c>
      <c r="H4" s="147" t="s">
        <v>279</v>
      </c>
      <c r="I4" s="150">
        <v>0.25</v>
      </c>
      <c r="J4" s="104"/>
      <c r="K4" s="104"/>
      <c r="L4" s="104"/>
      <c r="M4" s="104"/>
      <c r="N4" s="104"/>
    </row>
    <row r="5" spans="1:16" x14ac:dyDescent="0.25">
      <c r="A5" s="145" t="s">
        <v>4</v>
      </c>
      <c r="B5" s="146" t="s">
        <v>55</v>
      </c>
      <c r="C5" s="147">
        <v>0.42</v>
      </c>
      <c r="D5" s="147" t="s">
        <v>161</v>
      </c>
      <c r="E5" s="147">
        <v>1.56</v>
      </c>
      <c r="F5" s="148" t="s">
        <v>275</v>
      </c>
      <c r="G5" s="149">
        <v>0.43</v>
      </c>
      <c r="H5" s="147" t="s">
        <v>279</v>
      </c>
      <c r="I5" s="150">
        <v>0.25</v>
      </c>
      <c r="J5" s="104"/>
      <c r="K5" s="104"/>
      <c r="L5" s="104"/>
      <c r="M5" s="104"/>
      <c r="N5" s="104"/>
      <c r="O5" s="271" t="s">
        <v>237</v>
      </c>
      <c r="P5" s="144">
        <v>0</v>
      </c>
    </row>
    <row r="6" spans="1:16" x14ac:dyDescent="0.25">
      <c r="A6" s="145" t="s">
        <v>3</v>
      </c>
      <c r="B6" s="146" t="s">
        <v>97</v>
      </c>
      <c r="C6" s="147">
        <v>0.42</v>
      </c>
      <c r="D6" s="147" t="s">
        <v>161</v>
      </c>
      <c r="E6" s="147">
        <v>1.56</v>
      </c>
      <c r="F6" s="148" t="s">
        <v>275</v>
      </c>
      <c r="G6" s="149">
        <v>0.43</v>
      </c>
      <c r="H6" s="147" t="s">
        <v>279</v>
      </c>
      <c r="I6" s="150">
        <v>0.25</v>
      </c>
      <c r="J6" s="104"/>
      <c r="K6" s="104"/>
      <c r="L6" s="104"/>
      <c r="M6" s="104"/>
      <c r="N6" s="104"/>
      <c r="O6" s="273"/>
      <c r="P6" s="152">
        <v>0.05</v>
      </c>
    </row>
    <row r="7" spans="1:16" x14ac:dyDescent="0.25">
      <c r="A7" s="145" t="s">
        <v>5</v>
      </c>
      <c r="B7" s="146" t="s">
        <v>56</v>
      </c>
      <c r="C7" s="147">
        <v>0.52</v>
      </c>
      <c r="D7" s="147" t="s">
        <v>161</v>
      </c>
      <c r="E7" s="147">
        <v>1.56</v>
      </c>
      <c r="F7" s="148" t="s">
        <v>275</v>
      </c>
      <c r="G7" s="149">
        <v>0.43</v>
      </c>
      <c r="H7" s="147" t="s">
        <v>279</v>
      </c>
      <c r="I7" s="150">
        <v>0.25</v>
      </c>
      <c r="J7" s="104"/>
      <c r="K7" s="104"/>
      <c r="L7" s="104"/>
      <c r="M7" s="104"/>
      <c r="N7" s="104"/>
      <c r="O7" s="273"/>
      <c r="P7" s="152">
        <v>0.1</v>
      </c>
    </row>
    <row r="8" spans="1:16" ht="15.75" thickBot="1" x14ac:dyDescent="0.3">
      <c r="A8" s="145" t="s">
        <v>164</v>
      </c>
      <c r="B8" s="146" t="s">
        <v>57</v>
      </c>
      <c r="C8" s="147">
        <v>0.36</v>
      </c>
      <c r="D8" s="147" t="s">
        <v>161</v>
      </c>
      <c r="E8" s="147">
        <v>1.3</v>
      </c>
      <c r="F8" s="148" t="s">
        <v>275</v>
      </c>
      <c r="G8" s="149">
        <v>0.55000000000000004</v>
      </c>
      <c r="H8" s="147" t="s">
        <v>153</v>
      </c>
      <c r="I8" s="150">
        <v>0.43</v>
      </c>
      <c r="J8" s="104"/>
      <c r="K8" s="104"/>
      <c r="L8" s="104"/>
      <c r="M8" s="104"/>
      <c r="N8" s="104"/>
      <c r="O8" s="272"/>
      <c r="P8" s="151">
        <v>0.15</v>
      </c>
    </row>
    <row r="9" spans="1:16" ht="15.75" thickBot="1" x14ac:dyDescent="0.3">
      <c r="A9" s="145" t="s">
        <v>6</v>
      </c>
      <c r="B9" s="146" t="s">
        <v>58</v>
      </c>
      <c r="C9" s="147">
        <v>0.61</v>
      </c>
      <c r="D9" s="147" t="s">
        <v>161</v>
      </c>
      <c r="E9" s="147">
        <v>1.56</v>
      </c>
      <c r="F9" s="148" t="s">
        <v>275</v>
      </c>
      <c r="G9" s="149">
        <v>0.43</v>
      </c>
      <c r="H9" s="147" t="s">
        <v>279</v>
      </c>
      <c r="I9" s="150">
        <v>0.25</v>
      </c>
      <c r="J9" s="104"/>
      <c r="K9" s="104"/>
      <c r="L9" s="104"/>
      <c r="M9" s="104"/>
      <c r="N9" s="104"/>
    </row>
    <row r="10" spans="1:16" x14ac:dyDescent="0.25">
      <c r="A10" s="145" t="s">
        <v>7</v>
      </c>
      <c r="B10" s="146" t="s">
        <v>59</v>
      </c>
      <c r="C10" s="147">
        <v>0.66</v>
      </c>
      <c r="D10" s="147" t="s">
        <v>161</v>
      </c>
      <c r="E10" s="147">
        <v>1.56</v>
      </c>
      <c r="F10" s="148" t="s">
        <v>275</v>
      </c>
      <c r="G10" s="149">
        <v>0.43</v>
      </c>
      <c r="H10" s="147" t="s">
        <v>279</v>
      </c>
      <c r="I10" s="150">
        <v>0.25</v>
      </c>
      <c r="J10" s="104"/>
      <c r="K10" s="104"/>
      <c r="L10" s="104"/>
      <c r="M10" s="104"/>
      <c r="N10" s="104"/>
      <c r="O10" s="271" t="s">
        <v>236</v>
      </c>
      <c r="P10" s="144">
        <v>0</v>
      </c>
    </row>
    <row r="11" spans="1:16" ht="15.75" thickBot="1" x14ac:dyDescent="0.3">
      <c r="A11" s="145" t="s">
        <v>8</v>
      </c>
      <c r="B11" s="146" t="s">
        <v>60</v>
      </c>
      <c r="C11" s="147">
        <v>0.47</v>
      </c>
      <c r="D11" s="147" t="s">
        <v>161</v>
      </c>
      <c r="E11" s="147">
        <v>1.56</v>
      </c>
      <c r="F11" s="148" t="s">
        <v>275</v>
      </c>
      <c r="G11" s="149">
        <v>0.43</v>
      </c>
      <c r="H11" s="147" t="s">
        <v>279</v>
      </c>
      <c r="I11" s="150">
        <v>0.25</v>
      </c>
      <c r="J11" s="104"/>
      <c r="K11" s="104"/>
      <c r="L11" s="104"/>
      <c r="M11" s="104"/>
      <c r="N11" s="104"/>
      <c r="O11" s="272"/>
      <c r="P11" s="151">
        <v>0.1</v>
      </c>
    </row>
    <row r="12" spans="1:16" x14ac:dyDescent="0.25">
      <c r="A12" s="145" t="s">
        <v>9</v>
      </c>
      <c r="B12" s="146" t="s">
        <v>61</v>
      </c>
      <c r="C12" s="147">
        <v>0.67</v>
      </c>
      <c r="D12" s="147" t="s">
        <v>161</v>
      </c>
      <c r="E12" s="147">
        <v>1.56</v>
      </c>
      <c r="F12" s="148" t="s">
        <v>275</v>
      </c>
      <c r="G12" s="149">
        <v>0.43</v>
      </c>
      <c r="H12" s="147" t="s">
        <v>152</v>
      </c>
      <c r="I12" s="150">
        <v>0.25</v>
      </c>
      <c r="J12" s="104"/>
      <c r="K12" s="104"/>
      <c r="L12" s="104"/>
      <c r="M12" s="104"/>
      <c r="N12" s="104"/>
    </row>
    <row r="13" spans="1:16" x14ac:dyDescent="0.25">
      <c r="A13" s="145" t="s">
        <v>10</v>
      </c>
      <c r="B13" s="146" t="s">
        <v>62</v>
      </c>
      <c r="C13" s="147">
        <v>0.7</v>
      </c>
      <c r="D13" s="147" t="s">
        <v>161</v>
      </c>
      <c r="E13" s="147">
        <v>1.56</v>
      </c>
      <c r="F13" s="148" t="s">
        <v>275</v>
      </c>
      <c r="G13" s="149">
        <v>0.43</v>
      </c>
      <c r="H13" s="147" t="s">
        <v>152</v>
      </c>
      <c r="I13" s="150">
        <v>0.25</v>
      </c>
      <c r="J13" s="104"/>
      <c r="K13" s="104"/>
      <c r="L13" s="104"/>
      <c r="M13" s="104"/>
      <c r="N13" s="104"/>
    </row>
    <row r="14" spans="1:16" x14ac:dyDescent="0.25">
      <c r="A14" s="145" t="s">
        <v>11</v>
      </c>
      <c r="B14" s="146" t="s">
        <v>63</v>
      </c>
      <c r="C14" s="147">
        <v>0.54</v>
      </c>
      <c r="D14" s="147" t="s">
        <v>161</v>
      </c>
      <c r="E14" s="147">
        <v>1.56</v>
      </c>
      <c r="F14" s="148" t="s">
        <v>275</v>
      </c>
      <c r="G14" s="149">
        <v>0.43</v>
      </c>
      <c r="H14" s="147" t="s">
        <v>152</v>
      </c>
      <c r="I14" s="150">
        <v>0.25</v>
      </c>
      <c r="J14" s="104"/>
      <c r="K14" s="104"/>
      <c r="L14" s="104"/>
      <c r="M14" s="104"/>
      <c r="N14" s="104"/>
    </row>
    <row r="15" spans="1:16" x14ac:dyDescent="0.25">
      <c r="A15" s="145" t="s">
        <v>12</v>
      </c>
      <c r="B15" s="146" t="s">
        <v>64</v>
      </c>
      <c r="C15" s="147">
        <v>0.65</v>
      </c>
      <c r="D15" s="147" t="s">
        <v>161</v>
      </c>
      <c r="E15" s="147">
        <v>1.56</v>
      </c>
      <c r="F15" s="148" t="s">
        <v>275</v>
      </c>
      <c r="G15" s="149">
        <v>0.43</v>
      </c>
      <c r="H15" s="147" t="s">
        <v>152</v>
      </c>
      <c r="I15" s="150">
        <v>0.25</v>
      </c>
      <c r="J15" s="104"/>
      <c r="K15" s="104"/>
      <c r="L15" s="104"/>
      <c r="M15" s="104"/>
      <c r="N15" s="104"/>
    </row>
    <row r="16" spans="1:16" x14ac:dyDescent="0.25">
      <c r="A16" s="145" t="s">
        <v>13</v>
      </c>
      <c r="B16" s="146" t="s">
        <v>65</v>
      </c>
      <c r="C16" s="147">
        <v>0.56000000000000005</v>
      </c>
      <c r="D16" s="147" t="s">
        <v>161</v>
      </c>
      <c r="E16" s="147">
        <v>1.56</v>
      </c>
      <c r="F16" s="148" t="s">
        <v>275</v>
      </c>
      <c r="G16" s="149">
        <v>0.43</v>
      </c>
      <c r="H16" s="147" t="s">
        <v>152</v>
      </c>
      <c r="I16" s="150">
        <v>0.25</v>
      </c>
      <c r="J16" s="104"/>
      <c r="K16" s="104"/>
      <c r="L16" s="104"/>
      <c r="M16" s="104"/>
      <c r="N16" s="104"/>
    </row>
    <row r="17" spans="1:14" x14ac:dyDescent="0.25">
      <c r="A17" s="145" t="s">
        <v>14</v>
      </c>
      <c r="B17" s="146" t="s">
        <v>66</v>
      </c>
      <c r="C17" s="147">
        <v>0.57999999999999996</v>
      </c>
      <c r="D17" s="147" t="s">
        <v>161</v>
      </c>
      <c r="E17" s="147">
        <v>1.56</v>
      </c>
      <c r="F17" s="148" t="s">
        <v>275</v>
      </c>
      <c r="G17" s="149">
        <v>0.43</v>
      </c>
      <c r="H17" s="147" t="s">
        <v>152</v>
      </c>
      <c r="I17" s="150">
        <v>0.25</v>
      </c>
      <c r="J17" s="104"/>
      <c r="K17" s="104"/>
      <c r="L17" s="104"/>
      <c r="M17" s="104"/>
      <c r="N17" s="104"/>
    </row>
    <row r="18" spans="1:14" x14ac:dyDescent="0.25">
      <c r="A18" s="145" t="s">
        <v>15</v>
      </c>
      <c r="B18" s="146" t="s">
        <v>67</v>
      </c>
      <c r="C18" s="147">
        <v>0.64</v>
      </c>
      <c r="D18" s="147" t="s">
        <v>161</v>
      </c>
      <c r="E18" s="147">
        <v>1.56</v>
      </c>
      <c r="F18" s="148" t="s">
        <v>275</v>
      </c>
      <c r="G18" s="149">
        <v>0.43</v>
      </c>
      <c r="H18" s="147" t="s">
        <v>152</v>
      </c>
      <c r="I18" s="150">
        <v>0.25</v>
      </c>
      <c r="J18" s="104"/>
      <c r="K18" s="104"/>
      <c r="L18" s="104"/>
      <c r="M18" s="104"/>
      <c r="N18" s="104"/>
    </row>
    <row r="19" spans="1:14" x14ac:dyDescent="0.25">
      <c r="A19" s="145" t="s">
        <v>16</v>
      </c>
      <c r="B19" s="146" t="s">
        <v>68</v>
      </c>
      <c r="C19" s="147">
        <v>0.73</v>
      </c>
      <c r="D19" s="147" t="s">
        <v>161</v>
      </c>
      <c r="E19" s="147">
        <v>1.56</v>
      </c>
      <c r="F19" s="148" t="s">
        <v>275</v>
      </c>
      <c r="G19" s="149">
        <v>0.43</v>
      </c>
      <c r="H19" s="147" t="s">
        <v>152</v>
      </c>
      <c r="I19" s="150">
        <v>0.25</v>
      </c>
      <c r="J19" s="104"/>
      <c r="K19" s="104"/>
      <c r="L19" s="104"/>
      <c r="M19" s="104"/>
      <c r="N19" s="104"/>
    </row>
    <row r="20" spans="1:14" x14ac:dyDescent="0.25">
      <c r="A20" s="145" t="s">
        <v>52</v>
      </c>
      <c r="B20" s="146" t="s">
        <v>69</v>
      </c>
      <c r="C20" s="147">
        <v>0.69</v>
      </c>
      <c r="D20" s="147" t="s">
        <v>131</v>
      </c>
      <c r="E20" s="147">
        <v>1.56</v>
      </c>
      <c r="F20" s="148" t="s">
        <v>275</v>
      </c>
      <c r="G20" s="149">
        <v>0.43</v>
      </c>
      <c r="H20" s="147" t="s">
        <v>283</v>
      </c>
      <c r="I20" s="150">
        <v>0.25</v>
      </c>
      <c r="J20" s="104"/>
      <c r="K20" s="104"/>
      <c r="L20" s="104"/>
      <c r="M20" s="104"/>
      <c r="N20" s="104"/>
    </row>
    <row r="21" spans="1:14" x14ac:dyDescent="0.25">
      <c r="A21" s="145" t="s">
        <v>154</v>
      </c>
      <c r="B21" s="146" t="s">
        <v>155</v>
      </c>
      <c r="C21" s="147">
        <v>0.36</v>
      </c>
      <c r="D21" s="147" t="s">
        <v>161</v>
      </c>
      <c r="E21" s="147">
        <v>1.3</v>
      </c>
      <c r="F21" s="148" t="s">
        <v>275</v>
      </c>
      <c r="G21" s="149">
        <v>0.55000000000000004</v>
      </c>
      <c r="H21" s="147" t="s">
        <v>153</v>
      </c>
      <c r="I21" s="150">
        <v>0.43</v>
      </c>
      <c r="J21" s="104"/>
      <c r="K21" s="104"/>
      <c r="L21" s="104"/>
      <c r="M21" s="104"/>
      <c r="N21" s="104"/>
    </row>
    <row r="22" spans="1:14" x14ac:dyDescent="0.25">
      <c r="A22" s="145" t="s">
        <v>17</v>
      </c>
      <c r="B22" s="146" t="s">
        <v>70</v>
      </c>
      <c r="C22" s="147">
        <v>0.4</v>
      </c>
      <c r="D22" s="147" t="s">
        <v>161</v>
      </c>
      <c r="E22" s="147">
        <v>1.3</v>
      </c>
      <c r="F22" s="148" t="s">
        <v>275</v>
      </c>
      <c r="G22" s="149">
        <v>0.55000000000000004</v>
      </c>
      <c r="H22" s="147" t="s">
        <v>153</v>
      </c>
      <c r="I22" s="150">
        <v>0.43</v>
      </c>
      <c r="J22" s="104"/>
      <c r="K22" s="104"/>
      <c r="L22" s="104"/>
      <c r="M22" s="104"/>
      <c r="N22" s="104"/>
    </row>
    <row r="23" spans="1:14" x14ac:dyDescent="0.25">
      <c r="A23" s="145" t="s">
        <v>18</v>
      </c>
      <c r="B23" s="146" t="s">
        <v>71</v>
      </c>
      <c r="C23" s="147">
        <v>0.43</v>
      </c>
      <c r="D23" s="147" t="s">
        <v>161</v>
      </c>
      <c r="E23" s="147">
        <v>1.3</v>
      </c>
      <c r="F23" s="148" t="s">
        <v>275</v>
      </c>
      <c r="G23" s="149">
        <v>0.55000000000000004</v>
      </c>
      <c r="H23" s="147" t="s">
        <v>153</v>
      </c>
      <c r="I23" s="150">
        <v>0.43</v>
      </c>
      <c r="J23" s="104"/>
      <c r="K23" s="104"/>
      <c r="L23" s="104"/>
      <c r="M23" s="104"/>
      <c r="N23" s="104"/>
    </row>
    <row r="24" spans="1:14" x14ac:dyDescent="0.25">
      <c r="A24" s="145" t="s">
        <v>19</v>
      </c>
      <c r="B24" s="146" t="s">
        <v>72</v>
      </c>
      <c r="C24" s="147">
        <v>0.37</v>
      </c>
      <c r="D24" s="147" t="s">
        <v>161</v>
      </c>
      <c r="E24" s="147">
        <v>1.3</v>
      </c>
      <c r="F24" s="148" t="s">
        <v>275</v>
      </c>
      <c r="G24" s="149">
        <v>0.55000000000000004</v>
      </c>
      <c r="H24" s="147" t="s">
        <v>152</v>
      </c>
      <c r="I24" s="150">
        <v>0.43</v>
      </c>
      <c r="J24" s="104"/>
      <c r="K24" s="104"/>
      <c r="L24" s="104"/>
      <c r="M24" s="104"/>
      <c r="N24" s="104"/>
    </row>
    <row r="25" spans="1:14" x14ac:dyDescent="0.25">
      <c r="A25" s="145" t="s">
        <v>20</v>
      </c>
      <c r="B25" s="146" t="s">
        <v>73</v>
      </c>
      <c r="C25" s="147">
        <v>0.36</v>
      </c>
      <c r="D25" s="147" t="s">
        <v>161</v>
      </c>
      <c r="E25" s="147">
        <v>1.3</v>
      </c>
      <c r="F25" s="148" t="s">
        <v>275</v>
      </c>
      <c r="G25" s="149">
        <v>0.55000000000000004</v>
      </c>
      <c r="H25" s="147" t="s">
        <v>152</v>
      </c>
      <c r="I25" s="150">
        <v>0.43</v>
      </c>
      <c r="J25" s="104"/>
      <c r="K25" s="104"/>
      <c r="L25" s="104"/>
      <c r="M25" s="104"/>
      <c r="N25" s="104"/>
    </row>
    <row r="26" spans="1:14" x14ac:dyDescent="0.25">
      <c r="A26" s="145" t="s">
        <v>21</v>
      </c>
      <c r="B26" s="146" t="s">
        <v>74</v>
      </c>
      <c r="C26" s="147">
        <v>0.56000000000000005</v>
      </c>
      <c r="D26" s="147" t="s">
        <v>161</v>
      </c>
      <c r="E26" s="147">
        <v>1.56</v>
      </c>
      <c r="F26" s="148" t="s">
        <v>275</v>
      </c>
      <c r="G26" s="149">
        <v>0.53</v>
      </c>
      <c r="H26" s="147" t="s">
        <v>276</v>
      </c>
      <c r="I26" s="150">
        <v>0.25</v>
      </c>
      <c r="J26" s="104"/>
      <c r="K26" s="104"/>
      <c r="L26" s="104"/>
      <c r="M26" s="104"/>
      <c r="N26" s="104"/>
    </row>
    <row r="27" spans="1:14" x14ac:dyDescent="0.25">
      <c r="A27" s="145" t="s">
        <v>22</v>
      </c>
      <c r="B27" s="146" t="s">
        <v>75</v>
      </c>
      <c r="C27" s="147">
        <v>0.51</v>
      </c>
      <c r="D27" s="147" t="s">
        <v>161</v>
      </c>
      <c r="E27" s="147">
        <v>1.56</v>
      </c>
      <c r="F27" s="148" t="s">
        <v>275</v>
      </c>
      <c r="G27" s="149">
        <v>0.53</v>
      </c>
      <c r="H27" s="147" t="s">
        <v>276</v>
      </c>
      <c r="I27" s="150">
        <v>0.25</v>
      </c>
      <c r="J27" s="104"/>
      <c r="K27" s="104"/>
      <c r="L27" s="104"/>
      <c r="M27" s="104"/>
      <c r="N27" s="104"/>
    </row>
    <row r="28" spans="1:14" x14ac:dyDescent="0.25">
      <c r="A28" s="145" t="s">
        <v>23</v>
      </c>
      <c r="B28" s="146" t="s">
        <v>76</v>
      </c>
      <c r="C28" s="147">
        <v>0.51</v>
      </c>
      <c r="D28" s="147" t="s">
        <v>161</v>
      </c>
      <c r="E28" s="147">
        <v>1.56</v>
      </c>
      <c r="F28" s="148" t="s">
        <v>275</v>
      </c>
      <c r="G28" s="149">
        <v>0.53</v>
      </c>
      <c r="H28" s="147" t="s">
        <v>276</v>
      </c>
      <c r="I28" s="150">
        <v>0.25</v>
      </c>
      <c r="J28" s="104"/>
      <c r="K28" s="104"/>
      <c r="L28" s="104"/>
      <c r="M28" s="104"/>
      <c r="N28" s="104"/>
    </row>
    <row r="29" spans="1:14" x14ac:dyDescent="0.25">
      <c r="A29" s="145" t="s">
        <v>24</v>
      </c>
      <c r="B29" s="146" t="s">
        <v>24</v>
      </c>
      <c r="C29" s="147">
        <v>0.56000000000000005</v>
      </c>
      <c r="D29" s="147" t="s">
        <v>161</v>
      </c>
      <c r="E29" s="147">
        <v>1.56</v>
      </c>
      <c r="F29" s="148" t="s">
        <v>275</v>
      </c>
      <c r="G29" s="149">
        <v>0.53</v>
      </c>
      <c r="H29" s="147" t="s">
        <v>276</v>
      </c>
      <c r="I29" s="150">
        <v>0.25</v>
      </c>
      <c r="J29" s="104"/>
      <c r="K29" s="104"/>
      <c r="L29" s="104"/>
      <c r="M29" s="104"/>
      <c r="N29" s="104"/>
    </row>
    <row r="30" spans="1:14" x14ac:dyDescent="0.25">
      <c r="A30" s="145" t="s">
        <v>25</v>
      </c>
      <c r="B30" s="146" t="s">
        <v>77</v>
      </c>
      <c r="C30" s="147">
        <v>0.55000000000000004</v>
      </c>
      <c r="D30" s="147" t="s">
        <v>161</v>
      </c>
      <c r="E30" s="147">
        <v>1.56</v>
      </c>
      <c r="F30" s="148" t="s">
        <v>275</v>
      </c>
      <c r="G30" s="149">
        <v>0.53</v>
      </c>
      <c r="H30" s="147" t="s">
        <v>152</v>
      </c>
      <c r="I30" s="150">
        <v>0.25</v>
      </c>
      <c r="J30" s="104"/>
      <c r="K30" s="104"/>
      <c r="L30" s="104"/>
      <c r="M30" s="104"/>
      <c r="N30" s="104"/>
    </row>
    <row r="31" spans="1:14" x14ac:dyDescent="0.25">
      <c r="A31" s="145" t="s">
        <v>26</v>
      </c>
      <c r="B31" s="146" t="s">
        <v>78</v>
      </c>
      <c r="C31" s="147">
        <v>0.56000000000000005</v>
      </c>
      <c r="D31" s="147" t="s">
        <v>161</v>
      </c>
      <c r="E31" s="147">
        <v>1.56</v>
      </c>
      <c r="F31" s="148" t="s">
        <v>275</v>
      </c>
      <c r="G31" s="149">
        <v>0.43</v>
      </c>
      <c r="H31" s="147" t="s">
        <v>279</v>
      </c>
      <c r="I31" s="150">
        <v>0.25</v>
      </c>
      <c r="J31" s="104"/>
      <c r="K31" s="104"/>
      <c r="L31" s="104"/>
      <c r="M31" s="104"/>
      <c r="N31" s="104"/>
    </row>
    <row r="32" spans="1:14" x14ac:dyDescent="0.25">
      <c r="A32" s="145" t="s">
        <v>27</v>
      </c>
      <c r="B32" s="146" t="s">
        <v>79</v>
      </c>
      <c r="C32" s="147">
        <v>0.48</v>
      </c>
      <c r="D32" s="147" t="s">
        <v>161</v>
      </c>
      <c r="E32" s="147">
        <v>1.3</v>
      </c>
      <c r="F32" s="148" t="s">
        <v>275</v>
      </c>
      <c r="G32" s="149">
        <v>0.6</v>
      </c>
      <c r="H32" s="147" t="s">
        <v>282</v>
      </c>
      <c r="I32" s="150">
        <v>0.43</v>
      </c>
      <c r="J32" s="104"/>
      <c r="K32" s="104"/>
      <c r="L32" s="104"/>
      <c r="M32" s="104"/>
      <c r="N32" s="104"/>
    </row>
    <row r="33" spans="1:14" x14ac:dyDescent="0.25">
      <c r="A33" s="145" t="s">
        <v>28</v>
      </c>
      <c r="B33" s="146" t="s">
        <v>80</v>
      </c>
      <c r="C33" s="147">
        <v>0.42</v>
      </c>
      <c r="D33" s="147" t="s">
        <v>161</v>
      </c>
      <c r="E33" s="147">
        <v>1.3</v>
      </c>
      <c r="F33" s="148" t="s">
        <v>275</v>
      </c>
      <c r="G33" s="149">
        <v>0.6</v>
      </c>
      <c r="H33" s="147" t="s">
        <v>282</v>
      </c>
      <c r="I33" s="150">
        <v>0.43</v>
      </c>
      <c r="J33" s="104"/>
      <c r="K33" s="104"/>
      <c r="L33" s="104"/>
      <c r="M33" s="104"/>
      <c r="N33" s="104"/>
    </row>
    <row r="34" spans="1:14" x14ac:dyDescent="0.25">
      <c r="A34" s="145" t="s">
        <v>81</v>
      </c>
      <c r="B34" s="146" t="s">
        <v>163</v>
      </c>
      <c r="C34" s="147">
        <v>0.42</v>
      </c>
      <c r="D34" s="147" t="s">
        <v>103</v>
      </c>
      <c r="E34" s="147">
        <v>1.3</v>
      </c>
      <c r="F34" s="148" t="s">
        <v>275</v>
      </c>
      <c r="G34" s="149">
        <v>0.6</v>
      </c>
      <c r="H34" s="146" t="s">
        <v>281</v>
      </c>
      <c r="I34" s="150">
        <v>0.43</v>
      </c>
      <c r="J34" s="104"/>
      <c r="K34" s="104"/>
      <c r="L34" s="104"/>
      <c r="M34" s="104"/>
      <c r="N34" s="104"/>
    </row>
    <row r="35" spans="1:14" x14ac:dyDescent="0.25">
      <c r="A35" s="145" t="s">
        <v>29</v>
      </c>
      <c r="B35" s="146" t="s">
        <v>82</v>
      </c>
      <c r="C35" s="147">
        <v>0.5</v>
      </c>
      <c r="D35" s="147" t="s">
        <v>161</v>
      </c>
      <c r="E35" s="147">
        <v>1.56</v>
      </c>
      <c r="F35" s="148" t="s">
        <v>275</v>
      </c>
      <c r="G35" s="149">
        <v>0.43</v>
      </c>
      <c r="H35" s="147" t="s">
        <v>279</v>
      </c>
      <c r="I35" s="150">
        <v>0.25</v>
      </c>
      <c r="J35" s="104"/>
      <c r="K35" s="104"/>
      <c r="L35" s="104"/>
      <c r="M35" s="104"/>
      <c r="N35" s="104"/>
    </row>
    <row r="36" spans="1:14" x14ac:dyDescent="0.25">
      <c r="A36" s="145" t="s">
        <v>102</v>
      </c>
      <c r="B36" s="146" t="s">
        <v>101</v>
      </c>
      <c r="C36" s="147">
        <v>0.55000000000000004</v>
      </c>
      <c r="D36" s="147" t="s">
        <v>161</v>
      </c>
      <c r="E36" s="147">
        <v>1.56</v>
      </c>
      <c r="F36" s="148" t="s">
        <v>275</v>
      </c>
      <c r="G36" s="149">
        <v>0.53</v>
      </c>
      <c r="H36" s="147" t="s">
        <v>276</v>
      </c>
      <c r="I36" s="150">
        <v>0.25</v>
      </c>
      <c r="J36" s="104"/>
      <c r="K36" s="104"/>
      <c r="L36" s="104"/>
      <c r="M36" s="104"/>
      <c r="N36" s="104"/>
    </row>
    <row r="37" spans="1:14" x14ac:dyDescent="0.25">
      <c r="A37" s="145" t="s">
        <v>30</v>
      </c>
      <c r="B37" s="146" t="s">
        <v>104</v>
      </c>
      <c r="C37" s="147">
        <v>0.52</v>
      </c>
      <c r="D37" s="147" t="s">
        <v>161</v>
      </c>
      <c r="E37" s="147">
        <v>1.56</v>
      </c>
      <c r="F37" s="148" t="s">
        <v>275</v>
      </c>
      <c r="G37" s="149">
        <v>0.53</v>
      </c>
      <c r="H37" s="147" t="s">
        <v>276</v>
      </c>
      <c r="I37" s="150">
        <v>0.25</v>
      </c>
      <c r="J37" s="104"/>
      <c r="K37" s="104"/>
      <c r="L37" s="104"/>
      <c r="M37" s="104"/>
      <c r="N37" s="104"/>
    </row>
    <row r="38" spans="1:14" x14ac:dyDescent="0.25">
      <c r="A38" s="145" t="s">
        <v>31</v>
      </c>
      <c r="B38" s="146" t="s">
        <v>105</v>
      </c>
      <c r="C38" s="147">
        <v>0.52</v>
      </c>
      <c r="D38" s="147" t="s">
        <v>161</v>
      </c>
      <c r="E38" s="147">
        <v>1.56</v>
      </c>
      <c r="F38" s="148" t="s">
        <v>275</v>
      </c>
      <c r="G38" s="149">
        <v>0.43</v>
      </c>
      <c r="H38" s="147" t="s">
        <v>279</v>
      </c>
      <c r="I38" s="150">
        <v>0.25</v>
      </c>
      <c r="J38" s="104"/>
      <c r="K38" s="104"/>
      <c r="L38" s="104"/>
      <c r="M38" s="104"/>
      <c r="N38" s="104"/>
    </row>
    <row r="39" spans="1:14" x14ac:dyDescent="0.25">
      <c r="A39" s="145" t="s">
        <v>107</v>
      </c>
      <c r="B39" s="146" t="s">
        <v>132</v>
      </c>
      <c r="C39" s="147">
        <v>0.313</v>
      </c>
      <c r="D39" s="147" t="s">
        <v>130</v>
      </c>
      <c r="E39" s="147">
        <v>1.56</v>
      </c>
      <c r="F39" s="148" t="s">
        <v>275</v>
      </c>
      <c r="G39" s="149">
        <v>0.6</v>
      </c>
      <c r="H39" s="147" t="s">
        <v>284</v>
      </c>
      <c r="I39" s="150">
        <v>1.03</v>
      </c>
      <c r="J39" s="104"/>
      <c r="K39" s="104"/>
      <c r="L39" s="104"/>
      <c r="M39" s="104"/>
      <c r="N39" s="104"/>
    </row>
    <row r="40" spans="1:14" x14ac:dyDescent="0.25">
      <c r="A40" s="145" t="s">
        <v>108</v>
      </c>
      <c r="B40" s="146" t="s">
        <v>132</v>
      </c>
      <c r="C40" s="147">
        <v>0.35199999999999998</v>
      </c>
      <c r="D40" s="147" t="s">
        <v>130</v>
      </c>
      <c r="E40" s="147">
        <v>1.56</v>
      </c>
      <c r="F40" s="148" t="s">
        <v>275</v>
      </c>
      <c r="G40" s="149">
        <v>0.6</v>
      </c>
      <c r="H40" s="147" t="s">
        <v>284</v>
      </c>
      <c r="I40" s="150">
        <v>1.03</v>
      </c>
      <c r="J40" s="104"/>
      <c r="K40" s="104"/>
      <c r="L40" s="104"/>
      <c r="M40" s="104"/>
      <c r="N40" s="104"/>
    </row>
    <row r="41" spans="1:14" x14ac:dyDescent="0.25">
      <c r="A41" s="145" t="s">
        <v>121</v>
      </c>
      <c r="B41" s="146" t="s">
        <v>132</v>
      </c>
      <c r="C41" s="147">
        <v>0.32200000000000001</v>
      </c>
      <c r="D41" s="147" t="s">
        <v>130</v>
      </c>
      <c r="E41" s="147">
        <v>1.56</v>
      </c>
      <c r="F41" s="148" t="s">
        <v>275</v>
      </c>
      <c r="G41" s="149">
        <v>0.6</v>
      </c>
      <c r="H41" s="147" t="s">
        <v>284</v>
      </c>
      <c r="I41" s="150">
        <v>1.03</v>
      </c>
      <c r="J41" s="104"/>
      <c r="K41" s="104"/>
      <c r="L41" s="104"/>
      <c r="M41" s="104"/>
      <c r="N41" s="104"/>
    </row>
    <row r="42" spans="1:14" x14ac:dyDescent="0.25">
      <c r="A42" s="145" t="s">
        <v>122</v>
      </c>
      <c r="B42" s="146" t="s">
        <v>132</v>
      </c>
      <c r="C42" s="147">
        <v>0.311</v>
      </c>
      <c r="D42" s="147" t="s">
        <v>130</v>
      </c>
      <c r="E42" s="147">
        <v>1.56</v>
      </c>
      <c r="F42" s="148" t="s">
        <v>275</v>
      </c>
      <c r="G42" s="149">
        <v>0.6</v>
      </c>
      <c r="H42" s="147" t="s">
        <v>284</v>
      </c>
      <c r="I42" s="150">
        <v>1.03</v>
      </c>
      <c r="J42" s="104"/>
      <c r="K42" s="104"/>
      <c r="L42" s="104"/>
      <c r="M42" s="104"/>
      <c r="N42" s="104"/>
    </row>
    <row r="43" spans="1:14" x14ac:dyDescent="0.25">
      <c r="A43" s="145" t="s">
        <v>109</v>
      </c>
      <c r="B43" s="146" t="s">
        <v>132</v>
      </c>
      <c r="C43" s="147">
        <v>0.33900000000000002</v>
      </c>
      <c r="D43" s="147" t="s">
        <v>130</v>
      </c>
      <c r="E43" s="147">
        <v>1.56</v>
      </c>
      <c r="F43" s="148" t="s">
        <v>275</v>
      </c>
      <c r="G43" s="149">
        <v>0.6</v>
      </c>
      <c r="H43" s="147" t="s">
        <v>284</v>
      </c>
      <c r="I43" s="150">
        <v>1.03</v>
      </c>
      <c r="J43" s="104"/>
      <c r="K43" s="104"/>
      <c r="L43" s="104"/>
      <c r="M43" s="104"/>
      <c r="N43" s="104"/>
    </row>
    <row r="44" spans="1:14" x14ac:dyDescent="0.25">
      <c r="A44" s="145" t="s">
        <v>123</v>
      </c>
      <c r="B44" s="146" t="s">
        <v>132</v>
      </c>
      <c r="C44" s="147">
        <v>0.33600000000000002</v>
      </c>
      <c r="D44" s="147" t="s">
        <v>130</v>
      </c>
      <c r="E44" s="147">
        <v>1.56</v>
      </c>
      <c r="F44" s="148" t="s">
        <v>275</v>
      </c>
      <c r="G44" s="149">
        <v>0.6</v>
      </c>
      <c r="H44" s="147" t="s">
        <v>284</v>
      </c>
      <c r="I44" s="150">
        <v>1.03</v>
      </c>
      <c r="J44" s="104"/>
      <c r="K44" s="104"/>
      <c r="L44" s="104"/>
      <c r="M44" s="104"/>
      <c r="N44" s="104"/>
    </row>
    <row r="45" spans="1:14" x14ac:dyDescent="0.25">
      <c r="A45" s="145" t="s">
        <v>110</v>
      </c>
      <c r="B45" s="146" t="s">
        <v>132</v>
      </c>
      <c r="C45" s="147">
        <v>0.32900000000000001</v>
      </c>
      <c r="D45" s="147" t="s">
        <v>130</v>
      </c>
      <c r="E45" s="147">
        <v>1.56</v>
      </c>
      <c r="F45" s="148" t="s">
        <v>275</v>
      </c>
      <c r="G45" s="149">
        <v>0.6</v>
      </c>
      <c r="H45" s="147" t="s">
        <v>284</v>
      </c>
      <c r="I45" s="150">
        <v>1.03</v>
      </c>
      <c r="J45" s="104"/>
      <c r="K45" s="104"/>
      <c r="L45" s="104"/>
      <c r="M45" s="104"/>
      <c r="N45" s="104"/>
    </row>
    <row r="46" spans="1:14" x14ac:dyDescent="0.25">
      <c r="A46" s="145" t="s">
        <v>124</v>
      </c>
      <c r="B46" s="146" t="s">
        <v>132</v>
      </c>
      <c r="C46" s="147">
        <v>0.34300000000000003</v>
      </c>
      <c r="D46" s="147" t="s">
        <v>130</v>
      </c>
      <c r="E46" s="147">
        <v>1.56</v>
      </c>
      <c r="F46" s="148" t="s">
        <v>275</v>
      </c>
      <c r="G46" s="149">
        <v>0.6</v>
      </c>
      <c r="H46" s="147" t="s">
        <v>284</v>
      </c>
      <c r="I46" s="150">
        <v>1.03</v>
      </c>
      <c r="J46" s="104"/>
      <c r="K46" s="104"/>
      <c r="L46" s="104"/>
      <c r="M46" s="104"/>
      <c r="N46" s="104"/>
    </row>
    <row r="47" spans="1:14" x14ac:dyDescent="0.25">
      <c r="A47" s="145" t="s">
        <v>125</v>
      </c>
      <c r="B47" s="146" t="s">
        <v>132</v>
      </c>
      <c r="C47" s="147">
        <v>0.32500000000000001</v>
      </c>
      <c r="D47" s="147" t="s">
        <v>130</v>
      </c>
      <c r="E47" s="147">
        <v>1.56</v>
      </c>
      <c r="F47" s="148" t="s">
        <v>275</v>
      </c>
      <c r="G47" s="149">
        <v>0.6</v>
      </c>
      <c r="H47" s="147" t="s">
        <v>284</v>
      </c>
      <c r="I47" s="150">
        <v>1.03</v>
      </c>
      <c r="J47" s="104"/>
      <c r="K47" s="104"/>
      <c r="L47" s="104"/>
      <c r="M47" s="104"/>
      <c r="N47" s="104"/>
    </row>
    <row r="48" spans="1:14" x14ac:dyDescent="0.25">
      <c r="A48" s="145" t="s">
        <v>126</v>
      </c>
      <c r="B48" s="146" t="s">
        <v>132</v>
      </c>
      <c r="C48" s="147">
        <v>0.32</v>
      </c>
      <c r="D48" s="147" t="s">
        <v>130</v>
      </c>
      <c r="E48" s="147">
        <v>1.56</v>
      </c>
      <c r="F48" s="148" t="s">
        <v>275</v>
      </c>
      <c r="G48" s="149">
        <v>0.6</v>
      </c>
      <c r="H48" s="147" t="s">
        <v>284</v>
      </c>
      <c r="I48" s="150">
        <v>1.03</v>
      </c>
      <c r="J48" s="104"/>
      <c r="K48" s="104"/>
      <c r="L48" s="104"/>
      <c r="M48" s="104"/>
      <c r="N48" s="104"/>
    </row>
    <row r="49" spans="1:14" x14ac:dyDescent="0.25">
      <c r="A49" s="145" t="s">
        <v>111</v>
      </c>
      <c r="B49" s="146" t="s">
        <v>132</v>
      </c>
      <c r="C49" s="147">
        <v>0.28199999999999997</v>
      </c>
      <c r="D49" s="147" t="s">
        <v>130</v>
      </c>
      <c r="E49" s="147">
        <v>1.56</v>
      </c>
      <c r="F49" s="148" t="s">
        <v>275</v>
      </c>
      <c r="G49" s="149">
        <v>0.6</v>
      </c>
      <c r="H49" s="147" t="s">
        <v>284</v>
      </c>
      <c r="I49" s="150">
        <v>1.03</v>
      </c>
      <c r="J49" s="104"/>
      <c r="K49" s="104"/>
      <c r="L49" s="104"/>
      <c r="M49" s="104"/>
      <c r="N49" s="104"/>
    </row>
    <row r="50" spans="1:14" x14ac:dyDescent="0.25">
      <c r="A50" s="145" t="s">
        <v>127</v>
      </c>
      <c r="B50" s="146" t="s">
        <v>132</v>
      </c>
      <c r="C50" s="147">
        <v>0.32800000000000001</v>
      </c>
      <c r="D50" s="147" t="s">
        <v>130</v>
      </c>
      <c r="E50" s="147">
        <v>1.56</v>
      </c>
      <c r="F50" s="148" t="s">
        <v>275</v>
      </c>
      <c r="G50" s="149">
        <v>0.6</v>
      </c>
      <c r="H50" s="147" t="s">
        <v>284</v>
      </c>
      <c r="I50" s="150">
        <v>1.03</v>
      </c>
      <c r="J50" s="104"/>
      <c r="K50" s="104"/>
      <c r="L50" s="104"/>
      <c r="M50" s="104"/>
      <c r="N50" s="104"/>
    </row>
    <row r="51" spans="1:14" x14ac:dyDescent="0.25">
      <c r="A51" s="145" t="s">
        <v>112</v>
      </c>
      <c r="B51" s="146" t="s">
        <v>132</v>
      </c>
      <c r="C51" s="147">
        <v>0.32600000000000001</v>
      </c>
      <c r="D51" s="147" t="s">
        <v>130</v>
      </c>
      <c r="E51" s="147">
        <v>1.56</v>
      </c>
      <c r="F51" s="148" t="s">
        <v>275</v>
      </c>
      <c r="G51" s="149">
        <v>0.6</v>
      </c>
      <c r="H51" s="147" t="s">
        <v>284</v>
      </c>
      <c r="I51" s="150">
        <v>1.03</v>
      </c>
      <c r="J51" s="104"/>
      <c r="K51" s="104"/>
      <c r="L51" s="104"/>
      <c r="M51" s="104"/>
      <c r="N51" s="104"/>
    </row>
    <row r="52" spans="1:14" x14ac:dyDescent="0.25">
      <c r="A52" s="145" t="s">
        <v>113</v>
      </c>
      <c r="B52" s="146" t="s">
        <v>132</v>
      </c>
      <c r="C52" s="147">
        <v>0.35899999999999999</v>
      </c>
      <c r="D52" s="147" t="s">
        <v>130</v>
      </c>
      <c r="E52" s="147">
        <v>1.56</v>
      </c>
      <c r="F52" s="148" t="s">
        <v>275</v>
      </c>
      <c r="G52" s="149">
        <v>0.6</v>
      </c>
      <c r="H52" s="147" t="s">
        <v>284</v>
      </c>
      <c r="I52" s="150">
        <v>1.03</v>
      </c>
      <c r="J52" s="104"/>
      <c r="K52" s="104"/>
      <c r="L52" s="104"/>
      <c r="M52" s="104"/>
      <c r="N52" s="104"/>
    </row>
    <row r="53" spans="1:14" x14ac:dyDescent="0.25">
      <c r="A53" s="145" t="s">
        <v>114</v>
      </c>
      <c r="B53" s="146" t="s">
        <v>132</v>
      </c>
      <c r="C53" s="147">
        <v>0.34599999999999997</v>
      </c>
      <c r="D53" s="147" t="s">
        <v>130</v>
      </c>
      <c r="E53" s="147">
        <v>1.56</v>
      </c>
      <c r="F53" s="148" t="s">
        <v>275</v>
      </c>
      <c r="G53" s="149">
        <v>0.6</v>
      </c>
      <c r="H53" s="147" t="s">
        <v>284</v>
      </c>
      <c r="I53" s="150">
        <v>1.03</v>
      </c>
      <c r="J53" s="104"/>
      <c r="K53" s="104"/>
      <c r="L53" s="104"/>
      <c r="M53" s="104"/>
      <c r="N53" s="104"/>
    </row>
    <row r="54" spans="1:14" x14ac:dyDescent="0.25">
      <c r="A54" s="145" t="s">
        <v>115</v>
      </c>
      <c r="B54" s="146" t="s">
        <v>132</v>
      </c>
      <c r="C54" s="147">
        <v>0.32600000000000001</v>
      </c>
      <c r="D54" s="147" t="s">
        <v>130</v>
      </c>
      <c r="E54" s="147">
        <v>1.56</v>
      </c>
      <c r="F54" s="148" t="s">
        <v>275</v>
      </c>
      <c r="G54" s="149">
        <v>0.6</v>
      </c>
      <c r="H54" s="147" t="s">
        <v>284</v>
      </c>
      <c r="I54" s="150">
        <v>1.03</v>
      </c>
      <c r="J54" s="104"/>
      <c r="K54" s="104"/>
      <c r="L54" s="104"/>
      <c r="M54" s="104"/>
      <c r="N54" s="104"/>
    </row>
    <row r="55" spans="1:14" x14ac:dyDescent="0.25">
      <c r="A55" s="145" t="s">
        <v>116</v>
      </c>
      <c r="B55" s="146" t="s">
        <v>132</v>
      </c>
      <c r="C55" s="147">
        <v>0.30499999999999999</v>
      </c>
      <c r="D55" s="147" t="s">
        <v>130</v>
      </c>
      <c r="E55" s="147">
        <v>1.56</v>
      </c>
      <c r="F55" s="148" t="s">
        <v>275</v>
      </c>
      <c r="G55" s="149">
        <v>0.6</v>
      </c>
      <c r="H55" s="147" t="s">
        <v>284</v>
      </c>
      <c r="I55" s="150">
        <v>1.03</v>
      </c>
      <c r="J55" s="104"/>
      <c r="K55" s="104"/>
      <c r="L55" s="104"/>
      <c r="M55" s="104"/>
      <c r="N55" s="104"/>
    </row>
    <row r="56" spans="1:14" x14ac:dyDescent="0.25">
      <c r="A56" s="145" t="s">
        <v>128</v>
      </c>
      <c r="B56" s="146" t="s">
        <v>132</v>
      </c>
      <c r="C56" s="147">
        <v>0.32300000000000001</v>
      </c>
      <c r="D56" s="147" t="s">
        <v>130</v>
      </c>
      <c r="E56" s="147">
        <v>1.56</v>
      </c>
      <c r="F56" s="148" t="s">
        <v>275</v>
      </c>
      <c r="G56" s="149">
        <v>0.6</v>
      </c>
      <c r="H56" s="147" t="s">
        <v>284</v>
      </c>
      <c r="I56" s="150">
        <v>1.03</v>
      </c>
      <c r="J56" s="104"/>
      <c r="K56" s="104"/>
      <c r="L56" s="104"/>
      <c r="M56" s="104"/>
      <c r="N56" s="104"/>
    </row>
    <row r="57" spans="1:14" x14ac:dyDescent="0.25">
      <c r="A57" s="145" t="s">
        <v>129</v>
      </c>
      <c r="B57" s="146" t="s">
        <v>132</v>
      </c>
      <c r="C57" s="147">
        <v>0.36699999999999999</v>
      </c>
      <c r="D57" s="147" t="s">
        <v>130</v>
      </c>
      <c r="E57" s="147">
        <v>1.56</v>
      </c>
      <c r="F57" s="148" t="s">
        <v>275</v>
      </c>
      <c r="G57" s="149">
        <v>0.6</v>
      </c>
      <c r="H57" s="147" t="s">
        <v>284</v>
      </c>
      <c r="I57" s="150">
        <v>1.03</v>
      </c>
      <c r="J57" s="104"/>
      <c r="K57" s="104"/>
      <c r="L57" s="104"/>
      <c r="M57" s="104"/>
      <c r="N57" s="104"/>
    </row>
    <row r="58" spans="1:14" x14ac:dyDescent="0.25">
      <c r="A58" s="145" t="s">
        <v>117</v>
      </c>
      <c r="B58" s="146" t="s">
        <v>132</v>
      </c>
      <c r="C58" s="147">
        <v>0.36</v>
      </c>
      <c r="D58" s="147" t="s">
        <v>130</v>
      </c>
      <c r="E58" s="147">
        <v>1.56</v>
      </c>
      <c r="F58" s="148" t="s">
        <v>275</v>
      </c>
      <c r="G58" s="149">
        <v>0.6</v>
      </c>
      <c r="H58" s="147" t="s">
        <v>284</v>
      </c>
      <c r="I58" s="150">
        <v>1.03</v>
      </c>
      <c r="J58" s="104"/>
      <c r="K58" s="104"/>
      <c r="L58" s="104"/>
      <c r="M58" s="104"/>
      <c r="N58" s="104"/>
    </row>
    <row r="59" spans="1:14" x14ac:dyDescent="0.25">
      <c r="A59" s="145" t="s">
        <v>118</v>
      </c>
      <c r="B59" s="146" t="s">
        <v>132</v>
      </c>
      <c r="C59" s="147">
        <v>0.36799999999999999</v>
      </c>
      <c r="D59" s="147" t="s">
        <v>130</v>
      </c>
      <c r="E59" s="147">
        <v>1.56</v>
      </c>
      <c r="F59" s="148" t="s">
        <v>275</v>
      </c>
      <c r="G59" s="149">
        <v>0.6</v>
      </c>
      <c r="H59" s="147" t="s">
        <v>284</v>
      </c>
      <c r="I59" s="150">
        <v>1.03</v>
      </c>
      <c r="J59" s="104"/>
      <c r="K59" s="104"/>
      <c r="L59" s="104"/>
      <c r="M59" s="104"/>
      <c r="N59" s="104"/>
    </row>
    <row r="60" spans="1:14" x14ac:dyDescent="0.25">
      <c r="A60" s="145" t="s">
        <v>119</v>
      </c>
      <c r="B60" s="146" t="s">
        <v>132</v>
      </c>
      <c r="C60" s="147">
        <v>0.30599999999999999</v>
      </c>
      <c r="D60" s="147" t="s">
        <v>130</v>
      </c>
      <c r="E60" s="147">
        <v>1.56</v>
      </c>
      <c r="F60" s="148" t="s">
        <v>275</v>
      </c>
      <c r="G60" s="149">
        <v>0.6</v>
      </c>
      <c r="H60" s="147" t="s">
        <v>284</v>
      </c>
      <c r="I60" s="150">
        <v>1.03</v>
      </c>
      <c r="J60" s="104"/>
      <c r="K60" s="104"/>
      <c r="L60" s="104"/>
      <c r="M60" s="104"/>
      <c r="N60" s="104"/>
    </row>
    <row r="61" spans="1:14" x14ac:dyDescent="0.25">
      <c r="A61" s="145" t="s">
        <v>120</v>
      </c>
      <c r="B61" s="146" t="s">
        <v>132</v>
      </c>
      <c r="C61" s="147">
        <v>0.313</v>
      </c>
      <c r="D61" s="147" t="s">
        <v>130</v>
      </c>
      <c r="E61" s="147">
        <v>1.56</v>
      </c>
      <c r="F61" s="148" t="s">
        <v>275</v>
      </c>
      <c r="G61" s="149">
        <v>0.6</v>
      </c>
      <c r="H61" s="147" t="s">
        <v>284</v>
      </c>
      <c r="I61" s="150">
        <v>1.03</v>
      </c>
      <c r="J61" s="104"/>
      <c r="K61" s="104"/>
      <c r="L61" s="104"/>
      <c r="M61" s="104"/>
      <c r="N61" s="104"/>
    </row>
    <row r="62" spans="1:14" x14ac:dyDescent="0.25">
      <c r="A62" s="145" t="s">
        <v>32</v>
      </c>
      <c r="B62" s="146" t="s">
        <v>133</v>
      </c>
      <c r="C62" s="147">
        <v>0.37</v>
      </c>
      <c r="D62" s="147" t="s">
        <v>161</v>
      </c>
      <c r="E62" s="147">
        <v>1.56</v>
      </c>
      <c r="F62" s="148" t="s">
        <v>275</v>
      </c>
      <c r="G62" s="149">
        <v>0.6</v>
      </c>
      <c r="H62" s="147" t="s">
        <v>284</v>
      </c>
      <c r="I62" s="150">
        <v>1.03</v>
      </c>
      <c r="J62" s="104"/>
      <c r="K62" s="104"/>
      <c r="L62" s="104"/>
      <c r="M62" s="104"/>
      <c r="N62" s="104"/>
    </row>
    <row r="63" spans="1:14" x14ac:dyDescent="0.25">
      <c r="A63" s="145" t="s">
        <v>90</v>
      </c>
      <c r="B63" s="146" t="s">
        <v>83</v>
      </c>
      <c r="C63" s="147">
        <v>0.45</v>
      </c>
      <c r="D63" s="147" t="s">
        <v>161</v>
      </c>
      <c r="E63" s="147">
        <v>1.3</v>
      </c>
      <c r="F63" s="148" t="s">
        <v>275</v>
      </c>
      <c r="G63" s="149">
        <v>0.45</v>
      </c>
      <c r="H63" s="147" t="s">
        <v>277</v>
      </c>
      <c r="I63" s="150">
        <v>0.43</v>
      </c>
      <c r="J63" s="104"/>
      <c r="K63" s="104"/>
      <c r="L63" s="104"/>
      <c r="M63" s="104"/>
      <c r="N63" s="104"/>
    </row>
    <row r="64" spans="1:14" x14ac:dyDescent="0.25">
      <c r="A64" s="145" t="s">
        <v>33</v>
      </c>
      <c r="B64" s="146" t="s">
        <v>134</v>
      </c>
      <c r="C64" s="147">
        <v>0.39</v>
      </c>
      <c r="D64" s="147" t="s">
        <v>161</v>
      </c>
      <c r="E64" s="147">
        <v>1.3</v>
      </c>
      <c r="F64" s="148" t="s">
        <v>275</v>
      </c>
      <c r="G64" s="149">
        <v>0.45</v>
      </c>
      <c r="H64" s="147" t="s">
        <v>277</v>
      </c>
      <c r="I64" s="150">
        <v>0.43</v>
      </c>
      <c r="J64" s="104"/>
      <c r="K64" s="104"/>
      <c r="L64" s="104"/>
      <c r="M64" s="104"/>
      <c r="N64" s="104"/>
    </row>
    <row r="65" spans="1:14" x14ac:dyDescent="0.25">
      <c r="A65" s="145" t="s">
        <v>34</v>
      </c>
      <c r="B65" s="146" t="s">
        <v>135</v>
      </c>
      <c r="C65" s="147">
        <v>0.44</v>
      </c>
      <c r="D65" s="147" t="s">
        <v>161</v>
      </c>
      <c r="E65" s="147">
        <v>1.3</v>
      </c>
      <c r="F65" s="148" t="s">
        <v>275</v>
      </c>
      <c r="G65" s="149">
        <v>0.45</v>
      </c>
      <c r="H65" s="147" t="s">
        <v>277</v>
      </c>
      <c r="I65" s="150">
        <v>0.43</v>
      </c>
      <c r="J65" s="104"/>
      <c r="K65" s="104"/>
      <c r="L65" s="104"/>
      <c r="M65" s="104"/>
      <c r="N65" s="104"/>
    </row>
    <row r="66" spans="1:14" x14ac:dyDescent="0.25">
      <c r="A66" s="145" t="s">
        <v>35</v>
      </c>
      <c r="B66" s="146" t="s">
        <v>84</v>
      </c>
      <c r="C66" s="147">
        <v>0.46</v>
      </c>
      <c r="D66" s="147" t="s">
        <v>161</v>
      </c>
      <c r="E66" s="147">
        <v>1.3</v>
      </c>
      <c r="F66" s="148" t="s">
        <v>275</v>
      </c>
      <c r="G66" s="149">
        <v>0.45</v>
      </c>
      <c r="H66" s="147" t="s">
        <v>277</v>
      </c>
      <c r="I66" s="150">
        <v>0.43</v>
      </c>
      <c r="J66" s="104"/>
      <c r="K66" s="104"/>
      <c r="L66" s="104"/>
      <c r="M66" s="104"/>
      <c r="N66" s="104"/>
    </row>
    <row r="67" spans="1:14" x14ac:dyDescent="0.25">
      <c r="A67" s="145" t="s">
        <v>36</v>
      </c>
      <c r="B67" s="146" t="s">
        <v>85</v>
      </c>
      <c r="C67" s="147">
        <v>0.46</v>
      </c>
      <c r="D67" s="147" t="s">
        <v>161</v>
      </c>
      <c r="E67" s="147">
        <v>1.3</v>
      </c>
      <c r="F67" s="148" t="s">
        <v>275</v>
      </c>
      <c r="G67" s="149">
        <v>0.45</v>
      </c>
      <c r="H67" s="147" t="s">
        <v>152</v>
      </c>
      <c r="I67" s="150">
        <v>0.59</v>
      </c>
      <c r="J67" s="104"/>
      <c r="K67" s="104"/>
      <c r="L67" s="104"/>
      <c r="M67" s="104"/>
      <c r="N67" s="104"/>
    </row>
    <row r="68" spans="1:14" x14ac:dyDescent="0.25">
      <c r="A68" s="145" t="s">
        <v>37</v>
      </c>
      <c r="B68" s="146" t="s">
        <v>136</v>
      </c>
      <c r="C68" s="147">
        <v>0.44</v>
      </c>
      <c r="D68" s="147" t="s">
        <v>161</v>
      </c>
      <c r="E68" s="147">
        <v>1.3</v>
      </c>
      <c r="F68" s="148" t="s">
        <v>275</v>
      </c>
      <c r="G68" s="149">
        <v>0.45</v>
      </c>
      <c r="H68" s="147" t="s">
        <v>277</v>
      </c>
      <c r="I68" s="150">
        <v>0.43</v>
      </c>
      <c r="J68" s="104"/>
      <c r="K68" s="104"/>
      <c r="L68" s="104"/>
      <c r="M68" s="104"/>
      <c r="N68" s="104"/>
    </row>
    <row r="69" spans="1:14" x14ac:dyDescent="0.25">
      <c r="A69" s="145" t="s">
        <v>38</v>
      </c>
      <c r="B69" s="146" t="s">
        <v>86</v>
      </c>
      <c r="C69" s="147">
        <v>0.46</v>
      </c>
      <c r="D69" s="147" t="s">
        <v>161</v>
      </c>
      <c r="E69" s="147">
        <v>1.3</v>
      </c>
      <c r="F69" s="148" t="s">
        <v>275</v>
      </c>
      <c r="G69" s="149">
        <v>0.45</v>
      </c>
      <c r="H69" s="147" t="s">
        <v>277</v>
      </c>
      <c r="I69" s="150">
        <v>0.43</v>
      </c>
      <c r="J69" s="104"/>
      <c r="K69" s="104"/>
      <c r="L69" s="104"/>
      <c r="M69" s="104"/>
      <c r="N69" s="104"/>
    </row>
    <row r="70" spans="1:14" x14ac:dyDescent="0.25">
      <c r="A70" s="145" t="s">
        <v>39</v>
      </c>
      <c r="B70" s="146" t="s">
        <v>137</v>
      </c>
      <c r="C70" s="147">
        <v>0.48</v>
      </c>
      <c r="D70" s="147" t="s">
        <v>161</v>
      </c>
      <c r="E70" s="147">
        <v>2.4</v>
      </c>
      <c r="F70" s="147" t="s">
        <v>285</v>
      </c>
      <c r="G70" s="149">
        <v>0.45</v>
      </c>
      <c r="H70" s="147" t="s">
        <v>277</v>
      </c>
      <c r="I70" s="150">
        <v>0.43</v>
      </c>
      <c r="J70" s="104"/>
      <c r="K70" s="104"/>
      <c r="L70" s="104"/>
      <c r="M70" s="104"/>
      <c r="N70" s="104"/>
    </row>
    <row r="71" spans="1:14" x14ac:dyDescent="0.25">
      <c r="A71" s="145" t="s">
        <v>40</v>
      </c>
      <c r="B71" s="146" t="s">
        <v>87</v>
      </c>
      <c r="C71" s="147">
        <v>0.46</v>
      </c>
      <c r="D71" s="147" t="s">
        <v>150</v>
      </c>
      <c r="E71" s="147">
        <v>1.3</v>
      </c>
      <c r="F71" s="148" t="s">
        <v>275</v>
      </c>
      <c r="G71" s="149">
        <v>0.45</v>
      </c>
      <c r="H71" s="147" t="s">
        <v>277</v>
      </c>
      <c r="I71" s="150">
        <v>0.43</v>
      </c>
      <c r="J71" s="104"/>
      <c r="K71" s="104"/>
      <c r="L71" s="104"/>
      <c r="M71" s="104"/>
      <c r="N71" s="104"/>
    </row>
    <row r="72" spans="1:14" x14ac:dyDescent="0.25">
      <c r="A72" s="145" t="s">
        <v>41</v>
      </c>
      <c r="B72" s="146" t="s">
        <v>88</v>
      </c>
      <c r="C72" s="147">
        <v>0.44</v>
      </c>
      <c r="D72" s="147" t="s">
        <v>161</v>
      </c>
      <c r="E72" s="147">
        <v>1.3</v>
      </c>
      <c r="F72" s="148" t="s">
        <v>275</v>
      </c>
      <c r="G72" s="149">
        <v>0.45</v>
      </c>
      <c r="H72" s="147" t="s">
        <v>277</v>
      </c>
      <c r="I72" s="150">
        <v>0.43</v>
      </c>
      <c r="J72" s="104"/>
      <c r="K72" s="104"/>
      <c r="L72" s="104"/>
      <c r="M72" s="104"/>
      <c r="N72" s="104"/>
    </row>
    <row r="73" spans="1:14" x14ac:dyDescent="0.25">
      <c r="A73" s="145" t="s">
        <v>138</v>
      </c>
      <c r="B73" s="146" t="s">
        <v>140</v>
      </c>
      <c r="C73" s="147">
        <v>0.46</v>
      </c>
      <c r="D73" s="147" t="s">
        <v>151</v>
      </c>
      <c r="E73" s="147">
        <v>1.3</v>
      </c>
      <c r="F73" s="148" t="s">
        <v>275</v>
      </c>
      <c r="G73" s="149">
        <v>0.45</v>
      </c>
      <c r="H73" s="147" t="s">
        <v>277</v>
      </c>
      <c r="I73" s="150">
        <v>0.43</v>
      </c>
      <c r="J73" s="104"/>
      <c r="K73" s="104"/>
      <c r="L73" s="104"/>
      <c r="M73" s="104"/>
      <c r="N73" s="104"/>
    </row>
    <row r="74" spans="1:14" x14ac:dyDescent="0.25">
      <c r="A74" s="145" t="s">
        <v>42</v>
      </c>
      <c r="B74" s="146" t="s">
        <v>139</v>
      </c>
      <c r="C74" s="147">
        <v>0.34</v>
      </c>
      <c r="D74" s="147" t="s">
        <v>161</v>
      </c>
      <c r="E74" s="147">
        <v>1.3</v>
      </c>
      <c r="F74" s="148" t="s">
        <v>275</v>
      </c>
      <c r="G74" s="149">
        <v>0.45</v>
      </c>
      <c r="H74" s="147" t="s">
        <v>277</v>
      </c>
      <c r="I74" s="150">
        <v>0.43</v>
      </c>
      <c r="J74" s="104"/>
      <c r="K74" s="104"/>
      <c r="L74" s="104"/>
      <c r="M74" s="104"/>
      <c r="N74" s="104"/>
    </row>
    <row r="75" spans="1:14" x14ac:dyDescent="0.25">
      <c r="A75" s="145" t="s">
        <v>43</v>
      </c>
      <c r="B75" s="146" t="s">
        <v>162</v>
      </c>
      <c r="C75" s="147">
        <v>0.5</v>
      </c>
      <c r="D75" s="147" t="s">
        <v>161</v>
      </c>
      <c r="E75" s="147">
        <v>1.56</v>
      </c>
      <c r="F75" s="148" t="s">
        <v>275</v>
      </c>
      <c r="G75" s="149">
        <v>0.53</v>
      </c>
      <c r="H75" s="147" t="s">
        <v>276</v>
      </c>
      <c r="I75" s="150">
        <v>0.25</v>
      </c>
      <c r="J75" s="104"/>
      <c r="K75" s="104"/>
      <c r="L75" s="104"/>
      <c r="M75" s="104"/>
      <c r="N75" s="104"/>
    </row>
    <row r="76" spans="1:14" x14ac:dyDescent="0.25">
      <c r="A76" s="145" t="s">
        <v>44</v>
      </c>
      <c r="B76" s="146" t="s">
        <v>89</v>
      </c>
      <c r="C76" s="147">
        <v>0.57999999999999996</v>
      </c>
      <c r="D76" s="147" t="s">
        <v>161</v>
      </c>
      <c r="E76" s="147">
        <v>1.56</v>
      </c>
      <c r="F76" s="148" t="s">
        <v>275</v>
      </c>
      <c r="G76" s="149">
        <v>0.3</v>
      </c>
      <c r="H76" s="147" t="s">
        <v>278</v>
      </c>
      <c r="I76" s="150">
        <v>0.25</v>
      </c>
      <c r="J76" s="104"/>
      <c r="K76" s="104"/>
      <c r="L76" s="104"/>
      <c r="M76" s="104"/>
      <c r="N76" s="104"/>
    </row>
    <row r="77" spans="1:14" x14ac:dyDescent="0.25">
      <c r="A77" s="145" t="s">
        <v>47</v>
      </c>
      <c r="B77" s="146" t="s">
        <v>141</v>
      </c>
      <c r="C77" s="147">
        <v>0.37</v>
      </c>
      <c r="D77" s="147" t="s">
        <v>161</v>
      </c>
      <c r="E77" s="147">
        <v>1.3</v>
      </c>
      <c r="F77" s="148" t="s">
        <v>275</v>
      </c>
      <c r="G77" s="149">
        <v>0.55000000000000004</v>
      </c>
      <c r="H77" s="147" t="s">
        <v>152</v>
      </c>
      <c r="I77" s="150">
        <v>0.43</v>
      </c>
      <c r="J77" s="104"/>
      <c r="K77" s="104"/>
      <c r="L77" s="104"/>
      <c r="M77" s="104"/>
      <c r="N77" s="104"/>
    </row>
    <row r="78" spans="1:14" x14ac:dyDescent="0.25">
      <c r="A78" s="145" t="s">
        <v>45</v>
      </c>
      <c r="B78" s="146" t="s">
        <v>96</v>
      </c>
      <c r="C78" s="147">
        <v>0.37</v>
      </c>
      <c r="D78" s="147" t="s">
        <v>161</v>
      </c>
      <c r="E78" s="147">
        <v>1.3</v>
      </c>
      <c r="F78" s="148" t="s">
        <v>275</v>
      </c>
      <c r="G78" s="149">
        <v>0.55000000000000004</v>
      </c>
      <c r="H78" s="147" t="s">
        <v>152</v>
      </c>
      <c r="I78" s="150">
        <v>0.43</v>
      </c>
      <c r="J78" s="104"/>
      <c r="K78" s="104"/>
      <c r="L78" s="104"/>
      <c r="M78" s="104"/>
      <c r="N78" s="104"/>
    </row>
    <row r="79" spans="1:14" x14ac:dyDescent="0.25">
      <c r="A79" s="145" t="s">
        <v>46</v>
      </c>
      <c r="B79" s="146" t="s">
        <v>95</v>
      </c>
      <c r="C79" s="147">
        <v>0.38</v>
      </c>
      <c r="D79" s="147" t="s">
        <v>161</v>
      </c>
      <c r="E79" s="147">
        <v>1.3</v>
      </c>
      <c r="F79" s="148" t="s">
        <v>275</v>
      </c>
      <c r="G79" s="149">
        <v>0.55000000000000004</v>
      </c>
      <c r="H79" s="147" t="s">
        <v>153</v>
      </c>
      <c r="I79" s="150">
        <v>0.43</v>
      </c>
      <c r="J79" s="104"/>
      <c r="K79" s="104"/>
      <c r="L79" s="104"/>
      <c r="M79" s="104"/>
      <c r="N79" s="104"/>
    </row>
    <row r="80" spans="1:14" x14ac:dyDescent="0.25">
      <c r="A80" s="145" t="s">
        <v>48</v>
      </c>
      <c r="B80" s="146" t="s">
        <v>94</v>
      </c>
      <c r="C80" s="147">
        <v>0.36</v>
      </c>
      <c r="D80" s="147" t="s">
        <v>161</v>
      </c>
      <c r="E80" s="147">
        <v>1.3</v>
      </c>
      <c r="F80" s="148" t="s">
        <v>275</v>
      </c>
      <c r="G80" s="149">
        <v>0.55000000000000004</v>
      </c>
      <c r="H80" s="147" t="s">
        <v>153</v>
      </c>
      <c r="I80" s="150">
        <v>0.43</v>
      </c>
      <c r="J80" s="104"/>
      <c r="K80" s="104"/>
      <c r="L80" s="104"/>
      <c r="M80" s="104"/>
      <c r="N80" s="104"/>
    </row>
    <row r="81" spans="1:14" x14ac:dyDescent="0.25">
      <c r="A81" s="145" t="s">
        <v>49</v>
      </c>
      <c r="B81" s="146" t="s">
        <v>142</v>
      </c>
      <c r="C81" s="147">
        <v>0.37</v>
      </c>
      <c r="D81" s="147" t="s">
        <v>161</v>
      </c>
      <c r="E81" s="147">
        <v>1.56</v>
      </c>
      <c r="F81" s="148" t="s">
        <v>275</v>
      </c>
      <c r="G81" s="149">
        <v>0.43</v>
      </c>
      <c r="H81" s="147" t="s">
        <v>279</v>
      </c>
      <c r="I81" s="150">
        <v>0.25</v>
      </c>
      <c r="J81" s="104"/>
      <c r="K81" s="104"/>
      <c r="L81" s="104"/>
      <c r="M81" s="104"/>
      <c r="N81" s="104"/>
    </row>
    <row r="82" spans="1:14" x14ac:dyDescent="0.25">
      <c r="A82" s="145" t="s">
        <v>158</v>
      </c>
      <c r="B82" s="146" t="s">
        <v>159</v>
      </c>
      <c r="C82" s="147">
        <v>0.35</v>
      </c>
      <c r="D82" s="147" t="s">
        <v>160</v>
      </c>
      <c r="E82" s="147">
        <v>1.3</v>
      </c>
      <c r="F82" s="148" t="s">
        <v>275</v>
      </c>
      <c r="G82" s="149">
        <v>0.55000000000000004</v>
      </c>
      <c r="H82" s="147" t="s">
        <v>153</v>
      </c>
      <c r="I82" s="150">
        <v>0.43</v>
      </c>
      <c r="J82" s="104"/>
      <c r="K82" s="104"/>
      <c r="L82" s="104"/>
      <c r="M82" s="104"/>
      <c r="N82" s="104"/>
    </row>
    <row r="83" spans="1:14" x14ac:dyDescent="0.25">
      <c r="A83" s="145" t="s">
        <v>156</v>
      </c>
      <c r="B83" s="146" t="s">
        <v>157</v>
      </c>
      <c r="C83" s="147">
        <v>0.34</v>
      </c>
      <c r="D83" s="147" t="s">
        <v>161</v>
      </c>
      <c r="E83" s="147">
        <v>1.3</v>
      </c>
      <c r="F83" s="148" t="s">
        <v>275</v>
      </c>
      <c r="G83" s="149">
        <v>0.55000000000000004</v>
      </c>
      <c r="H83" s="147" t="s">
        <v>153</v>
      </c>
      <c r="I83" s="150">
        <v>0.43</v>
      </c>
      <c r="J83" s="104"/>
      <c r="K83" s="104"/>
      <c r="L83" s="104"/>
      <c r="M83" s="104"/>
      <c r="N83" s="104"/>
    </row>
    <row r="84" spans="1:14" x14ac:dyDescent="0.25">
      <c r="A84" s="145" t="s">
        <v>92</v>
      </c>
      <c r="B84" s="146" t="s">
        <v>93</v>
      </c>
      <c r="C84" s="147">
        <v>0.31</v>
      </c>
      <c r="D84" s="147" t="s">
        <v>161</v>
      </c>
      <c r="E84" s="147">
        <v>1.3</v>
      </c>
      <c r="F84" s="148" t="s">
        <v>275</v>
      </c>
      <c r="G84" s="149">
        <v>0.55000000000000004</v>
      </c>
      <c r="H84" s="147" t="s">
        <v>153</v>
      </c>
      <c r="I84" s="150">
        <v>0.43</v>
      </c>
      <c r="J84" s="104"/>
      <c r="K84" s="104"/>
      <c r="L84" s="104"/>
      <c r="M84" s="104"/>
      <c r="N84" s="104"/>
    </row>
    <row r="85" spans="1:14" x14ac:dyDescent="0.25">
      <c r="A85" s="145" t="s">
        <v>50</v>
      </c>
      <c r="B85" s="146" t="s">
        <v>143</v>
      </c>
      <c r="C85" s="147">
        <v>0.43</v>
      </c>
      <c r="D85" s="147" t="s">
        <v>161</v>
      </c>
      <c r="E85" s="147">
        <v>1.56</v>
      </c>
      <c r="F85" s="148" t="s">
        <v>275</v>
      </c>
      <c r="G85" s="149">
        <v>0.53</v>
      </c>
      <c r="H85" s="147" t="s">
        <v>276</v>
      </c>
      <c r="I85" s="150">
        <v>0.25</v>
      </c>
      <c r="J85" s="104"/>
      <c r="K85" s="104"/>
      <c r="L85" s="104"/>
      <c r="M85" s="104"/>
      <c r="N85" s="104"/>
    </row>
    <row r="86" spans="1:14" x14ac:dyDescent="0.25">
      <c r="A86" s="145" t="s">
        <v>51</v>
      </c>
      <c r="B86" s="146" t="s">
        <v>91</v>
      </c>
      <c r="C86" s="147">
        <v>0.38</v>
      </c>
      <c r="D86" s="147" t="s">
        <v>161</v>
      </c>
      <c r="E86" s="147">
        <v>1.56</v>
      </c>
      <c r="F86" s="148" t="s">
        <v>275</v>
      </c>
      <c r="G86" s="149">
        <v>0.6</v>
      </c>
      <c r="H86" s="147" t="s">
        <v>280</v>
      </c>
      <c r="I86" s="150">
        <v>0.25</v>
      </c>
      <c r="J86" s="104"/>
      <c r="K86" s="104"/>
      <c r="L86" s="104"/>
      <c r="M86" s="104"/>
      <c r="N86" s="104"/>
    </row>
    <row r="87" spans="1:14" x14ac:dyDescent="0.25">
      <c r="A87" s="145" t="s">
        <v>148</v>
      </c>
      <c r="B87" s="153"/>
      <c r="C87" s="147">
        <v>0.42</v>
      </c>
      <c r="D87" s="147" t="s">
        <v>161</v>
      </c>
      <c r="E87" s="147">
        <v>1.3</v>
      </c>
      <c r="F87" s="148" t="s">
        <v>275</v>
      </c>
      <c r="G87" s="154"/>
      <c r="H87" s="153"/>
      <c r="I87" s="155"/>
    </row>
    <row r="88" spans="1:14" ht="15.75" thickBot="1" x14ac:dyDescent="0.3">
      <c r="A88" s="156" t="s">
        <v>149</v>
      </c>
      <c r="B88" s="157"/>
      <c r="C88" s="158">
        <v>0.56999999999999995</v>
      </c>
      <c r="D88" s="159" t="s">
        <v>161</v>
      </c>
      <c r="E88" s="158">
        <v>1.56</v>
      </c>
      <c r="F88" s="158" t="s">
        <v>275</v>
      </c>
      <c r="G88" s="157"/>
      <c r="H88" s="157"/>
      <c r="I88" s="160"/>
    </row>
    <row r="92" spans="1:14" x14ac:dyDescent="0.25">
      <c r="A92" s="145" t="s">
        <v>208</v>
      </c>
    </row>
    <row r="93" spans="1:14" x14ac:dyDescent="0.25">
      <c r="A93" s="145" t="s">
        <v>209</v>
      </c>
    </row>
    <row r="94" spans="1:14" x14ac:dyDescent="0.25">
      <c r="A94" s="145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4" workbookViewId="0">
      <selection activeCell="K16" sqref="K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262" t="s">
        <v>272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61" t="s">
        <v>207</v>
      </c>
      <c r="B5" s="162" t="s">
        <v>250</v>
      </c>
      <c r="C5" s="163" t="str">
        <f>Calculateur!S2</f>
        <v>Stock moyen de long terme (tCO₂/ha)</v>
      </c>
      <c r="D5" s="163" t="str">
        <f>Calculateur!T2</f>
        <v>Δstock CO₂ 30 ans (tCO₂/ha)</v>
      </c>
      <c r="E5" s="163" t="s">
        <v>228</v>
      </c>
      <c r="F5" s="163" t="s">
        <v>239</v>
      </c>
      <c r="G5" s="163" t="s">
        <v>240</v>
      </c>
      <c r="H5" s="164" t="s">
        <v>241</v>
      </c>
      <c r="I5" s="165" t="s">
        <v>242</v>
      </c>
      <c r="J5" s="166" t="s">
        <v>243</v>
      </c>
      <c r="K5" s="167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68" t="str">
        <f>IF('Données projet'!$B$9="","",'Données projet'!$B$9)</f>
        <v>Cèdre de l'Atlas</v>
      </c>
      <c r="B6" s="169">
        <f>'Données projet'!D9</f>
        <v>1.9707430199999998</v>
      </c>
      <c r="C6" s="170">
        <f ca="1">IF(OR('Données projet'!B9="",'Données projet'!C9="",'Données projet'!C9=0%),0,Calculateur!S3)</f>
        <v>300.03481708703549</v>
      </c>
      <c r="D6" s="170">
        <f>IF(OR('Données projet'!B9="",'Données projet'!C9="",'Données projet'!C9=0%),0,Calculateur!T3)</f>
        <v>102.6350860969182</v>
      </c>
      <c r="E6" s="170">
        <f ca="1">MIN(C6,D6)</f>
        <v>102.6350860969182</v>
      </c>
      <c r="F6" s="170">
        <f ca="1">E6*B6</f>
        <v>202.26737953260056</v>
      </c>
      <c r="G6" s="170">
        <f ca="1">F6*(100%-'Données projet'!$C$24)*(100%-'Données projet'!$C$25)*(100%-'Données projet'!$C$26)*(100%-'Données projet'!$C$27)</f>
        <v>182.0406415793405</v>
      </c>
      <c r="H6" s="171">
        <f>IF(OR('Données projet'!B9="",'Données projet'!C9="",'Données projet'!C9=0%),0,AVERAGE(Calculateur!$AC$3:$AC$33)*B6)</f>
        <v>0</v>
      </c>
      <c r="I6" s="172">
        <f>H6*(100%-'Données projet'!$C$24)*(100%-'Données projet'!$C$25)*(100%-'Données projet'!$C$26)*(100%-'Données projet'!$C$27)</f>
        <v>0</v>
      </c>
      <c r="J6" s="173">
        <f>IF(OR('Données projet'!B9="",'Données projet'!C9="",'Données projet'!C9=0%),0,SUM(Calculateur!$V$3:$V$33)*VLOOKUP('Données projet'!$B$9,Paramètres!$A$1:$I$88,9,0)*B6)</f>
        <v>0</v>
      </c>
      <c r="K6" s="174">
        <f>J6*(100%-'Données projet'!$C$24)*(100%-'Données projet'!$C$25)*(100%-'Données projet'!$C$26)*(100%-'Données projet'!$C$27)</f>
        <v>0</v>
      </c>
      <c r="L6" s="175">
        <f ca="1">G6+I6+K6</f>
        <v>182.0406415793405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76" t="str">
        <f>IF('Données projet'!$B$10="","",'Données projet'!$B$10)</f>
        <v>Douglas</v>
      </c>
      <c r="B7" s="177">
        <f>'Données projet'!D10</f>
        <v>1.11011836</v>
      </c>
      <c r="C7" s="170">
        <f ca="1">IF(OR('Données projet'!B10="",'Données projet'!C10="",'Données projet'!C10=0%),0,Calculateur!AN3)</f>
        <v>328.27336939084597</v>
      </c>
      <c r="D7" s="170">
        <f>IF(OR('Données projet'!B10="",'Données projet'!C10="",'Données projet'!C10=0%),0,Calculateur!AO3)</f>
        <v>448.79354389108755</v>
      </c>
      <c r="E7" s="170">
        <f t="shared" ref="E7:E15" ca="1" si="0">MIN(C7,D7)</f>
        <v>328.27336939084597</v>
      </c>
      <c r="F7" s="170">
        <f t="shared" ref="F7:F15" ca="1" si="1">E7*B7</f>
        <v>364.42229445984015</v>
      </c>
      <c r="G7" s="170">
        <f ca="1">F7*(100%-'Données projet'!$C$24)*(100%-'Données projet'!$C$25)*(100%-'Données projet'!$C$26)*(100%-'Données projet'!$C$27)</f>
        <v>327.98006501385612</v>
      </c>
      <c r="H7" s="178">
        <f>IF(OR('Données projet'!B10="",'Données projet'!C10="",'Données projet'!C10=0%),0,AVERAGE(Calculateur!$AX$3:$AX$33)*B7)</f>
        <v>6.0646867691299713</v>
      </c>
      <c r="I7" s="172">
        <f>H7*(100%-'Données projet'!$C$24)*(100%-'Données projet'!$C$25)*(100%-'Données projet'!$C$26)*(100%-'Données projet'!$C$27)</f>
        <v>5.4582180922169741</v>
      </c>
      <c r="J7" s="173">
        <f>IF(OR('Données projet'!B10="",'Données projet'!C10="",'Données projet'!C10=0%),0,SUM(Calculateur!$AQ$3:$AQ$33)*VLOOKUP('Données projet'!$B$10,Paramètres!$A$1:$I$88,9,0)*B7)</f>
        <v>99.28898611839999</v>
      </c>
      <c r="K7" s="174">
        <f>J7*(100%-'Données projet'!$C$24)*(100%-'Données projet'!$C$25)*(100%-'Données projet'!$C$26)*(100%-'Données projet'!$C$27)</f>
        <v>89.360087506559992</v>
      </c>
      <c r="L7" s="175">
        <f t="shared" ref="L7:L15" ca="1" si="2">G7+I7+K7</f>
        <v>422.79837061263305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76" t="str">
        <f>IF('Données projet'!$B$11="","",'Données projet'!$B$11)</f>
        <v>Chêne rouge d'Amérique</v>
      </c>
      <c r="B8" s="177">
        <f>'Données projet'!D11</f>
        <v>0.64405383999999999</v>
      </c>
      <c r="C8" s="170">
        <f ca="1">IF(OR('Données projet'!B11="",'Données projet'!C11="",'Données projet'!C11=0%),0,Calculateur!BI3)</f>
        <v>348.65374983303883</v>
      </c>
      <c r="D8" s="170">
        <f>IF(OR('Données projet'!B11="",'Données projet'!C11="",'Données projet'!C11=0%),0,Calculateur!BJ3)</f>
        <v>312.05848669315151</v>
      </c>
      <c r="E8" s="170">
        <f t="shared" ca="1" si="0"/>
        <v>312.05848669315151</v>
      </c>
      <c r="F8" s="170">
        <f t="shared" ca="1" si="1"/>
        <v>200.98246665931313</v>
      </c>
      <c r="G8" s="170">
        <f ca="1">F8*(100%-'Données projet'!$C$24)*(100%-'Données projet'!$C$25)*(100%-'Données projet'!$C$26)*(100%-'Données projet'!$C$27)</f>
        <v>180.88421999338183</v>
      </c>
      <c r="H8" s="178">
        <f>IF(OR('Données projet'!B11="",'Données projet'!C11="",'Données projet'!C11=0%),0,AVERAGE(Calculateur!$BS$3:$BS$33)*B8)</f>
        <v>0</v>
      </c>
      <c r="I8" s="172">
        <f>H8*(100%-'Données projet'!$C$24)*(100%-'Données projet'!$C$25)*(100%-'Données projet'!$C$26)*(100%-'Données projet'!$C$27)</f>
        <v>0</v>
      </c>
      <c r="J8" s="173">
        <f>IF(OR('Données projet'!B11="",'Données projet'!C11="",'Données projet'!C11=0%),0,SUM(Calculateur!$BL$3:$BL$33)*VLOOKUP('Données projet'!$B$11,Paramètres!$A$1:$I$88,9,0)*B8)</f>
        <v>16.101345999999999</v>
      </c>
      <c r="K8" s="174">
        <f>J8*(100%-'Données projet'!$C$24)*(100%-'Données projet'!$C$25)*(100%-'Données projet'!$C$26)*(100%-'Données projet'!$C$27)</f>
        <v>14.491211399999999</v>
      </c>
      <c r="L8" s="175">
        <f t="shared" ca="1" si="2"/>
        <v>195.37543139338183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76" t="str">
        <f>IF('Données projet'!$B$12="","",'Données projet'!$B$12)</f>
        <v>Châtaignier</v>
      </c>
      <c r="B9" s="177">
        <f>'Données projet'!D12</f>
        <v>0.64405383999999999</v>
      </c>
      <c r="C9" s="170">
        <f ca="1">IF(OR('Données projet'!B12="",'Données projet'!C12="",'Données projet'!C12=0%),0,Calculateur!CD3)</f>
        <v>264.06656596707364</v>
      </c>
      <c r="D9" s="170">
        <f>IF(OR('Données projet'!B12="",'Données projet'!C12="",'Données projet'!C12=0%),0,Calculateur!CE3)</f>
        <v>315.34415130230195</v>
      </c>
      <c r="E9" s="170">
        <f t="shared" ca="1" si="0"/>
        <v>264.06656596707364</v>
      </c>
      <c r="F9" s="170">
        <f t="shared" ca="1" si="1"/>
        <v>170.07308582670709</v>
      </c>
      <c r="G9" s="170">
        <f ca="1">F9*(100%-'Données projet'!$C$24)*(100%-'Données projet'!$C$25)*(100%-'Données projet'!$C$26)*(100%-'Données projet'!$C$27)</f>
        <v>153.06577724403638</v>
      </c>
      <c r="H9" s="178">
        <f>IF(OR('Données projet'!B12="",'Données projet'!C12="",'Données projet'!C12=0%),0,AVERAGE(Calculateur!$CN$3:$CN$33)*B9)</f>
        <v>0</v>
      </c>
      <c r="I9" s="172">
        <f>H9*(100%-'Données projet'!$C$24)*(100%-'Données projet'!$C$25)*(100%-'Données projet'!$C$26)*(100%-'Données projet'!$C$27)</f>
        <v>0</v>
      </c>
      <c r="J9" s="173">
        <f>IF(OR('Données projet'!B12="",'Données projet'!C12="",'Données projet'!C12=0%),0,SUM(Calculateur!$CG$3:$CG$33)*VLOOKUP('Données projet'!$B$12,Paramètres!$A$1:$I$88,9,0)*B9)</f>
        <v>21.978337289999999</v>
      </c>
      <c r="K9" s="174">
        <f>J9*(100%-'Données projet'!$C$24)*(100%-'Données projet'!$C$25)*(100%-'Données projet'!$C$26)*(100%-'Données projet'!$C$27)</f>
        <v>19.780503561</v>
      </c>
      <c r="L9" s="175">
        <f t="shared" ca="1" si="2"/>
        <v>172.84628080503637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76" t="str">
        <f>IF('Données projet'!$B$13="","",'Données projet'!$B$13)</f>
        <v>Pin maritime</v>
      </c>
      <c r="B10" s="177">
        <f>'Données projet'!D13</f>
        <v>0.57512155999999992</v>
      </c>
      <c r="C10" s="170">
        <f ca="1">IF(OR('Données projet'!B13="",'Données projet'!C13="",'Données projet'!C13=0%),0,Calculateur!CY3)</f>
        <v>162.29089122912319</v>
      </c>
      <c r="D10" s="170">
        <f>IF(OR('Données projet'!B13="",'Données projet'!C13="",'Données projet'!C13=0%),0,Calculateur!CZ3)</f>
        <v>253.15422514195427</v>
      </c>
      <c r="E10" s="170">
        <f t="shared" ca="1" si="0"/>
        <v>162.29089122912319</v>
      </c>
      <c r="F10" s="170">
        <f t="shared" ca="1" si="1"/>
        <v>93.336990537483629</v>
      </c>
      <c r="G10" s="170">
        <f ca="1">F10*(100%-'Données projet'!$C$24)*(100%-'Données projet'!$C$25)*(100%-'Données projet'!$C$26)*(100%-'Données projet'!$C$27)</f>
        <v>84.003291483735268</v>
      </c>
      <c r="H10" s="178">
        <f>IF(OR('Données projet'!B13="",'Données projet'!C13="",'Données projet'!C13=0%),0,AVERAGE(Calculateur!$DI$3:$DI$33)*B10)</f>
        <v>3.4087319827590146</v>
      </c>
      <c r="I10" s="172">
        <f>H10*(100%-'Données projet'!$C$24)*(100%-'Données projet'!$C$25)*(100%-'Données projet'!$C$26)*(100%-'Données projet'!$C$27)</f>
        <v>3.0678587844831133</v>
      </c>
      <c r="J10" s="173">
        <f>IF(OR('Données projet'!B13="",'Données projet'!C13="",'Données projet'!C13=0%),0,SUM(Calculateur!$DB$3:$DB$33)*VLOOKUP('Données projet'!$B$13,Paramètres!$A$1:$I$88,9,0)*B10)</f>
        <v>37.970100512759998</v>
      </c>
      <c r="K10" s="174">
        <f>J10*(100%-'Données projet'!$C$24)*(100%-'Données projet'!$C$25)*(100%-'Données projet'!$C$26)*(100%-'Données projet'!$C$27)</f>
        <v>34.173090461484001</v>
      </c>
      <c r="L10" s="175">
        <f t="shared" ca="1" si="2"/>
        <v>121.24424072970237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76" t="str">
        <f>IF('Données projet'!$B$14="","",'Données projet'!$B$14)</f>
        <v>Erable sycomore</v>
      </c>
      <c r="B11" s="177">
        <f>'Données projet'!D14</f>
        <v>0.20010937999999998</v>
      </c>
      <c r="C11" s="170">
        <f ca="1">IF(OR('Données projet'!B14="",'Données projet'!C14="",'Données projet'!C14=0%),0,Calculateur!DT3)</f>
        <v>290.20755061064017</v>
      </c>
      <c r="D11" s="170">
        <f>IF(OR('Données projet'!B14="",'Données projet'!C14="",'Données projet'!C14=0%),0,Calculateur!DU3)</f>
        <v>343.54750327717181</v>
      </c>
      <c r="E11" s="170">
        <f t="shared" ca="1" si="0"/>
        <v>290.20755061064017</v>
      </c>
      <c r="F11" s="170">
        <f t="shared" ca="1" si="1"/>
        <v>58.073253024013816</v>
      </c>
      <c r="G11" s="170">
        <f ca="1">F11*(100%-'Données projet'!$C$24)*(100%-'Données projet'!$C$25)*(100%-'Données projet'!$C$26)*(100%-'Données projet'!$C$27)</f>
        <v>52.265927721612435</v>
      </c>
      <c r="H11" s="178">
        <f>IF(OR('Données projet'!B14="",'Données projet'!C14="",'Données projet'!C14=0%),0,AVERAGE(Calculateur!$ED$3:$ED$33)*B11)</f>
        <v>0</v>
      </c>
      <c r="I11" s="172">
        <f>H11*(100%-'Données projet'!$C$24)*(100%-'Données projet'!$C$25)*(100%-'Données projet'!$C$26)*(100%-'Données projet'!$C$27)</f>
        <v>0</v>
      </c>
      <c r="J11" s="173">
        <f>IF(OR('Données projet'!B14="",'Données projet'!C14="",'Données projet'!C14=0%),0,SUM(Calculateur!$DW$3:$DW$33)*VLOOKUP('Données projet'!$B$14,Paramètres!$A$1:$I$88,9,0)*B11)</f>
        <v>6.8287325924999989</v>
      </c>
      <c r="K11" s="174">
        <f>J11*(100%-'Données projet'!$C$24)*(100%-'Données projet'!$C$25)*(100%-'Données projet'!$C$26)*(100%-'Données projet'!$C$27)</f>
        <v>6.1458593332499989</v>
      </c>
      <c r="L11" s="175">
        <f t="shared" ca="1" si="2"/>
        <v>58.411787054862437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76" t="str">
        <f>IF('Données projet'!$B$15="","",'Données projet'!$B$15)</f>
        <v/>
      </c>
      <c r="B12" s="177">
        <f>'Données projet'!D15</f>
        <v>0</v>
      </c>
      <c r="C12" s="170">
        <f>IF(OR('Données projet'!B15="",'Données projet'!C15="",'Données projet'!C15=0%),0,Calculateur!EO3)</f>
        <v>0</v>
      </c>
      <c r="D12" s="170">
        <f>IF(OR('Données projet'!B15="",'Données projet'!C15="",'Données projet'!C15=0%),0,Calculateur!EP3)</f>
        <v>0</v>
      </c>
      <c r="E12" s="170">
        <f t="shared" si="0"/>
        <v>0</v>
      </c>
      <c r="F12" s="170">
        <f t="shared" si="1"/>
        <v>0</v>
      </c>
      <c r="G12" s="170">
        <f>F12*(100%-'Données projet'!$C$24)*(100%-'Données projet'!$C$25)*(100%-'Données projet'!$C$26)*(100%-'Données projet'!$C$27)</f>
        <v>0</v>
      </c>
      <c r="H12" s="178">
        <f>IF(OR('Données projet'!B15="",'Données projet'!C15="",'Données projet'!C15=0%),0,AVERAGE(Calculateur!$EY$3:$EY$33)*B12)</f>
        <v>0</v>
      </c>
      <c r="I12" s="172">
        <f>H12*(100%-'Données projet'!$C$24)*(100%-'Données projet'!$C$25)*(100%-'Données projet'!$C$26)*(100%-'Données projet'!$C$27)</f>
        <v>0</v>
      </c>
      <c r="J12" s="173">
        <f>IF(OR('Données projet'!B15="",'Données projet'!C15="",'Données projet'!C15=0%),0,SUM(Calculateur!$ER$3:$ER$33)*VLOOKUP('Données projet'!$B$15,Paramètres!$A$1:$I$88,9,0)*B12)</f>
        <v>0</v>
      </c>
      <c r="K12" s="174">
        <f>J12*(100%-'Données projet'!$C$24)*(100%-'Données projet'!$C$25)*(100%-'Données projet'!$C$26)*(100%-'Données projet'!$C$27)</f>
        <v>0</v>
      </c>
      <c r="L12" s="175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76" t="str">
        <f>IF('Données projet'!$B$16="","",'Données projet'!$B$16)</f>
        <v/>
      </c>
      <c r="B13" s="177">
        <f>'Données projet'!D16</f>
        <v>0</v>
      </c>
      <c r="C13" s="170">
        <f>IF(OR('Données projet'!B16="",'Données projet'!C16="",'Données projet'!C16=0%),0,Calculateur!FJ3)</f>
        <v>0</v>
      </c>
      <c r="D13" s="170">
        <f>IF(OR('Données projet'!B16="",'Données projet'!C16="",'Données projet'!C16=0%),0,Calculateur!FK3)</f>
        <v>0</v>
      </c>
      <c r="E13" s="170">
        <f t="shared" si="0"/>
        <v>0</v>
      </c>
      <c r="F13" s="170">
        <f t="shared" si="1"/>
        <v>0</v>
      </c>
      <c r="G13" s="170">
        <f>F13*(100%-'Données projet'!$C$24)*(100%-'Données projet'!$C$25)*(100%-'Données projet'!$C$26)*(100%-'Données projet'!$C$27)</f>
        <v>0</v>
      </c>
      <c r="H13" s="178">
        <f>IF(OR('Données projet'!B16="",'Données projet'!C16="",'Données projet'!C16=0%),0,AVERAGE(Calculateur!$FT$3:$FT$33)*B13)</f>
        <v>0</v>
      </c>
      <c r="I13" s="172">
        <f>H13*(100%-'Données projet'!$C$24)*(100%-'Données projet'!$C$25)*(100%-'Données projet'!$C$26)*(100%-'Données projet'!$C$27)</f>
        <v>0</v>
      </c>
      <c r="J13" s="173">
        <f>IF(OR('Données projet'!C16="",'Données projet'!C16=0%),0,SUM(Calculateur!$FM$3:$FM$33)*VLOOKUP('Données projet'!$B$16,Paramètres!$A$1:$I$88,9,0)*B13)</f>
        <v>0</v>
      </c>
      <c r="K13" s="174">
        <f>J13*(100%-'Données projet'!$C$24)*(100%-'Données projet'!$C$25)*(100%-'Données projet'!$C$26)*(100%-'Données projet'!$C$27)</f>
        <v>0</v>
      </c>
      <c r="L13" s="175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76" t="str">
        <f>IF('Données projet'!$B$17="","",'Données projet'!$B$17)</f>
        <v/>
      </c>
      <c r="B14" s="177">
        <f>'Données projet'!D17</f>
        <v>0</v>
      </c>
      <c r="C14" s="170">
        <f>IF(OR('Données projet'!B17="",'Données projet'!C17="",'Données projet'!C17=0%),0,Calculateur!GE3)</f>
        <v>0</v>
      </c>
      <c r="D14" s="170">
        <f>IF(OR('Données projet'!B17="",'Données projet'!C17="",'Données projet'!C17=0%),0,Calculateur!GF3)</f>
        <v>0</v>
      </c>
      <c r="E14" s="170">
        <f t="shared" si="0"/>
        <v>0</v>
      </c>
      <c r="F14" s="170">
        <f t="shared" si="1"/>
        <v>0</v>
      </c>
      <c r="G14" s="170">
        <f>F14*(100%-'Données projet'!$C$24)*(100%-'Données projet'!$C$25)*(100%-'Données projet'!$C$26)*(100%-'Données projet'!$C$27)</f>
        <v>0</v>
      </c>
      <c r="H14" s="178">
        <f>IF(OR('Données projet'!B17="",'Données projet'!C17="",'Données projet'!C17=0%),0,AVERAGE(Calculateur!$GO$3:$GO$33)*B14)</f>
        <v>0</v>
      </c>
      <c r="I14" s="172">
        <f>H14*(100%-'Données projet'!$C$24)*(100%-'Données projet'!$C$25)*(100%-'Données projet'!$C$26)*(100%-'Données projet'!$C$27)</f>
        <v>0</v>
      </c>
      <c r="J14" s="173">
        <f>IF(OR('Données projet'!B17="",'Données projet'!C17="",'Données projet'!C17=0%),0,SUM(Calculateur!$GH$3:$GH$33)*VLOOKUP('Données projet'!$B$17,Paramètres!$A$1:$I$88,9,0)*B14)</f>
        <v>0</v>
      </c>
      <c r="K14" s="174">
        <f>J14*(100%-'Données projet'!$C$24)*(100%-'Données projet'!$C$25)*(100%-'Données projet'!$C$26)*(100%-'Données projet'!$C$27)</f>
        <v>0</v>
      </c>
      <c r="L14" s="175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79" t="str">
        <f>IF('Données projet'!B18="","",'Données projet'!B18)</f>
        <v/>
      </c>
      <c r="B15" s="180">
        <f>'Données projet'!D18</f>
        <v>0</v>
      </c>
      <c r="C15" s="181">
        <f>IF(OR('Données projet'!B18="",'Données projet'!C18="",'Données projet'!C18=0%),0,Calculateur!GZ3)</f>
        <v>0</v>
      </c>
      <c r="D15" s="181">
        <f>IF(OR('Données projet'!B18="",'Données projet'!C18="",'Données projet'!C18=0%),0,Calculateur!HA3)</f>
        <v>0</v>
      </c>
      <c r="E15" s="181">
        <f t="shared" si="0"/>
        <v>0</v>
      </c>
      <c r="F15" s="182">
        <f t="shared" si="1"/>
        <v>0</v>
      </c>
      <c r="G15" s="182">
        <f>F15*(100%-'Données projet'!$C$24)*(100%-'Données projet'!$C$25)*(100%-'Données projet'!$C$26)*(100%-'Données projet'!$C$27)</f>
        <v>0</v>
      </c>
      <c r="H15" s="183">
        <f>IF(OR('Données projet'!B18="",'Données projet'!C18="",'Données projet'!C18=0%),0,AVERAGE(Calculateur!$HJ$3:$HJ$33)*B15)</f>
        <v>0</v>
      </c>
      <c r="I15" s="184">
        <f>H15*(100%-'Données projet'!$C$24)*(100%-'Données projet'!$C$25)*(100%-'Données projet'!$C$26)*(100%-'Données projet'!$C$27)</f>
        <v>0</v>
      </c>
      <c r="J15" s="185">
        <f>IF(OR('Données projet'!B18="",'Données projet'!C18="",'Données projet'!C18=0%),0,SUM(Calculateur!$HC$3:$HC$33)*VLOOKUP('Données projet'!$B$18,Paramètres!$A$1:$I$88,9,0)*B15)</f>
        <v>0</v>
      </c>
      <c r="K15" s="186">
        <f>J15*(100%-'Données projet'!$C$24)*(100%-'Données projet'!$C$25)*(100%-'Données projet'!$C$26)*(100%-'Données projet'!$C$27)</f>
        <v>0</v>
      </c>
      <c r="L15" s="187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188"/>
      <c r="B16" s="189"/>
      <c r="C16" s="85"/>
      <c r="D16" s="5"/>
      <c r="E16" s="5"/>
      <c r="F16" s="190">
        <f t="shared" ref="F16:L16" ca="1" si="3">SUM(F6:F15)</f>
        <v>1089.1554700399583</v>
      </c>
      <c r="G16" s="191">
        <f t="shared" ca="1" si="3"/>
        <v>980.23992303596253</v>
      </c>
      <c r="H16" s="192">
        <f t="shared" si="3"/>
        <v>9.4734187518889854</v>
      </c>
      <c r="I16" s="192">
        <f t="shared" si="3"/>
        <v>8.5260768767000883</v>
      </c>
      <c r="J16" s="193">
        <f t="shared" si="3"/>
        <v>182.16750251365994</v>
      </c>
      <c r="K16" s="193">
        <f t="shared" si="3"/>
        <v>163.950752262294</v>
      </c>
      <c r="L16" s="194">
        <f t="shared" ca="1" si="3"/>
        <v>1152.7167521749566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188"/>
      <c r="B17" s="189"/>
      <c r="C17" s="85"/>
      <c r="D17" s="71"/>
      <c r="E17" s="71"/>
      <c r="F17" s="274" t="s">
        <v>246</v>
      </c>
      <c r="G17" s="275"/>
      <c r="H17" s="275"/>
      <c r="I17" s="275"/>
      <c r="J17" s="275"/>
      <c r="K17" s="275"/>
      <c r="L17" s="27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188"/>
      <c r="B18" s="189"/>
      <c r="C18" s="85"/>
      <c r="D18" s="71"/>
      <c r="E18" s="71"/>
      <c r="F18" s="276"/>
      <c r="G18" s="276"/>
      <c r="H18" s="276"/>
      <c r="I18" s="276"/>
      <c r="J18" s="276"/>
      <c r="K18" s="276"/>
      <c r="L18" s="27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95" t="str">
        <f>A6</f>
        <v>Cèdre de l'Atlas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95" t="str">
        <f>A7</f>
        <v>Douglas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95" t="str">
        <f>A8</f>
        <v>Chêne rouge d'Amérique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95" t="str">
        <f>A9</f>
        <v>Châtaignier</v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95" t="str">
        <f>A10</f>
        <v>Pin maritime</v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95" t="str">
        <f>A11</f>
        <v>Erable sycomore</v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95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95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95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95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abSelected="1" zoomScale="85" zoomScaleNormal="85" workbookViewId="0">
      <selection activeCell="J13" sqref="J1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3" customWidth="1"/>
    <col min="7" max="7" width="11.42578125" style="3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45">
      <c r="A2" s="5"/>
      <c r="B2" s="262" t="s">
        <v>273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7" customFormat="1" x14ac:dyDescent="0.25">
      <c r="A3" s="100"/>
      <c r="B3" s="100"/>
      <c r="C3" s="100"/>
      <c r="D3" s="100"/>
      <c r="E3" s="100"/>
      <c r="F3" s="196"/>
      <c r="G3" s="196"/>
      <c r="H3" s="100"/>
      <c r="I3" s="197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37" customFormat="1" x14ac:dyDescent="0.25">
      <c r="A4" s="100"/>
      <c r="B4" s="100"/>
      <c r="C4" s="100"/>
      <c r="D4" s="100"/>
      <c r="E4" s="100"/>
      <c r="F4" s="196"/>
      <c r="G4" s="196"/>
      <c r="H4" s="100"/>
      <c r="I4" s="247" t="s">
        <v>190</v>
      </c>
      <c r="J4" s="247"/>
      <c r="K4" s="247"/>
      <c r="L4" s="247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37" customFormat="1" x14ac:dyDescent="0.25">
      <c r="A5" s="100"/>
      <c r="B5" s="100"/>
      <c r="C5" s="100"/>
      <c r="D5" s="100"/>
      <c r="E5" s="100"/>
      <c r="F5" s="196"/>
      <c r="G5" s="196"/>
      <c r="H5" s="100"/>
      <c r="I5" s="198"/>
      <c r="J5" s="198"/>
      <c r="K5" s="198"/>
      <c r="L5" s="198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37" customFormat="1" ht="26.25" x14ac:dyDescent="0.4">
      <c r="A6" s="100"/>
      <c r="B6" s="286" t="s">
        <v>192</v>
      </c>
      <c r="C6" s="286"/>
      <c r="D6" s="100"/>
      <c r="E6" s="100"/>
      <c r="F6" s="199"/>
      <c r="G6" s="111"/>
      <c r="H6" s="100"/>
      <c r="I6" s="211" t="s">
        <v>253</v>
      </c>
      <c r="J6" s="200">
        <v>4.4999999999999998E-2</v>
      </c>
      <c r="K6" s="100"/>
      <c r="L6" s="100"/>
      <c r="M6" s="100"/>
      <c r="N6" s="201"/>
      <c r="O6" s="286" t="s">
        <v>191</v>
      </c>
      <c r="P6" s="286"/>
      <c r="Q6" s="286"/>
      <c r="R6" s="286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25">
      <c r="A7" s="5"/>
      <c r="B7" s="5"/>
      <c r="C7" s="5"/>
      <c r="D7" s="5"/>
      <c r="E7" s="5"/>
      <c r="F7" s="202"/>
      <c r="G7" s="112"/>
      <c r="H7" s="5"/>
      <c r="I7" s="5"/>
      <c r="J7" s="5"/>
      <c r="K7" s="203"/>
      <c r="L7" s="203"/>
      <c r="M7" s="5"/>
      <c r="N7" s="20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5"/>
      <c r="B8" s="5"/>
      <c r="C8" s="5"/>
      <c r="D8" s="5"/>
      <c r="E8" s="5"/>
      <c r="F8" s="202"/>
      <c r="G8" s="112"/>
      <c r="H8" s="5"/>
      <c r="I8" s="211" t="s">
        <v>178</v>
      </c>
      <c r="J8" s="211" t="s">
        <v>294</v>
      </c>
      <c r="K8" s="203"/>
      <c r="L8" s="203"/>
      <c r="M8" s="5"/>
      <c r="N8" s="204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5"/>
      <c r="B9" s="5"/>
      <c r="C9" s="5"/>
      <c r="D9" s="5"/>
      <c r="E9" s="5"/>
      <c r="F9" s="202"/>
      <c r="G9" s="112"/>
      <c r="H9" s="5"/>
      <c r="I9" s="239"/>
      <c r="J9" s="240">
        <v>0</v>
      </c>
      <c r="K9" s="203"/>
      <c r="L9" s="203"/>
      <c r="M9" s="5"/>
      <c r="N9" s="204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5"/>
      <c r="B10" s="5"/>
      <c r="C10" s="5"/>
      <c r="D10" s="5"/>
      <c r="E10" s="5"/>
      <c r="F10" s="202"/>
      <c r="G10" s="112"/>
      <c r="H10" s="5"/>
      <c r="I10" s="5"/>
      <c r="J10" s="5"/>
      <c r="K10" s="203"/>
      <c r="L10" s="203"/>
      <c r="M10" s="5"/>
      <c r="N10" s="204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5"/>
      <c r="B11" s="5"/>
      <c r="C11" s="5"/>
      <c r="D11" s="5"/>
      <c r="E11" s="5"/>
      <c r="F11" s="202"/>
      <c r="G11" s="5"/>
      <c r="H11" s="5"/>
      <c r="I11" s="238" t="s">
        <v>178</v>
      </c>
      <c r="J11" s="238" t="s">
        <v>289</v>
      </c>
      <c r="K11" s="5"/>
      <c r="L11" s="203"/>
      <c r="M11" s="5"/>
      <c r="N11" s="204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5"/>
      <c r="B12" s="5"/>
      <c r="C12" s="5"/>
      <c r="D12" s="5"/>
      <c r="E12" s="5"/>
      <c r="F12" s="205"/>
      <c r="G12" s="206"/>
      <c r="H12" s="5"/>
      <c r="I12" s="239">
        <v>0</v>
      </c>
      <c r="J12" s="240">
        <v>7213</v>
      </c>
      <c r="K12" s="207"/>
      <c r="L12" s="208"/>
      <c r="M12" s="5"/>
      <c r="N12" s="204"/>
      <c r="O12" s="209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5"/>
      <c r="B13" s="5"/>
      <c r="C13" s="5"/>
      <c r="D13" s="5"/>
      <c r="E13" s="5"/>
      <c r="F13" s="205"/>
      <c r="G13" s="206"/>
      <c r="H13" s="5"/>
      <c r="I13" s="239"/>
      <c r="J13" s="240"/>
      <c r="K13" s="210"/>
      <c r="L13" s="208"/>
      <c r="M13" s="5"/>
      <c r="N13" s="204"/>
      <c r="O13" s="20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5"/>
      <c r="B14" s="5"/>
      <c r="C14" s="5"/>
      <c r="D14" s="5"/>
      <c r="E14" s="5"/>
      <c r="F14" s="205"/>
      <c r="G14" s="206"/>
      <c r="H14" s="5"/>
      <c r="I14" s="239"/>
      <c r="J14" s="240"/>
      <c r="K14" s="210"/>
      <c r="L14" s="208"/>
      <c r="M14" s="5"/>
      <c r="N14" s="204"/>
      <c r="O14" s="20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5"/>
      <c r="B15" s="5"/>
      <c r="C15" s="5"/>
      <c r="D15" s="5"/>
      <c r="E15" s="5"/>
      <c r="F15" s="205"/>
      <c r="G15" s="206"/>
      <c r="H15" s="5"/>
      <c r="I15" s="239"/>
      <c r="J15" s="240"/>
      <c r="K15" s="210"/>
      <c r="L15" s="208"/>
      <c r="M15" s="5"/>
      <c r="N15" s="204"/>
      <c r="O15" s="209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5"/>
      <c r="B16" s="5"/>
      <c r="C16" s="5"/>
      <c r="D16" s="5"/>
      <c r="E16" s="5"/>
      <c r="F16" s="205"/>
      <c r="G16" s="206"/>
      <c r="H16" s="5"/>
      <c r="I16" s="239"/>
      <c r="J16" s="240"/>
      <c r="K16" s="210"/>
      <c r="L16" s="208"/>
      <c r="M16" s="5"/>
      <c r="N16" s="204"/>
      <c r="O16" s="209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5">
      <c r="A17" s="198"/>
      <c r="B17" s="198"/>
      <c r="C17" s="5"/>
      <c r="D17" s="5"/>
      <c r="E17" s="5"/>
      <c r="F17" s="202"/>
      <c r="G17" s="112"/>
      <c r="H17" s="5"/>
      <c r="I17" s="277" t="s">
        <v>292</v>
      </c>
      <c r="J17" s="277"/>
      <c r="K17" s="277"/>
      <c r="L17" s="277"/>
      <c r="M17" s="5"/>
      <c r="N17" s="204"/>
      <c r="O17" s="287" t="s">
        <v>254</v>
      </c>
      <c r="P17" s="287"/>
      <c r="Q17" s="2">
        <v>100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49" t="s">
        <v>165</v>
      </c>
      <c r="B18" s="212" t="str">
        <f>IF('Données projet'!$B$9="","",'Données projet'!$B$9)</f>
        <v>Cèdre de l'Atlas</v>
      </c>
      <c r="C18" s="5"/>
      <c r="D18" s="5"/>
      <c r="E18" s="5"/>
      <c r="F18" s="202"/>
      <c r="G18" s="112"/>
      <c r="H18" s="5"/>
      <c r="I18" s="5"/>
      <c r="J18" s="5"/>
      <c r="K18" s="5"/>
      <c r="L18" s="5"/>
      <c r="M18" s="5"/>
      <c r="N18" s="204"/>
      <c r="O18" s="248" t="s">
        <v>291</v>
      </c>
      <c r="P18" s="248"/>
      <c r="Q18" s="213">
        <f>VLOOKUP(Q17,Calculateur!$A$2:$H$153,3,0)/VLOOKUP('Scénario référence'!$G$15,Paramètres!A1:I88,3,0)/VLOOKUP('Scénario référence'!$G$15,Paramètres!A1:I88,5,0)</f>
        <v>100.00000000000016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5"/>
      <c r="B19" s="5"/>
      <c r="C19" s="5"/>
      <c r="D19" s="5"/>
      <c r="E19" s="5"/>
      <c r="F19" s="202"/>
      <c r="G19" s="112"/>
      <c r="H19" s="5"/>
      <c r="I19" s="5"/>
      <c r="J19" s="211" t="s">
        <v>263</v>
      </c>
      <c r="K19" s="214" t="s">
        <v>249</v>
      </c>
      <c r="L19" s="211" t="s">
        <v>264</v>
      </c>
      <c r="M19" s="5"/>
      <c r="N19" s="204"/>
      <c r="O19" s="248" t="s">
        <v>255</v>
      </c>
      <c r="P19" s="248"/>
      <c r="Q19" s="241">
        <v>20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5">
      <c r="A20" s="211" t="s">
        <v>180</v>
      </c>
      <c r="B20" s="51" t="s">
        <v>256</v>
      </c>
      <c r="C20" s="51" t="s">
        <v>255</v>
      </c>
      <c r="D20" s="211" t="s">
        <v>252</v>
      </c>
      <c r="E20" s="211" t="s">
        <v>288</v>
      </c>
      <c r="F20" s="202"/>
      <c r="G20" s="215"/>
      <c r="H20" s="5"/>
      <c r="I20" s="211" t="str">
        <f>B18</f>
        <v>Cèdre de l'Atlas</v>
      </c>
      <c r="J20" s="216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2566.3720480395841</v>
      </c>
      <c r="K20" s="217">
        <f>'Données projet'!D9</f>
        <v>1.9707430199999998</v>
      </c>
      <c r="L20" s="216">
        <f>K20*J20</f>
        <v>5057.6598003971149</v>
      </c>
      <c r="M20" s="5"/>
      <c r="N20" s="204"/>
      <c r="O20" s="248" t="s">
        <v>290</v>
      </c>
      <c r="P20" s="248"/>
      <c r="Q20" s="218">
        <f>Q18*Q19</f>
        <v>2000.0000000000032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25">
      <c r="A21" s="219">
        <f>'Données projet'!A36</f>
        <v>20</v>
      </c>
      <c r="B21" s="220">
        <f>'Données projet'!D36</f>
        <v>0</v>
      </c>
      <c r="C21" s="242"/>
      <c r="D21" s="221">
        <f>B21*C21</f>
        <v>0</v>
      </c>
      <c r="E21" s="242"/>
      <c r="F21" s="202"/>
      <c r="G21" s="222"/>
      <c r="H21" s="5"/>
      <c r="I21" s="211" t="str">
        <f>B43</f>
        <v>Douglas</v>
      </c>
      <c r="J21" s="216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8133.5816872266587</v>
      </c>
      <c r="K21" s="217">
        <f>'Données projet'!D10</f>
        <v>1.11011836</v>
      </c>
      <c r="L21" s="216">
        <f t="shared" ref="L21:L29" si="0">K21*J21</f>
        <v>9029.2383635500919</v>
      </c>
      <c r="M21" s="5"/>
      <c r="N21" s="20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219">
        <f>'Données projet'!A37</f>
        <v>30</v>
      </c>
      <c r="B22" s="220">
        <f>'Données projet'!D37</f>
        <v>0</v>
      </c>
      <c r="C22" s="242"/>
      <c r="D22" s="221">
        <f t="shared" ref="D22:D40" si="1">B22*C22</f>
        <v>0</v>
      </c>
      <c r="E22" s="242"/>
      <c r="F22" s="223"/>
      <c r="G22" s="222"/>
      <c r="H22" s="5"/>
      <c r="I22" s="211" t="str">
        <f>B68</f>
        <v>Chêne rouge d'Amérique</v>
      </c>
      <c r="J22" s="216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1348.8740827990737</v>
      </c>
      <c r="K22" s="217">
        <f>'Données projet'!D11</f>
        <v>0.64405383999999999</v>
      </c>
      <c r="L22" s="216">
        <f t="shared" si="0"/>
        <v>868.74753270322128</v>
      </c>
      <c r="M22" s="209"/>
      <c r="N22" s="224"/>
      <c r="O22" s="290" t="s">
        <v>261</v>
      </c>
      <c r="P22" s="290"/>
      <c r="Q22" s="290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219">
        <f>'Données projet'!A38</f>
        <v>40</v>
      </c>
      <c r="B23" s="220">
        <f>'Données projet'!D38</f>
        <v>91</v>
      </c>
      <c r="C23" s="242">
        <v>25</v>
      </c>
      <c r="D23" s="221">
        <f t="shared" si="1"/>
        <v>2275</v>
      </c>
      <c r="E23" s="242"/>
      <c r="F23" s="223"/>
      <c r="G23" s="222"/>
      <c r="H23" s="5"/>
      <c r="I23" s="211" t="str">
        <f>B93</f>
        <v>Châtaignier</v>
      </c>
      <c r="J23" s="216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2483.1810386718594</v>
      </c>
      <c r="K23" s="217">
        <f>'Données projet'!D12</f>
        <v>0.64405383999999999</v>
      </c>
      <c r="L23" s="216">
        <f t="shared" si="0"/>
        <v>1599.3022833717996</v>
      </c>
      <c r="M23" s="5"/>
      <c r="N23" s="204"/>
      <c r="O23" s="288" t="s">
        <v>286</v>
      </c>
      <c r="P23" s="288"/>
      <c r="Q23" s="288"/>
      <c r="R23" s="288"/>
      <c r="S23" s="288"/>
      <c r="T23" s="241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25">
      <c r="A24" s="219">
        <f>'Données projet'!A39</f>
        <v>50</v>
      </c>
      <c r="B24" s="220">
        <f>'Données projet'!D39</f>
        <v>91</v>
      </c>
      <c r="C24" s="242">
        <v>25</v>
      </c>
      <c r="D24" s="221">
        <f t="shared" si="1"/>
        <v>2275</v>
      </c>
      <c r="E24" s="242"/>
      <c r="F24" s="223"/>
      <c r="G24" s="222"/>
      <c r="H24" s="5"/>
      <c r="I24" s="211" t="str">
        <f>B118</f>
        <v>Pin maritime</v>
      </c>
      <c r="J24" s="216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3316.0737794376519</v>
      </c>
      <c r="K24" s="217">
        <f>'Données projet'!D13</f>
        <v>0.57512155999999992</v>
      </c>
      <c r="L24" s="216">
        <f t="shared" si="0"/>
        <v>1907.145525105278</v>
      </c>
      <c r="M24" s="5"/>
      <c r="N24" s="204"/>
      <c r="O24" s="289" t="s">
        <v>258</v>
      </c>
      <c r="P24" s="289"/>
      <c r="Q24" s="289"/>
      <c r="R24" s="289"/>
      <c r="S24" s="289"/>
      <c r="T24" s="289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25">
      <c r="A25" s="219">
        <f>'Données projet'!A40</f>
        <v>60</v>
      </c>
      <c r="B25" s="220">
        <f>'Données projet'!D40</f>
        <v>112</v>
      </c>
      <c r="C25" s="242">
        <v>40</v>
      </c>
      <c r="D25" s="221">
        <f t="shared" si="1"/>
        <v>4480</v>
      </c>
      <c r="E25" s="242"/>
      <c r="F25" s="223"/>
      <c r="G25" s="222"/>
      <c r="H25" s="5"/>
      <c r="I25" s="211" t="str">
        <f>B143</f>
        <v>Erable sycomore</v>
      </c>
      <c r="J25" s="216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7">
        <f>'Données projet'!D14</f>
        <v>0.20010937999999998</v>
      </c>
      <c r="L25" s="216">
        <f t="shared" si="0"/>
        <v>0</v>
      </c>
      <c r="M25" s="5"/>
      <c r="N25" s="204"/>
      <c r="O25" s="289"/>
      <c r="P25" s="289"/>
      <c r="Q25" s="289"/>
      <c r="R25" s="289"/>
      <c r="S25" s="289"/>
      <c r="T25" s="289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5">
      <c r="A26" s="219">
        <f>'Données projet'!A41</f>
        <v>70</v>
      </c>
      <c r="B26" s="220">
        <f>'Données projet'!D41</f>
        <v>109</v>
      </c>
      <c r="C26" s="242">
        <v>50</v>
      </c>
      <c r="D26" s="221">
        <f t="shared" si="1"/>
        <v>5450</v>
      </c>
      <c r="E26" s="242"/>
      <c r="F26" s="223"/>
      <c r="G26" s="222"/>
      <c r="H26" s="5"/>
      <c r="I26" s="211" t="str">
        <f>B168</f>
        <v/>
      </c>
      <c r="J26" s="216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7">
        <f>'Données projet'!D15</f>
        <v>0</v>
      </c>
      <c r="L26" s="216">
        <f t="shared" si="0"/>
        <v>0</v>
      </c>
      <c r="M26" s="5"/>
      <c r="N26" s="204"/>
      <c r="O26" s="225"/>
      <c r="P26" s="225"/>
      <c r="Q26" s="225"/>
      <c r="R26" s="225"/>
      <c r="S26" s="225"/>
      <c r="T26" s="22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25">
      <c r="A27" s="219">
        <f>'Données projet'!A42</f>
        <v>80</v>
      </c>
      <c r="B27" s="220">
        <f>'Données projet'!D42</f>
        <v>110</v>
      </c>
      <c r="C27" s="242">
        <v>60</v>
      </c>
      <c r="D27" s="221">
        <f t="shared" si="1"/>
        <v>6600</v>
      </c>
      <c r="E27" s="242"/>
      <c r="F27" s="223"/>
      <c r="G27" s="222"/>
      <c r="H27" s="5"/>
      <c r="I27" s="211" t="str">
        <f>B193</f>
        <v/>
      </c>
      <c r="J27" s="216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7">
        <f>'Données projet'!D16</f>
        <v>0</v>
      </c>
      <c r="L27" s="216">
        <f t="shared" si="0"/>
        <v>0</v>
      </c>
      <c r="M27" s="5"/>
      <c r="N27" s="204"/>
      <c r="O27" s="211" t="s">
        <v>259</v>
      </c>
      <c r="P27" s="226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25">
      <c r="A28" s="219">
        <f>'Données projet'!A43</f>
        <v>90</v>
      </c>
      <c r="B28" s="220">
        <f>'Données projet'!D43</f>
        <v>97</v>
      </c>
      <c r="C28" s="242">
        <v>60</v>
      </c>
      <c r="D28" s="221">
        <f t="shared" si="1"/>
        <v>5820</v>
      </c>
      <c r="E28" s="242"/>
      <c r="F28" s="223"/>
      <c r="G28" s="222"/>
      <c r="H28" s="5"/>
      <c r="I28" s="211" t="str">
        <f>B218</f>
        <v/>
      </c>
      <c r="J28" s="216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7">
        <f>'Données projet'!D17</f>
        <v>0</v>
      </c>
      <c r="L28" s="216">
        <f t="shared" si="0"/>
        <v>0</v>
      </c>
      <c r="M28" s="5"/>
      <c r="N28" s="204"/>
      <c r="O28" s="5"/>
      <c r="P28" s="5"/>
      <c r="Q28" s="5"/>
      <c r="R28" s="243">
        <v>0</v>
      </c>
      <c r="S28" s="227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5">
      <c r="A29" s="219">
        <f>'Données projet'!A44</f>
        <v>100</v>
      </c>
      <c r="B29" s="220">
        <f>'Données projet'!D44</f>
        <v>855</v>
      </c>
      <c r="C29" s="242">
        <v>100</v>
      </c>
      <c r="D29" s="221">
        <f t="shared" si="1"/>
        <v>85500</v>
      </c>
      <c r="E29" s="242"/>
      <c r="F29" s="223"/>
      <c r="G29" s="222"/>
      <c r="H29" s="5"/>
      <c r="I29" s="211" t="str">
        <f>B243</f>
        <v/>
      </c>
      <c r="J29" s="216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7">
        <f>'Données projet'!D18</f>
        <v>0</v>
      </c>
      <c r="L29" s="216">
        <f t="shared" si="0"/>
        <v>0</v>
      </c>
      <c r="M29" s="5"/>
      <c r="N29" s="204"/>
      <c r="O29" s="284" t="s">
        <v>260</v>
      </c>
      <c r="P29" s="284"/>
      <c r="Q29" s="285"/>
      <c r="R29" s="243">
        <f>IF(R28+1&lt;=MIN('Données projet'!$E$9:$E$18),R28+1,"STOP")</f>
        <v>1</v>
      </c>
      <c r="S29" s="227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5">
      <c r="A30" s="219">
        <f>'Données projet'!A45</f>
        <v>0</v>
      </c>
      <c r="B30" s="220">
        <f>'Données projet'!D45</f>
        <v>0</v>
      </c>
      <c r="C30" s="242"/>
      <c r="D30" s="221">
        <f t="shared" si="1"/>
        <v>0</v>
      </c>
      <c r="E30" s="242"/>
      <c r="F30" s="223"/>
      <c r="G30" s="222"/>
      <c r="H30" s="5"/>
      <c r="I30" s="5"/>
      <c r="J30" s="5"/>
      <c r="K30" s="5"/>
      <c r="L30" s="5"/>
      <c r="M30" s="5"/>
      <c r="N30" s="204"/>
      <c r="O30" s="284" t="s">
        <v>297</v>
      </c>
      <c r="P30" s="284"/>
      <c r="Q30" s="285"/>
      <c r="R30" s="243">
        <f>IF(R29+1&lt;=MIN('Données projet'!$E$9:$E$18),R29+1,"STOP")</f>
        <v>2</v>
      </c>
      <c r="S30" s="227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5">
      <c r="A31" s="219">
        <f>'Données projet'!A46</f>
        <v>0</v>
      </c>
      <c r="B31" s="220">
        <f>'Données projet'!D46</f>
        <v>0</v>
      </c>
      <c r="C31" s="242"/>
      <c r="D31" s="221">
        <f t="shared" si="1"/>
        <v>0</v>
      </c>
      <c r="E31" s="242"/>
      <c r="F31" s="223"/>
      <c r="G31" s="222"/>
      <c r="H31" s="5"/>
      <c r="I31" s="5"/>
      <c r="J31" s="5"/>
      <c r="K31" s="5"/>
      <c r="L31" s="5"/>
      <c r="M31" s="5"/>
      <c r="N31" s="204"/>
      <c r="O31" s="5"/>
      <c r="P31" s="5"/>
      <c r="Q31" s="5"/>
      <c r="R31" s="243">
        <f>IF(R30+1&lt;=MIN('Données projet'!$E$9:$E$18),R30+1,"STOP")</f>
        <v>3</v>
      </c>
      <c r="S31" s="227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5">
      <c r="A32" s="219">
        <f>'Données projet'!A47</f>
        <v>0</v>
      </c>
      <c r="B32" s="220">
        <f>'Données projet'!D47</f>
        <v>0</v>
      </c>
      <c r="C32" s="242"/>
      <c r="D32" s="221">
        <f t="shared" si="1"/>
        <v>0</v>
      </c>
      <c r="E32" s="242"/>
      <c r="F32" s="223"/>
      <c r="G32" s="222"/>
      <c r="H32" s="5"/>
      <c r="I32" s="211" t="s">
        <v>265</v>
      </c>
      <c r="J32" s="280">
        <f>SUM(L20:L29) - (J12/(1+J6)^I12 + J13/(1+J6)^I13 + J14/(1+J6)^I14 + J15/(1+J6)^I15 + J16/(1+J6)^I16 + J9/(1+J6)^I9)*'Données projet'!C5</f>
        <v>-18643.021094872493</v>
      </c>
      <c r="K32" s="280"/>
      <c r="L32" s="280"/>
      <c r="M32" s="5"/>
      <c r="N32" s="204"/>
      <c r="O32" s="5"/>
      <c r="P32" s="5"/>
      <c r="Q32" s="5"/>
      <c r="R32" s="243">
        <f>IF(R31+1&lt;=MIN('Données projet'!$E$9:$E$18),R31+1,"STOP")</f>
        <v>4</v>
      </c>
      <c r="S32" s="227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5">
      <c r="A33" s="219">
        <f>'Données projet'!A48</f>
        <v>0</v>
      </c>
      <c r="B33" s="220">
        <f>'Données projet'!D48</f>
        <v>0</v>
      </c>
      <c r="C33" s="242"/>
      <c r="D33" s="221">
        <f t="shared" si="1"/>
        <v>0</v>
      </c>
      <c r="E33" s="242"/>
      <c r="F33" s="223"/>
      <c r="G33" s="222"/>
      <c r="H33" s="5"/>
      <c r="I33" s="211" t="s">
        <v>262</v>
      </c>
      <c r="J33" s="281">
        <f>IF('Scénario référence'!$K$1=1,$P$27*'Données projet'!$C$5,$Q$20/(1+J6)^Q17*'Données projet'!$C$5)</f>
        <v>126.10107706531961</v>
      </c>
      <c r="K33" s="281"/>
      <c r="L33" s="281"/>
      <c r="M33" s="5"/>
      <c r="N33" s="204"/>
      <c r="O33" s="5"/>
      <c r="P33" s="5"/>
      <c r="Q33" s="5"/>
      <c r="R33" s="243">
        <f>IF(R32+1&lt;=MIN('Données projet'!$E$9:$E$18),R32+1,"STOP")</f>
        <v>5</v>
      </c>
      <c r="S33" s="227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5">
      <c r="A34" s="219">
        <f>'Données projet'!A49</f>
        <v>0</v>
      </c>
      <c r="B34" s="220">
        <f>'Données projet'!D49</f>
        <v>0</v>
      </c>
      <c r="C34" s="242"/>
      <c r="D34" s="221">
        <f t="shared" si="1"/>
        <v>0</v>
      </c>
      <c r="E34" s="242"/>
      <c r="F34" s="223"/>
      <c r="G34" s="222"/>
      <c r="H34" s="5"/>
      <c r="I34" s="228" t="s">
        <v>267</v>
      </c>
      <c r="J34" s="282">
        <f>J32-J33</f>
        <v>-18769.122171937812</v>
      </c>
      <c r="K34" s="282"/>
      <c r="L34" s="282"/>
      <c r="M34" s="5"/>
      <c r="N34" s="204"/>
      <c r="O34" s="5"/>
      <c r="P34" s="5"/>
      <c r="Q34" s="5"/>
      <c r="R34" s="243">
        <f>IF(R33+1&lt;=MIN('Données projet'!$E$9:$E$18),R33+1,"STOP")</f>
        <v>6</v>
      </c>
      <c r="S34" s="227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A35" s="219">
        <f>'Données projet'!A50</f>
        <v>0</v>
      </c>
      <c r="B35" s="220">
        <f>'Données projet'!D50</f>
        <v>0</v>
      </c>
      <c r="C35" s="242"/>
      <c r="D35" s="221">
        <f t="shared" si="1"/>
        <v>0</v>
      </c>
      <c r="E35" s="242"/>
      <c r="F35" s="223"/>
      <c r="G35" s="222"/>
      <c r="H35" s="5"/>
      <c r="I35" s="228" t="s">
        <v>266</v>
      </c>
      <c r="J35" s="279" t="str">
        <f>IF(J34&lt;0,"Votre projet est additionnel","Votre projet n'est pas additionnel")</f>
        <v>Votre projet est additionnel</v>
      </c>
      <c r="K35" s="279"/>
      <c r="L35" s="279"/>
      <c r="M35" s="5"/>
      <c r="N35" s="204"/>
      <c r="O35" s="5"/>
      <c r="P35" s="5"/>
      <c r="Q35" s="5"/>
      <c r="R35" s="243">
        <f>IF(R34+1&lt;=MIN('Données projet'!$E$9:$E$18),R34+1,"STOP")</f>
        <v>7</v>
      </c>
      <c r="S35" s="227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219">
        <f>'Données projet'!A51</f>
        <v>0</v>
      </c>
      <c r="B36" s="220">
        <f>'Données projet'!D51</f>
        <v>0</v>
      </c>
      <c r="C36" s="242"/>
      <c r="D36" s="221">
        <f t="shared" si="1"/>
        <v>0</v>
      </c>
      <c r="E36" s="242"/>
      <c r="F36" s="223"/>
      <c r="G36" s="222"/>
      <c r="H36" s="5"/>
      <c r="I36" s="283" t="s">
        <v>268</v>
      </c>
      <c r="J36" s="283"/>
      <c r="K36" s="283"/>
      <c r="L36" s="283"/>
      <c r="M36" s="5"/>
      <c r="N36" s="204"/>
      <c r="O36" s="5"/>
      <c r="P36" s="5"/>
      <c r="Q36" s="5"/>
      <c r="R36" s="243">
        <f>IF(R35+1&lt;=MIN('Données projet'!$E$9:$E$18),R35+1,"STOP")</f>
        <v>8</v>
      </c>
      <c r="S36" s="227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219">
        <f>'Données projet'!A52</f>
        <v>0</v>
      </c>
      <c r="B37" s="220">
        <f>'Données projet'!D52</f>
        <v>0</v>
      </c>
      <c r="C37" s="242"/>
      <c r="D37" s="221">
        <f t="shared" si="1"/>
        <v>0</v>
      </c>
      <c r="E37" s="242"/>
      <c r="F37" s="223"/>
      <c r="G37" s="222"/>
      <c r="H37" s="5"/>
      <c r="I37" s="5"/>
      <c r="J37" s="5"/>
      <c r="K37" s="5"/>
      <c r="L37" s="5"/>
      <c r="M37" s="5"/>
      <c r="N37" s="204"/>
      <c r="O37" s="5"/>
      <c r="P37" s="5"/>
      <c r="Q37" s="5"/>
      <c r="R37" s="243">
        <f>IF(R36+1&lt;=MIN('Données projet'!$E$9:$E$18),R36+1,"STOP")</f>
        <v>9</v>
      </c>
      <c r="S37" s="227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219">
        <f>'Données projet'!A53</f>
        <v>0</v>
      </c>
      <c r="B38" s="220">
        <f>'Données projet'!D53</f>
        <v>0</v>
      </c>
      <c r="C38" s="242"/>
      <c r="D38" s="221">
        <f t="shared" si="1"/>
        <v>0</v>
      </c>
      <c r="E38" s="242"/>
      <c r="F38" s="223"/>
      <c r="G38" s="222"/>
      <c r="H38" s="5"/>
      <c r="I38" s="5"/>
      <c r="J38" s="5"/>
      <c r="K38" s="5"/>
      <c r="L38" s="5"/>
      <c r="M38" s="5"/>
      <c r="N38" s="204"/>
      <c r="O38" s="5"/>
      <c r="P38" s="5"/>
      <c r="Q38" s="5"/>
      <c r="R38" s="243">
        <f>IF(R37+1&lt;=MIN('Données projet'!$E$9:$E$18),R37+1,"STOP")</f>
        <v>10</v>
      </c>
      <c r="S38" s="227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219">
        <f>'Données projet'!A54</f>
        <v>0</v>
      </c>
      <c r="B39" s="220">
        <f>'Données projet'!D54</f>
        <v>0</v>
      </c>
      <c r="C39" s="242"/>
      <c r="D39" s="221">
        <f t="shared" si="1"/>
        <v>0</v>
      </c>
      <c r="E39" s="242"/>
      <c r="F39" s="223"/>
      <c r="G39" s="222"/>
      <c r="H39" s="5"/>
      <c r="I39" s="5"/>
      <c r="J39" s="5"/>
      <c r="K39" s="5"/>
      <c r="L39" s="5"/>
      <c r="M39" s="5"/>
      <c r="N39" s="204"/>
      <c r="O39" s="5"/>
      <c r="P39" s="5"/>
      <c r="Q39" s="5"/>
      <c r="R39" s="243">
        <f>IF(R38+1&lt;=MIN('Données projet'!$E$9:$E$18),R38+1,"STOP")</f>
        <v>11</v>
      </c>
      <c r="S39" s="227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219">
        <f>'Données projet'!A55</f>
        <v>0</v>
      </c>
      <c r="B40" s="220">
        <f>'Données projet'!D55</f>
        <v>0</v>
      </c>
      <c r="C40" s="242"/>
      <c r="D40" s="221">
        <f t="shared" si="1"/>
        <v>0</v>
      </c>
      <c r="E40" s="242"/>
      <c r="F40" s="223"/>
      <c r="G40" s="222"/>
      <c r="H40" s="5"/>
      <c r="I40" s="5"/>
      <c r="J40" s="5"/>
      <c r="K40" s="5"/>
      <c r="L40" s="5"/>
      <c r="M40" s="5"/>
      <c r="N40" s="204"/>
      <c r="O40" s="5"/>
      <c r="P40" s="5"/>
      <c r="Q40" s="5"/>
      <c r="R40" s="243">
        <f>IF(R39+1&lt;=MIN('Données projet'!$E$9:$E$18),R39+1,"STOP")</f>
        <v>12</v>
      </c>
      <c r="S40" s="227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4" customFormat="1" ht="47.25" customHeight="1" x14ac:dyDescent="0.25">
      <c r="A41" s="229"/>
      <c r="B41" s="229"/>
      <c r="C41" s="229"/>
      <c r="D41" s="229"/>
      <c r="E41" s="277" t="s">
        <v>293</v>
      </c>
      <c r="F41" s="278"/>
      <c r="G41" s="230"/>
      <c r="H41" s="229"/>
      <c r="I41" s="229"/>
      <c r="J41" s="229"/>
      <c r="K41" s="229"/>
      <c r="L41" s="229"/>
      <c r="M41" s="229"/>
      <c r="N41" s="231"/>
      <c r="O41" s="229"/>
      <c r="P41" s="229"/>
      <c r="Q41" s="229"/>
      <c r="R41" s="243">
        <f>IF(R40+1&lt;=MIN('Données projet'!$E$9:$E$18),R40+1,"STOP")</f>
        <v>13</v>
      </c>
      <c r="S41" s="232">
        <f t="shared" si="2"/>
        <v>0</v>
      </c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</row>
    <row r="42" spans="1:60" x14ac:dyDescent="0.25">
      <c r="A42" s="5"/>
      <c r="B42" s="5"/>
      <c r="C42" s="5"/>
      <c r="D42" s="5"/>
      <c r="E42" s="5"/>
      <c r="F42" s="202"/>
      <c r="G42" s="112"/>
      <c r="H42" s="5"/>
      <c r="I42" s="5"/>
      <c r="J42" s="5"/>
      <c r="K42" s="5"/>
      <c r="L42" s="5"/>
      <c r="M42" s="5"/>
      <c r="N42" s="204"/>
      <c r="O42" s="5"/>
      <c r="P42" s="5"/>
      <c r="Q42" s="5"/>
      <c r="R42" s="243">
        <f>IF(R41+1&lt;=MIN('Données projet'!$E$9:$E$18),R41+1,"STOP")</f>
        <v>14</v>
      </c>
      <c r="S42" s="227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5">
      <c r="A43" s="49" t="s">
        <v>166</v>
      </c>
      <c r="B43" s="212" t="str">
        <f>IF('Données projet'!$B$10="","",'Données projet'!$B$10)</f>
        <v>Douglas</v>
      </c>
      <c r="C43" s="5"/>
      <c r="D43" s="5"/>
      <c r="E43" s="5"/>
      <c r="F43" s="202"/>
      <c r="G43" s="112"/>
      <c r="H43" s="5"/>
      <c r="I43" s="5"/>
      <c r="J43" s="5"/>
      <c r="K43" s="5"/>
      <c r="L43" s="5"/>
      <c r="M43" s="5"/>
      <c r="N43" s="204"/>
      <c r="O43" s="5"/>
      <c r="P43" s="5"/>
      <c r="Q43" s="5"/>
      <c r="R43" s="243">
        <f>IF(R42+1&lt;=MIN('Données projet'!$E$9:$E$18),R42+1,"STOP")</f>
        <v>15</v>
      </c>
      <c r="S43" s="227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s="5"/>
      <c r="B44" s="5"/>
      <c r="C44" s="5"/>
      <c r="D44" s="5"/>
      <c r="E44" s="5"/>
      <c r="F44" s="202"/>
      <c r="G44" s="112"/>
      <c r="H44" s="5"/>
      <c r="I44" s="5"/>
      <c r="J44" s="5"/>
      <c r="K44" s="5"/>
      <c r="L44" s="5"/>
      <c r="M44" s="5"/>
      <c r="N44" s="204"/>
      <c r="O44" s="5"/>
      <c r="P44" s="5"/>
      <c r="Q44" s="5"/>
      <c r="R44" s="243">
        <f>IF(R43+1&lt;=MIN('Données projet'!$E$9:$E$18),R43+1,"STOP")</f>
        <v>16</v>
      </c>
      <c r="S44" s="227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25">
      <c r="A45" s="211" t="s">
        <v>180</v>
      </c>
      <c r="B45" s="51" t="s">
        <v>256</v>
      </c>
      <c r="C45" s="51" t="s">
        <v>255</v>
      </c>
      <c r="D45" s="211" t="s">
        <v>252</v>
      </c>
      <c r="E45" s="211" t="s">
        <v>288</v>
      </c>
      <c r="F45" s="233"/>
      <c r="G45" s="215"/>
      <c r="H45" s="5"/>
      <c r="I45" s="5"/>
      <c r="J45" s="5"/>
      <c r="K45" s="5"/>
      <c r="L45" s="5"/>
      <c r="M45" s="5"/>
      <c r="N45" s="204"/>
      <c r="O45" s="5"/>
      <c r="P45" s="5"/>
      <c r="Q45" s="5"/>
      <c r="R45" s="243">
        <f>IF(R44+1&lt;=MIN('Données projet'!$E$9:$E$18),R44+1,"STOP")</f>
        <v>17</v>
      </c>
      <c r="S45" s="227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25">
      <c r="A46" s="219">
        <f>'Données projet'!A62</f>
        <v>18</v>
      </c>
      <c r="B46" s="220">
        <f>'Données projet'!D62</f>
        <v>63</v>
      </c>
      <c r="C46" s="242">
        <v>15</v>
      </c>
      <c r="D46" s="218">
        <f>B46*C46</f>
        <v>945</v>
      </c>
      <c r="E46" s="242"/>
      <c r="F46" s="234"/>
      <c r="G46" s="235"/>
      <c r="H46" s="5"/>
      <c r="I46" s="5"/>
      <c r="J46" s="5"/>
      <c r="K46" s="5"/>
      <c r="L46" s="5"/>
      <c r="M46" s="5"/>
      <c r="N46" s="204"/>
      <c r="O46" s="5"/>
      <c r="P46" s="5"/>
      <c r="Q46" s="5"/>
      <c r="R46" s="243">
        <f>IF(R45+1&lt;=MIN('Données projet'!$E$9:$E$18),R45+1,"STOP")</f>
        <v>18</v>
      </c>
      <c r="S46" s="227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25">
      <c r="A47" s="219">
        <f>'Données projet'!A63</f>
        <v>24</v>
      </c>
      <c r="B47" s="220">
        <f>'Données projet'!D63</f>
        <v>66</v>
      </c>
      <c r="C47" s="242">
        <v>20</v>
      </c>
      <c r="D47" s="218">
        <f t="shared" ref="D47:D65" si="3">B47*C47</f>
        <v>1320</v>
      </c>
      <c r="E47" s="242"/>
      <c r="F47" s="234"/>
      <c r="G47" s="235"/>
      <c r="H47" s="5"/>
      <c r="I47" s="5"/>
      <c r="J47" s="5"/>
      <c r="K47" s="5"/>
      <c r="L47" s="5"/>
      <c r="M47" s="5"/>
      <c r="N47" s="204"/>
      <c r="O47" s="5"/>
      <c r="P47" s="5"/>
      <c r="Q47" s="5"/>
      <c r="R47" s="243">
        <f>IF(R46+1&lt;=MIN('Données projet'!$E$9:$E$18),R46+1,"STOP")</f>
        <v>19</v>
      </c>
      <c r="S47" s="227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s="219">
        <f>'Données projet'!A64</f>
        <v>30</v>
      </c>
      <c r="B48" s="220">
        <f>'Données projet'!D64</f>
        <v>79</v>
      </c>
      <c r="C48" s="242">
        <v>25</v>
      </c>
      <c r="D48" s="218">
        <f t="shared" si="3"/>
        <v>1975</v>
      </c>
      <c r="E48" s="242"/>
      <c r="F48" s="234"/>
      <c r="G48" s="235"/>
      <c r="H48" s="5"/>
      <c r="I48" s="5"/>
      <c r="J48" s="5"/>
      <c r="K48" s="5"/>
      <c r="L48" s="5"/>
      <c r="M48" s="5"/>
      <c r="N48" s="204"/>
      <c r="O48" s="5"/>
      <c r="P48" s="5"/>
      <c r="Q48" s="5"/>
      <c r="R48" s="243">
        <f>IF(R47+1&lt;=MIN('Données projet'!$E$9:$E$18),R47+1,"STOP")</f>
        <v>20</v>
      </c>
      <c r="S48" s="227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5">
      <c r="A49" s="219">
        <f>'Données projet'!A65</f>
        <v>36</v>
      </c>
      <c r="B49" s="220">
        <f>'Données projet'!D65</f>
        <v>92</v>
      </c>
      <c r="C49" s="242">
        <v>35</v>
      </c>
      <c r="D49" s="218">
        <f t="shared" si="3"/>
        <v>3220</v>
      </c>
      <c r="E49" s="242"/>
      <c r="F49" s="234"/>
      <c r="G49" s="235"/>
      <c r="H49" s="5"/>
      <c r="I49" s="5"/>
      <c r="J49" s="5"/>
      <c r="K49" s="5"/>
      <c r="L49" s="5"/>
      <c r="M49" s="5"/>
      <c r="N49" s="204"/>
      <c r="O49" s="5"/>
      <c r="P49" s="5"/>
      <c r="Q49" s="5"/>
      <c r="R49" s="243">
        <f>IF(R48+1&lt;=MIN('Données projet'!$E$9:$E$18),R48+1,"STOP")</f>
        <v>21</v>
      </c>
      <c r="S49" s="227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219">
        <f>'Données projet'!A66</f>
        <v>42</v>
      </c>
      <c r="B50" s="220">
        <f>'Données projet'!D66</f>
        <v>88</v>
      </c>
      <c r="C50" s="242">
        <v>40</v>
      </c>
      <c r="D50" s="218">
        <f t="shared" si="3"/>
        <v>3520</v>
      </c>
      <c r="E50" s="242"/>
      <c r="F50" s="234"/>
      <c r="G50" s="235"/>
      <c r="H50" s="5"/>
      <c r="I50" s="5"/>
      <c r="J50" s="236"/>
      <c r="K50" s="236"/>
      <c r="L50" s="236"/>
      <c r="M50" s="5"/>
      <c r="N50" s="204"/>
      <c r="O50" s="5"/>
      <c r="P50" s="5"/>
      <c r="Q50" s="5"/>
      <c r="R50" s="243">
        <f>IF(R49+1&lt;=MIN('Données projet'!$E$9:$E$18),R49+1,"STOP")</f>
        <v>22</v>
      </c>
      <c r="S50" s="227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219">
        <f>'Données projet'!A67</f>
        <v>48</v>
      </c>
      <c r="B51" s="220">
        <f>'Données projet'!D67</f>
        <v>102</v>
      </c>
      <c r="C51" s="242">
        <v>50</v>
      </c>
      <c r="D51" s="218">
        <f t="shared" si="3"/>
        <v>5100</v>
      </c>
      <c r="E51" s="242"/>
      <c r="F51" s="234"/>
      <c r="G51" s="235"/>
      <c r="H51" s="5"/>
      <c r="I51" s="5"/>
      <c r="J51" s="236"/>
      <c r="K51" s="236"/>
      <c r="L51" s="236"/>
      <c r="M51" s="5"/>
      <c r="N51" s="204"/>
      <c r="O51" s="5"/>
      <c r="P51" s="5"/>
      <c r="Q51" s="5"/>
      <c r="R51" s="243">
        <f>IF(R50+1&lt;=MIN('Données projet'!$E$9:$E$18),R50+1,"STOP")</f>
        <v>23</v>
      </c>
      <c r="S51" s="227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219">
        <f>'Données projet'!A68</f>
        <v>54</v>
      </c>
      <c r="B52" s="220">
        <f>'Données projet'!D68</f>
        <v>640</v>
      </c>
      <c r="C52" s="242">
        <v>90</v>
      </c>
      <c r="D52" s="218">
        <f t="shared" si="3"/>
        <v>57600</v>
      </c>
      <c r="E52" s="242"/>
      <c r="F52" s="234"/>
      <c r="G52" s="235"/>
      <c r="H52" s="5"/>
      <c r="I52" s="5"/>
      <c r="J52" s="236"/>
      <c r="K52" s="236"/>
      <c r="L52" s="236"/>
      <c r="M52" s="5"/>
      <c r="N52" s="204"/>
      <c r="O52" s="5"/>
      <c r="P52" s="5"/>
      <c r="Q52" s="5"/>
      <c r="R52" s="243">
        <f>IF(R51+1&lt;=MIN('Données projet'!$E$9:$E$18),R51+1,"STOP")</f>
        <v>24</v>
      </c>
      <c r="S52" s="227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5">
      <c r="A53" s="219">
        <f>'Données projet'!A69</f>
        <v>0</v>
      </c>
      <c r="B53" s="220">
        <f>'Données projet'!D69</f>
        <v>0</v>
      </c>
      <c r="C53" s="242"/>
      <c r="D53" s="218">
        <f t="shared" si="3"/>
        <v>0</v>
      </c>
      <c r="E53" s="242"/>
      <c r="F53" s="234"/>
      <c r="G53" s="235"/>
      <c r="H53" s="5"/>
      <c r="I53" s="5"/>
      <c r="J53" s="236"/>
      <c r="K53" s="236"/>
      <c r="L53" s="236"/>
      <c r="M53" s="5"/>
      <c r="N53" s="204"/>
      <c r="O53" s="5"/>
      <c r="P53" s="5"/>
      <c r="Q53" s="5"/>
      <c r="R53" s="243">
        <f>IF(R52+1&lt;=MIN('Données projet'!$E$9:$E$18),R52+1,"STOP")</f>
        <v>25</v>
      </c>
      <c r="S53" s="227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5">
      <c r="A54" s="219">
        <f>'Données projet'!A70</f>
        <v>0</v>
      </c>
      <c r="B54" s="220">
        <f>'Données projet'!D70</f>
        <v>0</v>
      </c>
      <c r="C54" s="242"/>
      <c r="D54" s="218">
        <f t="shared" si="3"/>
        <v>0</v>
      </c>
      <c r="E54" s="242"/>
      <c r="F54" s="234"/>
      <c r="G54" s="235"/>
      <c r="H54" s="5"/>
      <c r="I54" s="5"/>
      <c r="J54" s="236"/>
      <c r="K54" s="236"/>
      <c r="L54" s="236"/>
      <c r="M54" s="5"/>
      <c r="N54" s="204"/>
      <c r="O54" s="5"/>
      <c r="P54" s="5"/>
      <c r="Q54" s="5"/>
      <c r="R54" s="243">
        <f>IF(R53+1&lt;=MIN('Données projet'!$E$9:$E$18),R53+1,"STOP")</f>
        <v>26</v>
      </c>
      <c r="S54" s="227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5">
      <c r="A55" s="219">
        <f>'Données projet'!A71</f>
        <v>0</v>
      </c>
      <c r="B55" s="220">
        <f>'Données projet'!D71</f>
        <v>0</v>
      </c>
      <c r="C55" s="242"/>
      <c r="D55" s="218">
        <f t="shared" si="3"/>
        <v>0</v>
      </c>
      <c r="E55" s="242"/>
      <c r="F55" s="234"/>
      <c r="G55" s="235"/>
      <c r="H55" s="5"/>
      <c r="I55" s="5"/>
      <c r="J55" s="236"/>
      <c r="K55" s="236"/>
      <c r="L55" s="236"/>
      <c r="M55" s="5"/>
      <c r="N55" s="204"/>
      <c r="O55" s="5"/>
      <c r="P55" s="5"/>
      <c r="Q55" s="5"/>
      <c r="R55" s="243">
        <f>IF(R54+1&lt;=MIN('Données projet'!$E$9:$E$18),R54+1,"STOP")</f>
        <v>27</v>
      </c>
      <c r="S55" s="227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5">
      <c r="A56" s="219">
        <f>'Données projet'!A72</f>
        <v>0</v>
      </c>
      <c r="B56" s="220">
        <f>'Données projet'!D72</f>
        <v>0</v>
      </c>
      <c r="C56" s="240"/>
      <c r="D56" s="218">
        <f t="shared" si="3"/>
        <v>0</v>
      </c>
      <c r="E56" s="242"/>
      <c r="F56" s="234"/>
      <c r="G56" s="235"/>
      <c r="H56" s="5"/>
      <c r="I56" s="5"/>
      <c r="J56" s="236"/>
      <c r="K56" s="236"/>
      <c r="L56" s="236"/>
      <c r="M56" s="5"/>
      <c r="N56" s="204"/>
      <c r="O56" s="5"/>
      <c r="P56" s="5"/>
      <c r="Q56" s="5"/>
      <c r="R56" s="243">
        <f>IF(R55+1&lt;=MIN('Données projet'!$E$9:$E$18),R55+1,"STOP")</f>
        <v>28</v>
      </c>
      <c r="S56" s="227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5">
      <c r="A57" s="219">
        <f>'Données projet'!A73</f>
        <v>0</v>
      </c>
      <c r="B57" s="220">
        <f>'Données projet'!D73</f>
        <v>0</v>
      </c>
      <c r="C57" s="240"/>
      <c r="D57" s="218">
        <f t="shared" si="3"/>
        <v>0</v>
      </c>
      <c r="E57" s="242"/>
      <c r="F57" s="234"/>
      <c r="G57" s="235"/>
      <c r="H57" s="5"/>
      <c r="I57" s="5"/>
      <c r="J57" s="236"/>
      <c r="K57" s="236"/>
      <c r="L57" s="236"/>
      <c r="M57" s="5"/>
      <c r="N57" s="204"/>
      <c r="O57" s="5"/>
      <c r="P57" s="5"/>
      <c r="Q57" s="5"/>
      <c r="R57" s="243">
        <f>IF(R56+1&lt;=MIN('Données projet'!$E$9:$E$18),R56+1,"STOP")</f>
        <v>29</v>
      </c>
      <c r="S57" s="227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219">
        <f>'Données projet'!A74</f>
        <v>0</v>
      </c>
      <c r="B58" s="220">
        <f>'Données projet'!D74</f>
        <v>0</v>
      </c>
      <c r="C58" s="240"/>
      <c r="D58" s="218">
        <f t="shared" si="3"/>
        <v>0</v>
      </c>
      <c r="E58" s="242"/>
      <c r="F58" s="234"/>
      <c r="G58" s="235"/>
      <c r="H58" s="5"/>
      <c r="I58" s="5"/>
      <c r="J58" s="5"/>
      <c r="K58" s="5"/>
      <c r="L58" s="5"/>
      <c r="M58" s="5"/>
      <c r="N58" s="204"/>
      <c r="O58" s="5"/>
      <c r="P58" s="5"/>
      <c r="Q58" s="5"/>
      <c r="R58" s="243">
        <f>IF(R57+1&lt;=MIN('Données projet'!$E$9:$E$18),R57+1,"STOP")</f>
        <v>30</v>
      </c>
      <c r="S58" s="227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5">
      <c r="A59" s="219">
        <f>'Données projet'!A75</f>
        <v>0</v>
      </c>
      <c r="B59" s="220">
        <f>'Données projet'!D75</f>
        <v>0</v>
      </c>
      <c r="C59" s="240"/>
      <c r="D59" s="218">
        <f t="shared" si="3"/>
        <v>0</v>
      </c>
      <c r="E59" s="242"/>
      <c r="F59" s="234"/>
      <c r="G59" s="235"/>
      <c r="H59" s="5"/>
      <c r="I59" s="5"/>
      <c r="J59" s="5"/>
      <c r="K59" s="5"/>
      <c r="L59" s="5"/>
      <c r="M59" s="5"/>
      <c r="N59" s="204"/>
      <c r="O59" s="5"/>
      <c r="P59" s="5"/>
      <c r="Q59" s="5"/>
      <c r="R59" s="243">
        <f>IF(R58+1&lt;=MIN('Données projet'!$E$9:$E$18),R58+1,"STOP")</f>
        <v>31</v>
      </c>
      <c r="S59" s="227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5">
      <c r="A60" s="219">
        <f>'Données projet'!A76</f>
        <v>0</v>
      </c>
      <c r="B60" s="220">
        <f>'Données projet'!D76</f>
        <v>0</v>
      </c>
      <c r="C60" s="240"/>
      <c r="D60" s="218">
        <f t="shared" si="3"/>
        <v>0</v>
      </c>
      <c r="E60" s="242"/>
      <c r="F60" s="234"/>
      <c r="G60" s="235"/>
      <c r="H60" s="5"/>
      <c r="I60" s="5"/>
      <c r="J60" s="5"/>
      <c r="K60" s="5"/>
      <c r="L60" s="5"/>
      <c r="M60" s="5"/>
      <c r="N60" s="204"/>
      <c r="O60" s="5"/>
      <c r="P60" s="5"/>
      <c r="Q60" s="5"/>
      <c r="R60" s="243">
        <f>IF(R59+1&lt;=MIN('Données projet'!$E$9:$E$18),R59+1,"STOP")</f>
        <v>32</v>
      </c>
      <c r="S60" s="227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5">
      <c r="A61" s="219">
        <f>'Données projet'!A77</f>
        <v>0</v>
      </c>
      <c r="B61" s="220">
        <f>'Données projet'!D77</f>
        <v>0</v>
      </c>
      <c r="C61" s="240"/>
      <c r="D61" s="218">
        <f t="shared" si="3"/>
        <v>0</v>
      </c>
      <c r="E61" s="242"/>
      <c r="F61" s="234"/>
      <c r="G61" s="235"/>
      <c r="H61" s="5"/>
      <c r="I61" s="5"/>
      <c r="J61" s="5"/>
      <c r="K61" s="5"/>
      <c r="L61" s="5"/>
      <c r="M61" s="5"/>
      <c r="N61" s="204"/>
      <c r="O61" s="5"/>
      <c r="P61" s="5"/>
      <c r="Q61" s="5"/>
      <c r="R61" s="243">
        <f>IF(R60+1&lt;=MIN('Données projet'!$E$9:$E$18),R60+1,"STOP")</f>
        <v>33</v>
      </c>
      <c r="S61" s="227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5">
      <c r="A62" s="219">
        <f>'Données projet'!A78</f>
        <v>0</v>
      </c>
      <c r="B62" s="220">
        <f>'Données projet'!D78</f>
        <v>0</v>
      </c>
      <c r="C62" s="240"/>
      <c r="D62" s="218">
        <f t="shared" si="3"/>
        <v>0</v>
      </c>
      <c r="E62" s="242"/>
      <c r="F62" s="234"/>
      <c r="G62" s="235"/>
      <c r="H62" s="5"/>
      <c r="I62" s="5"/>
      <c r="J62" s="5"/>
      <c r="K62" s="5"/>
      <c r="L62" s="5"/>
      <c r="M62" s="5"/>
      <c r="N62" s="204"/>
      <c r="O62" s="5"/>
      <c r="P62" s="5"/>
      <c r="Q62" s="5"/>
      <c r="R62" s="243">
        <f>IF(R61+1&lt;=MIN('Données projet'!$E$9:$E$18),R61+1,"STOP")</f>
        <v>34</v>
      </c>
      <c r="S62" s="227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5">
      <c r="A63" s="219">
        <f>'Données projet'!A79</f>
        <v>0</v>
      </c>
      <c r="B63" s="220">
        <f>'Données projet'!D79</f>
        <v>0</v>
      </c>
      <c r="C63" s="240"/>
      <c r="D63" s="218">
        <f t="shared" si="3"/>
        <v>0</v>
      </c>
      <c r="E63" s="242"/>
      <c r="F63" s="234"/>
      <c r="G63" s="235"/>
      <c r="H63" s="5"/>
      <c r="I63" s="5"/>
      <c r="J63" s="5"/>
      <c r="K63" s="5"/>
      <c r="L63" s="5"/>
      <c r="M63" s="5"/>
      <c r="N63" s="204"/>
      <c r="O63" s="5"/>
      <c r="P63" s="5"/>
      <c r="Q63" s="5"/>
      <c r="R63" s="243">
        <f>IF(R62+1&lt;=MIN('Données projet'!$E$9:$E$18),R62+1,"STOP")</f>
        <v>35</v>
      </c>
      <c r="S63" s="227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5">
      <c r="A64" s="219">
        <f>'Données projet'!A80</f>
        <v>0</v>
      </c>
      <c r="B64" s="220">
        <f>'Données projet'!D80</f>
        <v>0</v>
      </c>
      <c r="C64" s="240"/>
      <c r="D64" s="218">
        <f t="shared" si="3"/>
        <v>0</v>
      </c>
      <c r="E64" s="242"/>
      <c r="F64" s="234"/>
      <c r="G64" s="235"/>
      <c r="H64" s="5"/>
      <c r="I64" s="5"/>
      <c r="J64" s="5"/>
      <c r="K64" s="5"/>
      <c r="L64" s="5"/>
      <c r="M64" s="5"/>
      <c r="N64" s="204"/>
      <c r="O64" s="5"/>
      <c r="P64" s="5"/>
      <c r="Q64" s="5"/>
      <c r="R64" s="243">
        <f>IF(R63+1&lt;=MIN('Données projet'!$E$9:$E$18),R63+1,"STOP")</f>
        <v>36</v>
      </c>
      <c r="S64" s="227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5">
      <c r="A65" s="219">
        <f>'Données projet'!A81</f>
        <v>0</v>
      </c>
      <c r="B65" s="220">
        <f>'Données projet'!D81</f>
        <v>0</v>
      </c>
      <c r="C65" s="240"/>
      <c r="D65" s="218">
        <f t="shared" si="3"/>
        <v>0</v>
      </c>
      <c r="E65" s="242"/>
      <c r="F65" s="234"/>
      <c r="G65" s="235"/>
      <c r="H65" s="5"/>
      <c r="I65" s="5"/>
      <c r="J65" s="5"/>
      <c r="K65" s="5"/>
      <c r="L65" s="5"/>
      <c r="M65" s="5"/>
      <c r="N65" s="204"/>
      <c r="O65" s="5"/>
      <c r="P65" s="5"/>
      <c r="Q65" s="5"/>
      <c r="R65" s="243">
        <f>IF(R64+1&lt;=MIN('Données projet'!$E$9:$E$18),R64+1,"STOP")</f>
        <v>37</v>
      </c>
      <c r="S65" s="227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5">
      <c r="A66" s="5"/>
      <c r="B66" s="5"/>
      <c r="C66" s="5"/>
      <c r="D66" s="5"/>
      <c r="E66" s="5"/>
      <c r="F66" s="202"/>
      <c r="G66" s="112"/>
      <c r="H66" s="5"/>
      <c r="I66" s="5"/>
      <c r="J66" s="5"/>
      <c r="K66" s="5"/>
      <c r="L66" s="5"/>
      <c r="M66" s="5"/>
      <c r="N66" s="204"/>
      <c r="O66" s="5"/>
      <c r="P66" s="5"/>
      <c r="Q66" s="5"/>
      <c r="R66" s="243">
        <f>IF(R65+1&lt;=MIN('Données projet'!$E$9:$E$18),R65+1,"STOP")</f>
        <v>38</v>
      </c>
      <c r="S66" s="227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5">
      <c r="A67" s="5"/>
      <c r="B67" s="5"/>
      <c r="C67" s="5"/>
      <c r="D67" s="5"/>
      <c r="E67" s="5"/>
      <c r="F67" s="202"/>
      <c r="G67" s="112"/>
      <c r="H67" s="5"/>
      <c r="I67" s="5"/>
      <c r="J67" s="5"/>
      <c r="K67" s="5"/>
      <c r="L67" s="5"/>
      <c r="M67" s="5"/>
      <c r="N67" s="204"/>
      <c r="O67" s="5"/>
      <c r="P67" s="5"/>
      <c r="Q67" s="5"/>
      <c r="R67" s="243">
        <f>IF(R66+1&lt;=MIN('Données projet'!$E$9:$E$18),R66+1,"STOP")</f>
        <v>39</v>
      </c>
      <c r="S67" s="227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5">
      <c r="A68" s="49" t="s">
        <v>167</v>
      </c>
      <c r="B68" s="212" t="str">
        <f>IF('Données projet'!B11="","",'Données projet'!B11)</f>
        <v>Chêne rouge d'Amérique</v>
      </c>
      <c r="C68" s="5"/>
      <c r="D68" s="5"/>
      <c r="E68" s="5"/>
      <c r="F68" s="202"/>
      <c r="G68" s="112"/>
      <c r="H68" s="5"/>
      <c r="I68" s="5"/>
      <c r="J68" s="5"/>
      <c r="K68" s="5"/>
      <c r="L68" s="5"/>
      <c r="M68" s="5"/>
      <c r="N68" s="204"/>
      <c r="O68" s="5"/>
      <c r="P68" s="5"/>
      <c r="Q68" s="5"/>
      <c r="R68" s="243">
        <f>IF(R67+1&lt;=MIN('Données projet'!$E$9:$E$18),R67+1,"STOP")</f>
        <v>40</v>
      </c>
      <c r="S68" s="227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5">
      <c r="A69" s="5"/>
      <c r="B69" s="5"/>
      <c r="C69" s="5"/>
      <c r="D69" s="5"/>
      <c r="E69" s="5"/>
      <c r="F69" s="202"/>
      <c r="G69" s="112"/>
      <c r="H69" s="5"/>
      <c r="I69" s="5"/>
      <c r="J69" s="5"/>
      <c r="K69" s="5"/>
      <c r="L69" s="5"/>
      <c r="M69" s="5"/>
      <c r="N69" s="204"/>
      <c r="O69" s="5"/>
      <c r="P69" s="5"/>
      <c r="Q69" s="5"/>
      <c r="R69" s="243">
        <f>IF(R68+1&lt;=MIN('Données projet'!$E$9:$E$18),R68+1,"STOP")</f>
        <v>41</v>
      </c>
      <c r="S69" s="227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25">
      <c r="A70" s="211" t="s">
        <v>180</v>
      </c>
      <c r="B70" s="51" t="s">
        <v>256</v>
      </c>
      <c r="C70" s="51" t="s">
        <v>255</v>
      </c>
      <c r="D70" s="211" t="s">
        <v>252</v>
      </c>
      <c r="E70" s="211" t="s">
        <v>288</v>
      </c>
      <c r="F70" s="233"/>
      <c r="G70" s="215"/>
      <c r="H70" s="5"/>
      <c r="I70" s="5"/>
      <c r="J70" s="5"/>
      <c r="K70" s="5"/>
      <c r="L70" s="5"/>
      <c r="M70" s="5"/>
      <c r="N70" s="204"/>
      <c r="O70" s="5"/>
      <c r="P70" s="5"/>
      <c r="Q70" s="5"/>
      <c r="R70" s="243">
        <f>IF(R69+1&lt;=MIN('Données projet'!$E$9:$E$18),R69+1,"STOP")</f>
        <v>42</v>
      </c>
      <c r="S70" s="227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5">
      <c r="A71" s="219">
        <f>'Données projet'!A88</f>
        <v>20</v>
      </c>
      <c r="B71" s="220">
        <f>'Données projet'!D88</f>
        <v>33</v>
      </c>
      <c r="C71" s="242">
        <v>10</v>
      </c>
      <c r="D71" s="218">
        <f>B71*C71</f>
        <v>330</v>
      </c>
      <c r="E71" s="242"/>
      <c r="F71" s="234"/>
      <c r="G71" s="235"/>
      <c r="H71" s="5"/>
      <c r="I71" s="5"/>
      <c r="J71" s="5"/>
      <c r="K71" s="5"/>
      <c r="L71" s="5"/>
      <c r="M71" s="5"/>
      <c r="N71" s="204"/>
      <c r="O71" s="5"/>
      <c r="P71" s="5"/>
      <c r="Q71" s="5"/>
      <c r="R71" s="243">
        <f>IF(R70+1&lt;=MIN('Données projet'!$E$9:$E$18),R70+1,"STOP")</f>
        <v>43</v>
      </c>
      <c r="S71" s="227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25">
      <c r="A72" s="219">
        <f>'Données projet'!A89</f>
        <v>25</v>
      </c>
      <c r="B72" s="220">
        <f>'Données projet'!D89</f>
        <v>0</v>
      </c>
      <c r="C72" s="242"/>
      <c r="D72" s="218">
        <f t="shared" ref="D72:D90" si="5">B72*C72</f>
        <v>0</v>
      </c>
      <c r="E72" s="242"/>
      <c r="F72" s="234"/>
      <c r="G72" s="235"/>
      <c r="H72" s="5"/>
      <c r="I72" s="5"/>
      <c r="J72" s="5"/>
      <c r="K72" s="5"/>
      <c r="L72" s="5"/>
      <c r="M72" s="5"/>
      <c r="N72" s="204"/>
      <c r="O72" s="5"/>
      <c r="P72" s="5"/>
      <c r="Q72" s="5"/>
      <c r="R72" s="243">
        <f>IF(R71+1&lt;=MIN('Données projet'!$E$9:$E$18),R71+1,"STOP")</f>
        <v>44</v>
      </c>
      <c r="S72" s="227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25">
      <c r="A73" s="219">
        <f>'Données projet'!A90</f>
        <v>30</v>
      </c>
      <c r="B73" s="220">
        <f>'Données projet'!D90</f>
        <v>67</v>
      </c>
      <c r="C73" s="242">
        <v>10</v>
      </c>
      <c r="D73" s="218">
        <f t="shared" si="5"/>
        <v>670</v>
      </c>
      <c r="E73" s="242"/>
      <c r="F73" s="234"/>
      <c r="G73" s="235"/>
      <c r="H73" s="5"/>
      <c r="I73" s="5"/>
      <c r="J73" s="5"/>
      <c r="K73" s="5"/>
      <c r="L73" s="5"/>
      <c r="M73" s="5"/>
      <c r="N73" s="204"/>
      <c r="O73" s="5"/>
      <c r="P73" s="5"/>
      <c r="Q73" s="5"/>
      <c r="R73" s="243" t="str">
        <f>IF(R72+1&lt;=MIN('Données projet'!$E$9:$E$18),R72+1,"STOP")</f>
        <v>STOP</v>
      </c>
      <c r="S73" s="227" t="e">
        <f t="shared" si="4"/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5">
      <c r="A74" s="219">
        <f>'Données projet'!A91</f>
        <v>35</v>
      </c>
      <c r="B74" s="220">
        <f>'Données projet'!D91</f>
        <v>0</v>
      </c>
      <c r="C74" s="242"/>
      <c r="D74" s="218">
        <f t="shared" si="5"/>
        <v>0</v>
      </c>
      <c r="E74" s="242"/>
      <c r="F74" s="234"/>
      <c r="G74" s="235"/>
      <c r="H74" s="5"/>
      <c r="I74" s="5"/>
      <c r="J74" s="5"/>
      <c r="K74" s="5"/>
      <c r="L74" s="5"/>
      <c r="M74" s="5"/>
      <c r="N74" s="204"/>
      <c r="O74" s="5"/>
      <c r="P74" s="5"/>
      <c r="Q74" s="5"/>
      <c r="R74" s="243" t="e">
        <f>IF(R73+1&lt;=MIN('Données projet'!$E$9:$E$18),R73+1,"STOP")</f>
        <v>#VALUE!</v>
      </c>
      <c r="S74" s="227" t="e">
        <f t="shared" si="4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5">
      <c r="A75" s="219">
        <f>'Données projet'!A92</f>
        <v>40</v>
      </c>
      <c r="B75" s="220">
        <f>'Données projet'!D92</f>
        <v>66</v>
      </c>
      <c r="C75" s="242">
        <v>15</v>
      </c>
      <c r="D75" s="218">
        <f t="shared" si="5"/>
        <v>990</v>
      </c>
      <c r="E75" s="242"/>
      <c r="F75" s="234"/>
      <c r="G75" s="235"/>
      <c r="H75" s="5"/>
      <c r="I75" s="5"/>
      <c r="J75" s="5"/>
      <c r="K75" s="5"/>
      <c r="L75" s="5"/>
      <c r="M75" s="5"/>
      <c r="N75" s="204"/>
      <c r="O75" s="5"/>
      <c r="P75" s="5"/>
      <c r="Q75" s="5"/>
      <c r="R75" s="243" t="e">
        <f>IF(R74+1&lt;=MIN('Données projet'!$E$9:$E$18),R74+1,"STOP")</f>
        <v>#VALUE!</v>
      </c>
      <c r="S75" s="227" t="e">
        <f t="shared" si="4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5">
      <c r="A76" s="219">
        <f>'Données projet'!A93</f>
        <v>45</v>
      </c>
      <c r="B76" s="220">
        <f>'Données projet'!D93</f>
        <v>0</v>
      </c>
      <c r="C76" s="242"/>
      <c r="D76" s="218">
        <f t="shared" si="5"/>
        <v>0</v>
      </c>
      <c r="E76" s="242"/>
      <c r="F76" s="234"/>
      <c r="G76" s="235"/>
      <c r="H76" s="5"/>
      <c r="I76" s="5"/>
      <c r="J76" s="5"/>
      <c r="K76" s="5"/>
      <c r="L76" s="5"/>
      <c r="M76" s="5"/>
      <c r="N76" s="204"/>
      <c r="O76" s="5"/>
      <c r="P76" s="5"/>
      <c r="Q76" s="5"/>
      <c r="R76" s="243" t="e">
        <f>IF(R75+1&lt;=MIN('Données projet'!$E$9:$E$18),R75+1,"STOP")</f>
        <v>#VALUE!</v>
      </c>
      <c r="S76" s="227" t="e">
        <f t="shared" si="4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219">
        <f>'Données projet'!A94</f>
        <v>50</v>
      </c>
      <c r="B77" s="220">
        <f>'Données projet'!D94</f>
        <v>64</v>
      </c>
      <c r="C77" s="242">
        <v>15</v>
      </c>
      <c r="D77" s="218">
        <f t="shared" si="5"/>
        <v>960</v>
      </c>
      <c r="E77" s="242"/>
      <c r="F77" s="234"/>
      <c r="G77" s="235"/>
      <c r="H77" s="5"/>
      <c r="I77" s="5"/>
      <c r="J77" s="5"/>
      <c r="K77" s="5"/>
      <c r="L77" s="5"/>
      <c r="M77" s="5"/>
      <c r="N77" s="204"/>
      <c r="O77" s="5"/>
      <c r="P77" s="5"/>
      <c r="Q77" s="5"/>
      <c r="R77" s="243" t="e">
        <f>IF(R76+1&lt;=MIN('Données projet'!$E$9:$E$18),R76+1,"STOP")</f>
        <v>#VALUE!</v>
      </c>
      <c r="S77" s="227" t="e">
        <f t="shared" si="4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5">
      <c r="A78" s="219">
        <f>'Données projet'!A95</f>
        <v>55</v>
      </c>
      <c r="B78" s="220">
        <f>'Données projet'!D95</f>
        <v>0</v>
      </c>
      <c r="C78" s="242"/>
      <c r="D78" s="218">
        <f t="shared" si="5"/>
        <v>0</v>
      </c>
      <c r="E78" s="242"/>
      <c r="F78" s="234"/>
      <c r="G78" s="235"/>
      <c r="H78" s="5"/>
      <c r="I78" s="5"/>
      <c r="J78" s="5"/>
      <c r="K78" s="5"/>
      <c r="L78" s="5"/>
      <c r="M78" s="5"/>
      <c r="N78" s="204"/>
      <c r="O78" s="5"/>
      <c r="P78" s="5"/>
      <c r="Q78" s="5"/>
      <c r="R78" s="243" t="e">
        <f>IF(R77+1&lt;=MIN('Données projet'!$E$9:$E$18),R77+1,"STOP")</f>
        <v>#VALUE!</v>
      </c>
      <c r="S78" s="227" t="e">
        <f t="shared" si="4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5">
      <c r="A79" s="219">
        <f>'Données projet'!A96</f>
        <v>60</v>
      </c>
      <c r="B79" s="220">
        <f>'Données projet'!D96</f>
        <v>63</v>
      </c>
      <c r="C79" s="242">
        <v>20</v>
      </c>
      <c r="D79" s="218">
        <f t="shared" si="5"/>
        <v>1260</v>
      </c>
      <c r="E79" s="242"/>
      <c r="F79" s="234"/>
      <c r="G79" s="235"/>
      <c r="H79" s="5"/>
      <c r="I79" s="5"/>
      <c r="J79" s="5"/>
      <c r="K79" s="5"/>
      <c r="L79" s="5"/>
      <c r="M79" s="5"/>
      <c r="N79" s="204"/>
      <c r="O79" s="5"/>
      <c r="P79" s="5"/>
      <c r="Q79" s="5"/>
      <c r="R79" s="243" t="e">
        <f>IF(R78+1&lt;=MIN('Données projet'!$E$9:$E$18),R78+1,"STOP")</f>
        <v>#VALUE!</v>
      </c>
      <c r="S79" s="227" t="e">
        <f t="shared" si="4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5">
      <c r="A80" s="219">
        <f>'Données projet'!A97</f>
        <v>65</v>
      </c>
      <c r="B80" s="220">
        <f>'Données projet'!D97</f>
        <v>0</v>
      </c>
      <c r="C80" s="242"/>
      <c r="D80" s="218">
        <f t="shared" si="5"/>
        <v>0</v>
      </c>
      <c r="E80" s="242"/>
      <c r="F80" s="234"/>
      <c r="G80" s="235"/>
      <c r="H80" s="5"/>
      <c r="I80" s="5"/>
      <c r="J80" s="5"/>
      <c r="K80" s="5"/>
      <c r="L80" s="5"/>
      <c r="M80" s="5"/>
      <c r="N80" s="204"/>
      <c r="O80" s="5"/>
      <c r="P80" s="5"/>
      <c r="Q80" s="5"/>
      <c r="R80" s="243" t="e">
        <f>IF(R79+1&lt;=MIN('Données projet'!$E$9:$E$18),R79+1,"STOP")</f>
        <v>#VALUE!</v>
      </c>
      <c r="S80" s="227" t="e">
        <f t="shared" si="4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5">
      <c r="A81" s="219">
        <f>'Données projet'!A98</f>
        <v>70</v>
      </c>
      <c r="B81" s="220">
        <f>'Données projet'!D98</f>
        <v>62</v>
      </c>
      <c r="C81" s="242">
        <v>30</v>
      </c>
      <c r="D81" s="218">
        <f t="shared" si="5"/>
        <v>1860</v>
      </c>
      <c r="E81" s="242"/>
      <c r="F81" s="234"/>
      <c r="G81" s="235"/>
      <c r="H81" s="5"/>
      <c r="I81" s="5"/>
      <c r="J81" s="5"/>
      <c r="K81" s="5"/>
      <c r="L81" s="5"/>
      <c r="M81" s="5"/>
      <c r="N81" s="204"/>
      <c r="O81" s="5"/>
      <c r="P81" s="5"/>
      <c r="Q81" s="5"/>
      <c r="R81" s="243" t="e">
        <f>IF(R80+1&lt;=MIN('Données projet'!$E$9:$E$18),R80+1,"STOP")</f>
        <v>#VALUE!</v>
      </c>
      <c r="S81" s="227" t="e">
        <f t="shared" si="4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5">
      <c r="A82" s="219">
        <f>'Données projet'!A99</f>
        <v>75</v>
      </c>
      <c r="B82" s="220">
        <f>'Données projet'!D99</f>
        <v>0</v>
      </c>
      <c r="C82" s="242"/>
      <c r="D82" s="218">
        <f t="shared" si="5"/>
        <v>0</v>
      </c>
      <c r="E82" s="242"/>
      <c r="F82" s="234"/>
      <c r="G82" s="235"/>
      <c r="H82" s="5"/>
      <c r="I82" s="5"/>
      <c r="J82" s="5"/>
      <c r="K82" s="5"/>
      <c r="L82" s="5"/>
      <c r="M82" s="5"/>
      <c r="N82" s="204"/>
      <c r="O82" s="5"/>
      <c r="P82" s="5"/>
      <c r="Q82" s="5"/>
      <c r="R82" s="243" t="e">
        <f>IF(R81+1&lt;=MIN('Données projet'!$E$9:$E$18),R81+1,"STOP")</f>
        <v>#VALUE!</v>
      </c>
      <c r="S82" s="227" t="e">
        <f t="shared" si="4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5">
      <c r="A83" s="219">
        <f>'Données projet'!A100</f>
        <v>80</v>
      </c>
      <c r="B83" s="220">
        <f>'Données projet'!D100</f>
        <v>62</v>
      </c>
      <c r="C83" s="242">
        <v>40</v>
      </c>
      <c r="D83" s="218">
        <f t="shared" si="5"/>
        <v>2480</v>
      </c>
      <c r="E83" s="242"/>
      <c r="F83" s="234"/>
      <c r="G83" s="235"/>
      <c r="H83" s="5"/>
      <c r="I83" s="5"/>
      <c r="J83" s="5"/>
      <c r="K83" s="5"/>
      <c r="L83" s="5"/>
      <c r="M83" s="5"/>
      <c r="N83" s="204"/>
      <c r="O83" s="5"/>
      <c r="P83" s="5"/>
      <c r="Q83" s="5"/>
      <c r="R83" s="243" t="e">
        <f>IF(R82+1&lt;=MIN('Données projet'!$E$9:$E$18),R82+1,"STOP")</f>
        <v>#VALUE!</v>
      </c>
      <c r="S83" s="227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5">
      <c r="A84" s="219">
        <f>'Données projet'!A101</f>
        <v>85</v>
      </c>
      <c r="B84" s="220">
        <f>'Données projet'!D101</f>
        <v>0</v>
      </c>
      <c r="C84" s="242"/>
      <c r="D84" s="218">
        <f t="shared" si="5"/>
        <v>0</v>
      </c>
      <c r="E84" s="242"/>
      <c r="F84" s="234"/>
      <c r="G84" s="235"/>
      <c r="H84" s="5"/>
      <c r="I84" s="5"/>
      <c r="J84" s="5"/>
      <c r="K84" s="5"/>
      <c r="L84" s="5"/>
      <c r="M84" s="5"/>
      <c r="N84" s="204"/>
      <c r="O84" s="5"/>
      <c r="P84" s="5"/>
      <c r="Q84" s="5"/>
      <c r="R84" s="243"/>
      <c r="S84" s="227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5">
      <c r="A85" s="219">
        <f>'Données projet'!A102</f>
        <v>90</v>
      </c>
      <c r="B85" s="220">
        <f>'Données projet'!D102</f>
        <v>60</v>
      </c>
      <c r="C85" s="242">
        <v>50</v>
      </c>
      <c r="D85" s="218">
        <f t="shared" si="5"/>
        <v>3000</v>
      </c>
      <c r="E85" s="242"/>
      <c r="F85" s="234"/>
      <c r="G85" s="235"/>
      <c r="H85" s="5"/>
      <c r="I85" s="5"/>
      <c r="J85" s="5"/>
      <c r="K85" s="5"/>
      <c r="L85" s="5"/>
      <c r="M85" s="5"/>
      <c r="N85" s="204"/>
      <c r="O85" s="5"/>
      <c r="P85" s="5"/>
      <c r="Q85" s="5"/>
      <c r="R85" s="243"/>
      <c r="S85" s="227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5">
      <c r="A86" s="219">
        <f>'Données projet'!A103</f>
        <v>95</v>
      </c>
      <c r="B86" s="220">
        <f>'Données projet'!D103</f>
        <v>0</v>
      </c>
      <c r="C86" s="242"/>
      <c r="D86" s="218">
        <f t="shared" si="5"/>
        <v>0</v>
      </c>
      <c r="E86" s="242"/>
      <c r="F86" s="234"/>
      <c r="G86" s="235"/>
      <c r="H86" s="5"/>
      <c r="I86" s="5"/>
      <c r="J86" s="5"/>
      <c r="K86" s="5"/>
      <c r="L86" s="5"/>
      <c r="M86" s="5"/>
      <c r="N86" s="204"/>
      <c r="O86" s="5"/>
      <c r="P86" s="5"/>
      <c r="Q86" s="5"/>
      <c r="R86" s="243"/>
      <c r="S86" s="227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5">
      <c r="A87" s="219">
        <f>'Données projet'!A104</f>
        <v>100</v>
      </c>
      <c r="B87" s="220">
        <f>'Données projet'!D104</f>
        <v>460</v>
      </c>
      <c r="C87" s="242">
        <v>80</v>
      </c>
      <c r="D87" s="218">
        <f t="shared" si="5"/>
        <v>36800</v>
      </c>
      <c r="E87" s="242"/>
      <c r="F87" s="234"/>
      <c r="G87" s="235"/>
      <c r="H87" s="5"/>
      <c r="I87" s="5"/>
      <c r="J87" s="5"/>
      <c r="K87" s="5"/>
      <c r="L87" s="5"/>
      <c r="M87" s="5"/>
      <c r="N87" s="204"/>
      <c r="O87" s="5"/>
      <c r="P87" s="5"/>
      <c r="Q87" s="5"/>
      <c r="R87" s="243"/>
      <c r="S87" s="227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5">
      <c r="A88" s="219">
        <f>'Données projet'!A105</f>
        <v>0</v>
      </c>
      <c r="B88" s="220">
        <f>'Données projet'!D105</f>
        <v>0</v>
      </c>
      <c r="C88" s="242"/>
      <c r="D88" s="218">
        <f t="shared" si="5"/>
        <v>0</v>
      </c>
      <c r="E88" s="242"/>
      <c r="F88" s="234"/>
      <c r="G88" s="235"/>
      <c r="H88" s="5"/>
      <c r="I88" s="5"/>
      <c r="J88" s="5"/>
      <c r="K88" s="5"/>
      <c r="L88" s="5"/>
      <c r="M88" s="5"/>
      <c r="N88" s="204"/>
      <c r="O88" s="5"/>
      <c r="P88" s="5"/>
      <c r="Q88" s="5"/>
      <c r="R88" s="243"/>
      <c r="S88" s="227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5">
      <c r="A89" s="219">
        <f>'Données projet'!A106</f>
        <v>0</v>
      </c>
      <c r="B89" s="220">
        <f>'Données projet'!D106</f>
        <v>0</v>
      </c>
      <c r="C89" s="240"/>
      <c r="D89" s="218">
        <f t="shared" si="5"/>
        <v>0</v>
      </c>
      <c r="E89" s="242"/>
      <c r="F89" s="234"/>
      <c r="G89" s="235"/>
      <c r="H89" s="5"/>
      <c r="I89" s="5"/>
      <c r="J89" s="5"/>
      <c r="K89" s="5"/>
      <c r="L89" s="5"/>
      <c r="M89" s="5"/>
      <c r="N89" s="204"/>
      <c r="O89" s="5"/>
      <c r="P89" s="5"/>
      <c r="Q89" s="5"/>
      <c r="R89" s="243"/>
      <c r="S89" s="227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5">
      <c r="A90" s="219">
        <f>'Données projet'!A107</f>
        <v>0</v>
      </c>
      <c r="B90" s="220">
        <f>'Données projet'!D107</f>
        <v>0</v>
      </c>
      <c r="C90" s="240"/>
      <c r="D90" s="218">
        <f t="shared" si="5"/>
        <v>0</v>
      </c>
      <c r="E90" s="242"/>
      <c r="F90" s="234"/>
      <c r="G90" s="235"/>
      <c r="H90" s="5"/>
      <c r="I90" s="5"/>
      <c r="J90" s="5"/>
      <c r="K90" s="5"/>
      <c r="L90" s="5"/>
      <c r="M90" s="5"/>
      <c r="N90" s="204"/>
      <c r="O90" s="5"/>
      <c r="P90" s="5"/>
      <c r="Q90" s="5"/>
      <c r="R90" s="243"/>
      <c r="S90" s="227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5">
      <c r="A91" s="5"/>
      <c r="B91" s="5"/>
      <c r="C91" s="5"/>
      <c r="D91" s="5"/>
      <c r="E91" s="5"/>
      <c r="F91" s="202"/>
      <c r="G91" s="112"/>
      <c r="H91" s="5"/>
      <c r="I91" s="5"/>
      <c r="J91" s="5"/>
      <c r="K91" s="5"/>
      <c r="L91" s="5"/>
      <c r="M91" s="5"/>
      <c r="N91" s="204"/>
      <c r="O91" s="5"/>
      <c r="P91" s="5"/>
      <c r="Q91" s="5"/>
      <c r="R91" s="243"/>
      <c r="S91" s="227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5">
      <c r="A92" s="5"/>
      <c r="B92" s="5"/>
      <c r="C92" s="5"/>
      <c r="D92" s="5"/>
      <c r="E92" s="5"/>
      <c r="F92" s="202"/>
      <c r="G92" s="112"/>
      <c r="H92" s="5"/>
      <c r="I92" s="5"/>
      <c r="J92" s="5"/>
      <c r="K92" s="5"/>
      <c r="L92" s="5"/>
      <c r="M92" s="5"/>
      <c r="N92" s="204"/>
      <c r="O92" s="5"/>
      <c r="P92" s="5"/>
      <c r="Q92" s="5"/>
      <c r="R92" s="243"/>
      <c r="S92" s="227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5">
      <c r="A93" s="49" t="s">
        <v>168</v>
      </c>
      <c r="B93" s="212" t="str">
        <f>IF('Données projet'!B12="","",'Données projet'!B12)</f>
        <v>Châtaignier</v>
      </c>
      <c r="C93" s="5"/>
      <c r="D93" s="5"/>
      <c r="E93" s="5"/>
      <c r="F93" s="202"/>
      <c r="G93" s="112"/>
      <c r="H93" s="5"/>
      <c r="I93" s="5"/>
      <c r="J93" s="5"/>
      <c r="K93" s="5"/>
      <c r="L93" s="5"/>
      <c r="M93" s="5"/>
      <c r="N93" s="204"/>
      <c r="O93" s="5"/>
      <c r="P93" s="5"/>
      <c r="Q93" s="5"/>
      <c r="R93" s="243"/>
      <c r="S93" s="227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5">
      <c r="A94" s="5"/>
      <c r="B94" s="5"/>
      <c r="C94" s="5"/>
      <c r="D94" s="5"/>
      <c r="E94" s="5"/>
      <c r="F94" s="202"/>
      <c r="G94" s="112"/>
      <c r="H94" s="5"/>
      <c r="I94" s="5"/>
      <c r="J94" s="5"/>
      <c r="K94" s="5"/>
      <c r="L94" s="5"/>
      <c r="M94" s="5"/>
      <c r="N94" s="204"/>
      <c r="O94" s="5"/>
      <c r="P94" s="5"/>
      <c r="Q94" s="5"/>
      <c r="R94" s="243"/>
      <c r="S94" s="227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25">
      <c r="A95" s="211" t="s">
        <v>180</v>
      </c>
      <c r="B95" s="51" t="s">
        <v>256</v>
      </c>
      <c r="C95" s="51" t="s">
        <v>255</v>
      </c>
      <c r="D95" s="211" t="s">
        <v>252</v>
      </c>
      <c r="E95" s="211" t="s">
        <v>288</v>
      </c>
      <c r="F95" s="233"/>
      <c r="G95" s="215"/>
      <c r="H95" s="5"/>
      <c r="I95" s="5"/>
      <c r="J95" s="5"/>
      <c r="K95" s="5"/>
      <c r="L95" s="5"/>
      <c r="M95" s="5"/>
      <c r="N95" s="204"/>
      <c r="O95" s="5"/>
      <c r="P95" s="5"/>
      <c r="Q95" s="5"/>
      <c r="R95" s="243"/>
      <c r="S95" s="227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5">
      <c r="A96" s="219">
        <f>'Données projet'!A114</f>
        <v>10</v>
      </c>
      <c r="B96" s="220">
        <f>'Données projet'!D114</f>
        <v>0</v>
      </c>
      <c r="C96" s="242"/>
      <c r="D96" s="218">
        <f>B96*C96</f>
        <v>0</v>
      </c>
      <c r="E96" s="242"/>
      <c r="F96" s="234"/>
      <c r="G96" s="235"/>
      <c r="H96" s="5"/>
      <c r="I96" s="5"/>
      <c r="J96" s="5"/>
      <c r="K96" s="5"/>
      <c r="L96" s="5"/>
      <c r="M96" s="5"/>
      <c r="N96" s="204"/>
      <c r="O96" s="5"/>
      <c r="P96" s="5"/>
      <c r="Q96" s="5"/>
      <c r="R96" s="243"/>
      <c r="S96" s="227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5">
      <c r="A97" s="219">
        <f>'Données projet'!A115</f>
        <v>15</v>
      </c>
      <c r="B97" s="220">
        <f>'Données projet'!D115</f>
        <v>0</v>
      </c>
      <c r="C97" s="242"/>
      <c r="D97" s="218">
        <f t="shared" ref="D97:D115" si="7">B97*C97</f>
        <v>0</v>
      </c>
      <c r="E97" s="242"/>
      <c r="F97" s="234"/>
      <c r="G97" s="235"/>
      <c r="H97" s="5"/>
      <c r="I97" s="5"/>
      <c r="J97" s="5"/>
      <c r="K97" s="5"/>
      <c r="L97" s="5"/>
      <c r="M97" s="5"/>
      <c r="N97" s="204"/>
      <c r="O97" s="5"/>
      <c r="P97" s="5"/>
      <c r="Q97" s="5"/>
      <c r="R97" s="243"/>
      <c r="S97" s="227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25">
      <c r="A98" s="219">
        <f>'Données projet'!A116</f>
        <v>20</v>
      </c>
      <c r="B98" s="220">
        <f>'Données projet'!D116</f>
        <v>66.5</v>
      </c>
      <c r="C98" s="242">
        <v>10</v>
      </c>
      <c r="D98" s="218">
        <f t="shared" si="7"/>
        <v>665</v>
      </c>
      <c r="E98" s="242"/>
      <c r="F98" s="234"/>
      <c r="G98" s="235"/>
      <c r="H98" s="5"/>
      <c r="I98" s="5"/>
      <c r="J98" s="5"/>
      <c r="K98" s="5"/>
      <c r="L98" s="5"/>
      <c r="M98" s="5"/>
      <c r="N98" s="204"/>
      <c r="O98" s="5"/>
      <c r="P98" s="5"/>
      <c r="Q98" s="5"/>
      <c r="R98" s="243"/>
      <c r="S98" s="227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25">
      <c r="A99" s="219">
        <f>'Données projet'!A117</f>
        <v>25</v>
      </c>
      <c r="B99" s="220">
        <f>'Données projet'!D117</f>
        <v>0</v>
      </c>
      <c r="C99" s="242"/>
      <c r="D99" s="218">
        <f t="shared" si="7"/>
        <v>0</v>
      </c>
      <c r="E99" s="242"/>
      <c r="F99" s="234"/>
      <c r="G99" s="235"/>
      <c r="H99" s="5"/>
      <c r="I99" s="5"/>
      <c r="J99" s="5"/>
      <c r="K99" s="5"/>
      <c r="L99" s="5"/>
      <c r="M99" s="5"/>
      <c r="N99" s="204"/>
      <c r="O99" s="5"/>
      <c r="P99" s="5"/>
      <c r="Q99" s="5"/>
      <c r="R99" s="243"/>
      <c r="S99" s="227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5">
      <c r="A100" s="219">
        <f>'Données projet'!A118</f>
        <v>30</v>
      </c>
      <c r="B100" s="220">
        <f>'Données projet'!D118</f>
        <v>70</v>
      </c>
      <c r="C100" s="242">
        <v>20</v>
      </c>
      <c r="D100" s="218">
        <f t="shared" si="7"/>
        <v>1400</v>
      </c>
      <c r="E100" s="242"/>
      <c r="F100" s="234"/>
      <c r="G100" s="235"/>
      <c r="H100" s="5"/>
      <c r="I100" s="5"/>
      <c r="J100" s="5"/>
      <c r="K100" s="5"/>
      <c r="L100" s="5"/>
      <c r="M100" s="5"/>
      <c r="N100" s="204"/>
      <c r="O100" s="5"/>
      <c r="P100" s="5"/>
      <c r="Q100" s="5"/>
      <c r="R100" s="243"/>
      <c r="S100" s="227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5">
      <c r="A101" s="219">
        <f>'Données projet'!A119</f>
        <v>35</v>
      </c>
      <c r="B101" s="220">
        <f>'Données projet'!D119</f>
        <v>0</v>
      </c>
      <c r="C101" s="242"/>
      <c r="D101" s="218">
        <f t="shared" si="7"/>
        <v>0</v>
      </c>
      <c r="E101" s="242"/>
      <c r="F101" s="234"/>
      <c r="G101" s="235"/>
      <c r="H101" s="5"/>
      <c r="I101" s="5"/>
      <c r="J101" s="5"/>
      <c r="K101" s="5"/>
      <c r="L101" s="5"/>
      <c r="M101" s="5"/>
      <c r="N101" s="204"/>
      <c r="O101" s="5"/>
      <c r="P101" s="5"/>
      <c r="Q101" s="5"/>
      <c r="R101" s="243"/>
      <c r="S101" s="227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5">
      <c r="A102" s="219">
        <f>'Données projet'!A120</f>
        <v>40</v>
      </c>
      <c r="B102" s="220">
        <f>'Données projet'!D120</f>
        <v>70</v>
      </c>
      <c r="C102" s="242">
        <v>25</v>
      </c>
      <c r="D102" s="218">
        <f t="shared" si="7"/>
        <v>1750</v>
      </c>
      <c r="E102" s="242"/>
      <c r="F102" s="234"/>
      <c r="G102" s="235"/>
      <c r="H102" s="5"/>
      <c r="I102" s="5"/>
      <c r="J102" s="5"/>
      <c r="K102" s="5"/>
      <c r="L102" s="5"/>
      <c r="M102" s="5"/>
      <c r="N102" s="204"/>
      <c r="O102" s="5"/>
      <c r="P102" s="5"/>
      <c r="Q102" s="5"/>
      <c r="R102" s="243"/>
      <c r="S102" s="227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5">
      <c r="A103" s="219">
        <f>'Données projet'!A121</f>
        <v>45</v>
      </c>
      <c r="B103" s="220">
        <f>'Données projet'!D121</f>
        <v>0</v>
      </c>
      <c r="C103" s="242"/>
      <c r="D103" s="218">
        <f t="shared" si="7"/>
        <v>0</v>
      </c>
      <c r="E103" s="242"/>
      <c r="F103" s="234"/>
      <c r="G103" s="235"/>
      <c r="H103" s="5"/>
      <c r="I103" s="5"/>
      <c r="J103" s="5"/>
      <c r="K103" s="5"/>
      <c r="L103" s="5"/>
      <c r="M103" s="5"/>
      <c r="N103" s="204"/>
      <c r="O103" s="5"/>
      <c r="P103" s="5"/>
      <c r="Q103" s="5"/>
      <c r="R103" s="243"/>
      <c r="S103" s="227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5">
      <c r="A104" s="219">
        <f>'Données projet'!A122</f>
        <v>50</v>
      </c>
      <c r="B104" s="220">
        <f>'Données projet'!D122</f>
        <v>43.099999999999994</v>
      </c>
      <c r="C104" s="242">
        <v>30</v>
      </c>
      <c r="D104" s="218">
        <f t="shared" si="7"/>
        <v>1292.9999999999998</v>
      </c>
      <c r="E104" s="242"/>
      <c r="F104" s="234"/>
      <c r="G104" s="235"/>
      <c r="H104" s="5"/>
      <c r="I104" s="5"/>
      <c r="J104" s="5"/>
      <c r="K104" s="5"/>
      <c r="L104" s="5"/>
      <c r="M104" s="5"/>
      <c r="N104" s="204"/>
      <c r="O104" s="5"/>
      <c r="P104" s="5"/>
      <c r="Q104" s="5"/>
      <c r="R104" s="243"/>
      <c r="S104" s="227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5">
      <c r="A105" s="219">
        <f>'Données projet'!A123</f>
        <v>55</v>
      </c>
      <c r="B105" s="220">
        <f>'Données projet'!D123</f>
        <v>0</v>
      </c>
      <c r="C105" s="242"/>
      <c r="D105" s="218">
        <f t="shared" si="7"/>
        <v>0</v>
      </c>
      <c r="E105" s="242"/>
      <c r="F105" s="234"/>
      <c r="G105" s="235"/>
      <c r="H105" s="5"/>
      <c r="I105" s="5"/>
      <c r="J105" s="5"/>
      <c r="K105" s="5"/>
      <c r="L105" s="5"/>
      <c r="M105" s="5"/>
      <c r="N105" s="204"/>
      <c r="O105" s="5"/>
      <c r="P105" s="5"/>
      <c r="Q105" s="5"/>
      <c r="R105" s="243"/>
      <c r="S105" s="227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5">
      <c r="A106" s="219">
        <f>'Données projet'!A124</f>
        <v>60</v>
      </c>
      <c r="B106" s="220">
        <f>'Données projet'!D124</f>
        <v>30.2</v>
      </c>
      <c r="C106" s="242">
        <v>50</v>
      </c>
      <c r="D106" s="218">
        <f t="shared" si="7"/>
        <v>1510</v>
      </c>
      <c r="E106" s="242"/>
      <c r="F106" s="234"/>
      <c r="G106" s="235"/>
      <c r="H106" s="5"/>
      <c r="I106" s="5"/>
      <c r="J106" s="5"/>
      <c r="K106" s="5"/>
      <c r="L106" s="5"/>
      <c r="M106" s="5"/>
      <c r="N106" s="204"/>
      <c r="O106" s="5"/>
      <c r="P106" s="5"/>
      <c r="Q106" s="5"/>
      <c r="R106" s="243"/>
      <c r="S106" s="227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5">
      <c r="A107" s="219">
        <f>'Données projet'!A125</f>
        <v>65</v>
      </c>
      <c r="B107" s="220">
        <f>'Données projet'!D125</f>
        <v>0</v>
      </c>
      <c r="C107" s="242"/>
      <c r="D107" s="218">
        <f t="shared" si="7"/>
        <v>0</v>
      </c>
      <c r="E107" s="242"/>
      <c r="F107" s="234"/>
      <c r="G107" s="235"/>
      <c r="H107" s="5"/>
      <c r="I107" s="5"/>
      <c r="J107" s="5"/>
      <c r="K107" s="5"/>
      <c r="L107" s="5"/>
      <c r="M107" s="5"/>
      <c r="N107" s="204"/>
      <c r="O107" s="5"/>
      <c r="P107" s="5"/>
      <c r="Q107" s="5"/>
      <c r="R107" s="243"/>
      <c r="S107" s="227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5">
      <c r="A108" s="219">
        <f>'Données projet'!A126</f>
        <v>70</v>
      </c>
      <c r="B108" s="220">
        <f>'Données projet'!D126</f>
        <v>25.9</v>
      </c>
      <c r="C108" s="242">
        <v>60</v>
      </c>
      <c r="D108" s="218">
        <f t="shared" si="7"/>
        <v>1554</v>
      </c>
      <c r="E108" s="242"/>
      <c r="F108" s="234"/>
      <c r="G108" s="235"/>
      <c r="H108" s="5"/>
      <c r="I108" s="5"/>
      <c r="J108" s="5"/>
      <c r="K108" s="5"/>
      <c r="L108" s="5"/>
      <c r="M108" s="5"/>
      <c r="N108" s="204"/>
      <c r="O108" s="5"/>
      <c r="P108" s="5"/>
      <c r="Q108" s="5"/>
      <c r="R108" s="243"/>
      <c r="S108" s="227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5">
      <c r="A109" s="219">
        <f>'Données projet'!A127</f>
        <v>75</v>
      </c>
      <c r="B109" s="220">
        <f>'Données projet'!D127</f>
        <v>0</v>
      </c>
      <c r="C109" s="242"/>
      <c r="D109" s="218">
        <f t="shared" si="7"/>
        <v>0</v>
      </c>
      <c r="E109" s="242"/>
      <c r="F109" s="234"/>
      <c r="G109" s="235"/>
      <c r="H109" s="5"/>
      <c r="I109" s="5"/>
      <c r="J109" s="5"/>
      <c r="K109" s="5"/>
      <c r="L109" s="5"/>
      <c r="M109" s="5"/>
      <c r="N109" s="204"/>
      <c r="O109" s="5"/>
      <c r="P109" s="5"/>
      <c r="Q109" s="5"/>
      <c r="R109" s="243"/>
      <c r="S109" s="227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5">
      <c r="A110" s="219">
        <f>'Données projet'!A128</f>
        <v>80</v>
      </c>
      <c r="B110" s="220">
        <f>'Données projet'!D128</f>
        <v>341.3</v>
      </c>
      <c r="C110" s="242">
        <v>120</v>
      </c>
      <c r="D110" s="218">
        <f t="shared" si="7"/>
        <v>40956</v>
      </c>
      <c r="E110" s="242"/>
      <c r="F110" s="234"/>
      <c r="G110" s="235"/>
      <c r="H110" s="5"/>
      <c r="I110" s="5"/>
      <c r="J110" s="5"/>
      <c r="K110" s="5"/>
      <c r="L110" s="5"/>
      <c r="M110" s="5"/>
      <c r="N110" s="204"/>
      <c r="O110" s="5"/>
      <c r="P110" s="5"/>
      <c r="Q110" s="5"/>
      <c r="R110" s="243"/>
      <c r="S110" s="227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5">
      <c r="A111" s="219">
        <f>'Données projet'!A129</f>
        <v>0</v>
      </c>
      <c r="B111" s="220">
        <f>'Données projet'!D129</f>
        <v>0</v>
      </c>
      <c r="C111" s="240"/>
      <c r="D111" s="218">
        <f t="shared" si="7"/>
        <v>0</v>
      </c>
      <c r="E111" s="242"/>
      <c r="F111" s="234"/>
      <c r="G111" s="235"/>
      <c r="H111" s="5"/>
      <c r="I111" s="5"/>
      <c r="J111" s="5"/>
      <c r="K111" s="5"/>
      <c r="L111" s="5"/>
      <c r="M111" s="5"/>
      <c r="N111" s="204"/>
      <c r="O111" s="5"/>
      <c r="P111" s="5"/>
      <c r="Q111" s="5"/>
      <c r="R111" s="243"/>
      <c r="S111" s="227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5">
      <c r="A112" s="219">
        <f>'Données projet'!A130</f>
        <v>0</v>
      </c>
      <c r="B112" s="220">
        <f>'Données projet'!D130</f>
        <v>0</v>
      </c>
      <c r="C112" s="240"/>
      <c r="D112" s="218">
        <f t="shared" si="7"/>
        <v>0</v>
      </c>
      <c r="E112" s="242"/>
      <c r="F112" s="234"/>
      <c r="G112" s="235"/>
      <c r="H112" s="5"/>
      <c r="I112" s="5"/>
      <c r="J112" s="5"/>
      <c r="K112" s="5"/>
      <c r="L112" s="5"/>
      <c r="M112" s="5"/>
      <c r="N112" s="204"/>
      <c r="O112" s="5"/>
      <c r="P112" s="5"/>
      <c r="Q112" s="5"/>
      <c r="R112" s="243"/>
      <c r="S112" s="227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25">
      <c r="A113" s="219">
        <f>'Données projet'!A131</f>
        <v>0</v>
      </c>
      <c r="B113" s="220">
        <f>'Données projet'!D131</f>
        <v>0</v>
      </c>
      <c r="C113" s="240"/>
      <c r="D113" s="218">
        <f t="shared" si="7"/>
        <v>0</v>
      </c>
      <c r="E113" s="242"/>
      <c r="F113" s="234"/>
      <c r="G113" s="235"/>
      <c r="H113" s="5"/>
      <c r="I113" s="5"/>
      <c r="J113" s="5"/>
      <c r="K113" s="5"/>
      <c r="L113" s="5"/>
      <c r="M113" s="5"/>
      <c r="N113" s="204"/>
      <c r="O113" s="5"/>
      <c r="P113" s="5"/>
      <c r="Q113" s="5"/>
      <c r="R113" s="243"/>
      <c r="S113" s="227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25">
      <c r="A114" s="219">
        <f>'Données projet'!A132</f>
        <v>0</v>
      </c>
      <c r="B114" s="220">
        <f>'Données projet'!D132</f>
        <v>0</v>
      </c>
      <c r="C114" s="240"/>
      <c r="D114" s="218">
        <f t="shared" si="7"/>
        <v>0</v>
      </c>
      <c r="E114" s="242"/>
      <c r="F114" s="234"/>
      <c r="G114" s="235"/>
      <c r="H114" s="5"/>
      <c r="I114" s="5"/>
      <c r="J114" s="5"/>
      <c r="K114" s="5"/>
      <c r="L114" s="5"/>
      <c r="M114" s="5"/>
      <c r="N114" s="204"/>
      <c r="O114" s="5"/>
      <c r="P114" s="5"/>
      <c r="Q114" s="5"/>
      <c r="R114" s="243"/>
      <c r="S114" s="227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25">
      <c r="A115" s="219">
        <f>'Données projet'!A133</f>
        <v>0</v>
      </c>
      <c r="B115" s="220">
        <f>'Données projet'!D133</f>
        <v>0</v>
      </c>
      <c r="C115" s="240"/>
      <c r="D115" s="218">
        <f t="shared" si="7"/>
        <v>0</v>
      </c>
      <c r="E115" s="242"/>
      <c r="F115" s="234"/>
      <c r="G115" s="235"/>
      <c r="H115" s="5"/>
      <c r="I115" s="5"/>
      <c r="J115" s="5"/>
      <c r="K115" s="5"/>
      <c r="L115" s="5"/>
      <c r="M115" s="5"/>
      <c r="N115" s="204"/>
      <c r="O115" s="5"/>
      <c r="P115" s="5"/>
      <c r="Q115" s="5"/>
      <c r="R115" s="243"/>
      <c r="S115" s="227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25">
      <c r="A116" s="5"/>
      <c r="B116" s="5"/>
      <c r="C116" s="5"/>
      <c r="D116" s="5"/>
      <c r="E116" s="5"/>
      <c r="F116" s="202"/>
      <c r="G116" s="112"/>
      <c r="H116" s="5"/>
      <c r="I116" s="5"/>
      <c r="J116" s="5"/>
      <c r="K116" s="5"/>
      <c r="L116" s="5"/>
      <c r="M116" s="5"/>
      <c r="N116" s="204"/>
      <c r="O116" s="5"/>
      <c r="P116" s="5"/>
      <c r="Q116" s="5"/>
      <c r="R116" s="243"/>
      <c r="S116" s="227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25">
      <c r="A117" s="5"/>
      <c r="B117" s="5"/>
      <c r="C117" s="5"/>
      <c r="D117" s="5"/>
      <c r="E117" s="5"/>
      <c r="F117" s="202"/>
      <c r="G117" s="112"/>
      <c r="H117" s="5"/>
      <c r="I117" s="5"/>
      <c r="J117" s="5"/>
      <c r="K117" s="5"/>
      <c r="L117" s="5"/>
      <c r="M117" s="5"/>
      <c r="N117" s="204"/>
      <c r="O117" s="5"/>
      <c r="P117" s="5"/>
      <c r="Q117" s="5"/>
      <c r="R117" s="243"/>
      <c r="S117" s="227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25">
      <c r="A118" s="49" t="s">
        <v>169</v>
      </c>
      <c r="B118" s="212" t="str">
        <f>IF('Données projet'!B13="","",'Données projet'!B13)</f>
        <v>Pin maritime</v>
      </c>
      <c r="C118" s="5"/>
      <c r="D118" s="5"/>
      <c r="E118" s="5"/>
      <c r="F118" s="202"/>
      <c r="G118" s="112"/>
      <c r="H118" s="5"/>
      <c r="I118" s="5"/>
      <c r="J118" s="5"/>
      <c r="K118" s="5"/>
      <c r="L118" s="5"/>
      <c r="M118" s="5"/>
      <c r="N118" s="204"/>
      <c r="O118" s="5"/>
      <c r="P118" s="5"/>
      <c r="Q118" s="5"/>
      <c r="R118" s="243"/>
      <c r="S118" s="227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25">
      <c r="A119" s="5"/>
      <c r="B119" s="5"/>
      <c r="C119" s="5"/>
      <c r="D119" s="5"/>
      <c r="E119" s="5"/>
      <c r="F119" s="202"/>
      <c r="G119" s="112"/>
      <c r="H119" s="5"/>
      <c r="I119" s="5"/>
      <c r="J119" s="5"/>
      <c r="K119" s="5"/>
      <c r="L119" s="5"/>
      <c r="M119" s="5"/>
      <c r="N119" s="204"/>
      <c r="O119" s="5"/>
      <c r="P119" s="5"/>
      <c r="Q119" s="5"/>
      <c r="R119" s="243"/>
      <c r="S119" s="227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25">
      <c r="A120" s="211" t="s">
        <v>180</v>
      </c>
      <c r="B120" s="51" t="s">
        <v>256</v>
      </c>
      <c r="C120" s="51" t="s">
        <v>255</v>
      </c>
      <c r="D120" s="211" t="s">
        <v>252</v>
      </c>
      <c r="E120" s="211" t="s">
        <v>288</v>
      </c>
      <c r="F120" s="233"/>
      <c r="G120" s="215"/>
      <c r="H120" s="5"/>
      <c r="I120" s="5"/>
      <c r="J120" s="5"/>
      <c r="K120" s="5"/>
      <c r="L120" s="5"/>
      <c r="M120" s="5"/>
      <c r="N120" s="204"/>
      <c r="O120" s="5"/>
      <c r="P120" s="5"/>
      <c r="Q120" s="5"/>
      <c r="R120" s="243"/>
      <c r="S120" s="227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25">
      <c r="A121" s="45">
        <f>'Données projet'!A140</f>
        <v>12</v>
      </c>
      <c r="B121" s="213">
        <f>'Données projet'!D140</f>
        <v>0</v>
      </c>
      <c r="C121" s="242"/>
      <c r="D121" s="221">
        <f>B121*C121</f>
        <v>0</v>
      </c>
      <c r="E121" s="242"/>
      <c r="F121" s="223"/>
      <c r="G121" s="222"/>
      <c r="H121" s="5"/>
      <c r="I121" s="5"/>
      <c r="J121" s="5"/>
      <c r="K121" s="5"/>
      <c r="L121" s="5"/>
      <c r="M121" s="5"/>
      <c r="N121" s="204"/>
      <c r="O121" s="5"/>
      <c r="P121" s="5"/>
      <c r="Q121" s="5"/>
      <c r="R121" s="243"/>
      <c r="S121" s="227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25">
      <c r="A122" s="45">
        <f>'Données projet'!A141</f>
        <v>13</v>
      </c>
      <c r="B122" s="213">
        <f>'Données projet'!D141</f>
        <v>0</v>
      </c>
      <c r="C122" s="242"/>
      <c r="D122" s="221">
        <f t="shared" ref="D122:D140" si="8">B122*C122</f>
        <v>0</v>
      </c>
      <c r="E122" s="242"/>
      <c r="F122" s="223"/>
      <c r="G122" s="222"/>
      <c r="H122" s="5"/>
      <c r="I122" s="5"/>
      <c r="J122" s="5"/>
      <c r="K122" s="5"/>
      <c r="L122" s="5"/>
      <c r="M122" s="5"/>
      <c r="N122" s="204"/>
      <c r="O122" s="5"/>
      <c r="P122" s="5"/>
      <c r="Q122" s="5"/>
      <c r="R122" s="243"/>
      <c r="S122" s="227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25">
      <c r="A123" s="45">
        <f>'Données projet'!A142</f>
        <v>14</v>
      </c>
      <c r="B123" s="213">
        <f>'Données projet'!D142</f>
        <v>0</v>
      </c>
      <c r="C123" s="242"/>
      <c r="D123" s="221">
        <f t="shared" si="8"/>
        <v>0</v>
      </c>
      <c r="E123" s="242"/>
      <c r="F123" s="223"/>
      <c r="G123" s="222"/>
      <c r="H123" s="5"/>
      <c r="I123" s="5"/>
      <c r="J123" s="5"/>
      <c r="K123" s="5"/>
      <c r="L123" s="5"/>
      <c r="M123" s="5"/>
      <c r="N123" s="204"/>
      <c r="O123" s="5"/>
      <c r="P123" s="5"/>
      <c r="Q123" s="5"/>
      <c r="R123" s="243"/>
      <c r="S123" s="227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25">
      <c r="A124" s="45">
        <f>'Données projet'!A143</f>
        <v>15</v>
      </c>
      <c r="B124" s="213">
        <f>'Données projet'!D143</f>
        <v>23.3</v>
      </c>
      <c r="C124" s="242">
        <v>10</v>
      </c>
      <c r="D124" s="221">
        <f t="shared" si="8"/>
        <v>233</v>
      </c>
      <c r="E124" s="242"/>
      <c r="F124" s="223"/>
      <c r="G124" s="222"/>
      <c r="H124" s="5"/>
      <c r="I124" s="5"/>
      <c r="J124" s="5"/>
      <c r="K124" s="5"/>
      <c r="L124" s="5"/>
      <c r="M124" s="5"/>
      <c r="N124" s="204"/>
      <c r="O124" s="5"/>
      <c r="P124" s="5"/>
      <c r="Q124" s="5"/>
      <c r="R124" s="243"/>
      <c r="S124" s="227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25">
      <c r="A125" s="45">
        <f>'Données projet'!A144</f>
        <v>18</v>
      </c>
      <c r="B125" s="213">
        <f>'Données projet'!D144</f>
        <v>0</v>
      </c>
      <c r="C125" s="242"/>
      <c r="D125" s="221">
        <f t="shared" si="8"/>
        <v>0</v>
      </c>
      <c r="E125" s="242"/>
      <c r="F125" s="223"/>
      <c r="G125" s="222"/>
      <c r="H125" s="5"/>
      <c r="I125" s="5"/>
      <c r="J125" s="5"/>
      <c r="K125" s="5"/>
      <c r="L125" s="5"/>
      <c r="M125" s="5"/>
      <c r="N125" s="204"/>
      <c r="O125" s="5"/>
      <c r="P125" s="5"/>
      <c r="Q125" s="5"/>
      <c r="R125" s="243"/>
      <c r="S125" s="227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25">
      <c r="A126" s="45">
        <f>'Données projet'!A145</f>
        <v>20</v>
      </c>
      <c r="B126" s="213">
        <f>'Données projet'!D145</f>
        <v>34.1</v>
      </c>
      <c r="C126" s="242">
        <v>15</v>
      </c>
      <c r="D126" s="221">
        <f t="shared" si="8"/>
        <v>511.5</v>
      </c>
      <c r="E126" s="242"/>
      <c r="F126" s="223"/>
      <c r="G126" s="222"/>
      <c r="H126" s="5"/>
      <c r="I126" s="5"/>
      <c r="J126" s="5"/>
      <c r="K126" s="5"/>
      <c r="L126" s="5"/>
      <c r="M126" s="5"/>
      <c r="N126" s="204"/>
      <c r="O126" s="5"/>
      <c r="P126" s="5"/>
      <c r="Q126" s="5"/>
      <c r="R126" s="243"/>
      <c r="S126" s="227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25">
      <c r="A127" s="45">
        <f>'Données projet'!A146</f>
        <v>24</v>
      </c>
      <c r="B127" s="213">
        <f>'Données projet'!D146</f>
        <v>0</v>
      </c>
      <c r="C127" s="242"/>
      <c r="D127" s="221">
        <f t="shared" si="8"/>
        <v>0</v>
      </c>
      <c r="E127" s="242"/>
      <c r="F127" s="223"/>
      <c r="G127" s="222"/>
      <c r="H127" s="5"/>
      <c r="I127" s="5"/>
      <c r="J127" s="5"/>
      <c r="K127" s="5"/>
      <c r="L127" s="5"/>
      <c r="M127" s="5"/>
      <c r="N127" s="204"/>
      <c r="O127" s="5"/>
      <c r="P127" s="5"/>
      <c r="Q127" s="5"/>
      <c r="R127" s="243"/>
      <c r="S127" s="227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25">
      <c r="A128" s="45">
        <f>'Données projet'!A147</f>
        <v>27</v>
      </c>
      <c r="B128" s="213">
        <f>'Données projet'!D147</f>
        <v>54.5</v>
      </c>
      <c r="C128" s="242">
        <v>20</v>
      </c>
      <c r="D128" s="221">
        <f t="shared" si="8"/>
        <v>1090</v>
      </c>
      <c r="E128" s="242"/>
      <c r="F128" s="223"/>
      <c r="G128" s="222"/>
      <c r="H128" s="5"/>
      <c r="I128" s="5"/>
      <c r="J128" s="5"/>
      <c r="K128" s="5"/>
      <c r="L128" s="5"/>
      <c r="M128" s="5"/>
      <c r="N128" s="204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25">
      <c r="A129" s="45">
        <f>'Données projet'!A148</f>
        <v>30</v>
      </c>
      <c r="B129" s="213">
        <f>'Données projet'!D148</f>
        <v>0</v>
      </c>
      <c r="C129" s="242"/>
      <c r="D129" s="221">
        <f t="shared" si="8"/>
        <v>0</v>
      </c>
      <c r="E129" s="242"/>
      <c r="F129" s="223"/>
      <c r="G129" s="222"/>
      <c r="H129" s="5"/>
      <c r="I129" s="5"/>
      <c r="J129" s="5"/>
      <c r="K129" s="5"/>
      <c r="L129" s="5"/>
      <c r="M129" s="5"/>
      <c r="N129" s="204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25">
      <c r="A130" s="45">
        <f>'Données projet'!A149</f>
        <v>32</v>
      </c>
      <c r="B130" s="213">
        <f>'Données projet'!D149</f>
        <v>62.7</v>
      </c>
      <c r="C130" s="242">
        <v>30</v>
      </c>
      <c r="D130" s="221">
        <f t="shared" si="8"/>
        <v>1881</v>
      </c>
      <c r="E130" s="242"/>
      <c r="F130" s="223"/>
      <c r="G130" s="222"/>
      <c r="H130" s="5"/>
      <c r="I130" s="5"/>
      <c r="J130" s="5"/>
      <c r="K130" s="5"/>
      <c r="L130" s="5"/>
      <c r="M130" s="5"/>
      <c r="N130" s="204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25">
      <c r="A131" s="45">
        <f>'Données projet'!A150</f>
        <v>35</v>
      </c>
      <c r="B131" s="213">
        <f>'Données projet'!D150</f>
        <v>0</v>
      </c>
      <c r="C131" s="242"/>
      <c r="D131" s="221">
        <f t="shared" si="8"/>
        <v>0</v>
      </c>
      <c r="E131" s="242"/>
      <c r="F131" s="223"/>
      <c r="G131" s="222"/>
      <c r="H131" s="5"/>
      <c r="I131" s="5"/>
      <c r="J131" s="5"/>
      <c r="K131" s="5"/>
      <c r="L131" s="5"/>
      <c r="M131" s="5"/>
      <c r="N131" s="204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25">
      <c r="A132" s="45">
        <f>'Données projet'!A151</f>
        <v>38</v>
      </c>
      <c r="B132" s="213">
        <f>'Données projet'!D151</f>
        <v>0</v>
      </c>
      <c r="C132" s="242"/>
      <c r="D132" s="221">
        <f t="shared" si="8"/>
        <v>0</v>
      </c>
      <c r="E132" s="242"/>
      <c r="F132" s="223"/>
      <c r="G132" s="222"/>
      <c r="H132" s="5"/>
      <c r="I132" s="5"/>
      <c r="J132" s="5"/>
      <c r="K132" s="5"/>
      <c r="L132" s="5"/>
      <c r="M132" s="5"/>
      <c r="N132" s="204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25">
      <c r="A133" s="45">
        <f>'Données projet'!A152</f>
        <v>41</v>
      </c>
      <c r="B133" s="213">
        <f>'Données projet'!D152</f>
        <v>0</v>
      </c>
      <c r="C133" s="242"/>
      <c r="D133" s="221">
        <f t="shared" si="8"/>
        <v>0</v>
      </c>
      <c r="E133" s="242"/>
      <c r="F133" s="223"/>
      <c r="G133" s="222"/>
      <c r="H133" s="5"/>
      <c r="I133" s="5"/>
      <c r="J133" s="5"/>
      <c r="K133" s="5"/>
      <c r="L133" s="5"/>
      <c r="M133" s="5"/>
      <c r="N133" s="204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5">
      <c r="A134" s="45">
        <f>'Données projet'!A153</f>
        <v>44</v>
      </c>
      <c r="B134" s="213">
        <f>'Données projet'!D153</f>
        <v>337.8</v>
      </c>
      <c r="C134" s="242">
        <v>45</v>
      </c>
      <c r="D134" s="221">
        <f t="shared" si="8"/>
        <v>15201</v>
      </c>
      <c r="E134" s="242"/>
      <c r="F134" s="223"/>
      <c r="G134" s="222"/>
      <c r="H134" s="5"/>
      <c r="I134" s="5"/>
      <c r="J134" s="5"/>
      <c r="K134" s="5"/>
      <c r="L134" s="5"/>
      <c r="M134" s="5"/>
      <c r="N134" s="204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5">
      <c r="A135" s="45">
        <f>'Données projet'!A154</f>
        <v>0</v>
      </c>
      <c r="B135" s="213">
        <f>'Données projet'!D154</f>
        <v>0</v>
      </c>
      <c r="C135" s="240"/>
      <c r="D135" s="221">
        <f t="shared" si="8"/>
        <v>0</v>
      </c>
      <c r="E135" s="242"/>
      <c r="F135" s="223"/>
      <c r="G135" s="222"/>
      <c r="H135" s="5"/>
      <c r="I135" s="5"/>
      <c r="J135" s="5"/>
      <c r="K135" s="5"/>
      <c r="L135" s="5"/>
      <c r="M135" s="5"/>
      <c r="N135" s="204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5">
      <c r="A136" s="45">
        <f>'Données projet'!A155</f>
        <v>0</v>
      </c>
      <c r="B136" s="213">
        <f>'Données projet'!D155</f>
        <v>0</v>
      </c>
      <c r="C136" s="240"/>
      <c r="D136" s="221">
        <f t="shared" si="8"/>
        <v>0</v>
      </c>
      <c r="E136" s="242"/>
      <c r="F136" s="223"/>
      <c r="G136" s="222"/>
      <c r="H136" s="5"/>
      <c r="I136" s="5"/>
      <c r="J136" s="5"/>
      <c r="K136" s="5"/>
      <c r="L136" s="5"/>
      <c r="M136" s="5"/>
      <c r="N136" s="204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5">
      <c r="A137" s="45">
        <f>'Données projet'!A156</f>
        <v>0</v>
      </c>
      <c r="B137" s="213">
        <f>'Données projet'!D156</f>
        <v>0</v>
      </c>
      <c r="C137" s="240"/>
      <c r="D137" s="221">
        <f t="shared" si="8"/>
        <v>0</v>
      </c>
      <c r="E137" s="242"/>
      <c r="F137" s="223"/>
      <c r="G137" s="222"/>
      <c r="H137" s="5"/>
      <c r="I137" s="5"/>
      <c r="J137" s="5"/>
      <c r="K137" s="5"/>
      <c r="L137" s="5"/>
      <c r="M137" s="5"/>
      <c r="N137" s="204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5">
      <c r="A138" s="45">
        <f>'Données projet'!A157</f>
        <v>0</v>
      </c>
      <c r="B138" s="213">
        <f>'Données projet'!D157</f>
        <v>0</v>
      </c>
      <c r="C138" s="240"/>
      <c r="D138" s="221">
        <f t="shared" si="8"/>
        <v>0</v>
      </c>
      <c r="E138" s="242"/>
      <c r="F138" s="223"/>
      <c r="G138" s="222"/>
      <c r="H138" s="5"/>
      <c r="I138" s="5"/>
      <c r="J138" s="5"/>
      <c r="K138" s="5"/>
      <c r="L138" s="5"/>
      <c r="M138" s="5"/>
      <c r="N138" s="204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5">
      <c r="A139" s="45">
        <f>'Données projet'!A158</f>
        <v>0</v>
      </c>
      <c r="B139" s="213">
        <f>'Données projet'!D158</f>
        <v>0</v>
      </c>
      <c r="C139" s="240"/>
      <c r="D139" s="221">
        <f t="shared" si="8"/>
        <v>0</v>
      </c>
      <c r="E139" s="242"/>
      <c r="F139" s="223"/>
      <c r="G139" s="222"/>
      <c r="H139" s="5"/>
      <c r="I139" s="5"/>
      <c r="J139" s="5"/>
      <c r="K139" s="5"/>
      <c r="L139" s="5"/>
      <c r="M139" s="5"/>
      <c r="N139" s="204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5">
      <c r="A140" s="45">
        <f>'Données projet'!A159</f>
        <v>0</v>
      </c>
      <c r="B140" s="213">
        <f>'Données projet'!D159</f>
        <v>0</v>
      </c>
      <c r="C140" s="240"/>
      <c r="D140" s="221">
        <f t="shared" si="8"/>
        <v>0</v>
      </c>
      <c r="E140" s="242"/>
      <c r="F140" s="223"/>
      <c r="G140" s="222"/>
      <c r="H140" s="5"/>
      <c r="I140" s="5"/>
      <c r="J140" s="5"/>
      <c r="K140" s="5"/>
      <c r="L140" s="5"/>
      <c r="M140" s="5"/>
      <c r="N140" s="204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5">
      <c r="A141" s="5"/>
      <c r="B141" s="5"/>
      <c r="C141" s="5"/>
      <c r="D141" s="5"/>
      <c r="E141" s="5"/>
      <c r="F141" s="202"/>
      <c r="G141" s="112"/>
      <c r="H141" s="5"/>
      <c r="I141" s="5"/>
      <c r="J141" s="5"/>
      <c r="K141" s="5"/>
      <c r="L141" s="5"/>
      <c r="M141" s="5"/>
      <c r="N141" s="204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5">
      <c r="A142" s="5"/>
      <c r="B142" s="5"/>
      <c r="C142" s="5"/>
      <c r="D142" s="5"/>
      <c r="E142" s="5"/>
      <c r="F142" s="202"/>
      <c r="G142" s="112"/>
      <c r="H142" s="5"/>
      <c r="I142" s="5"/>
      <c r="J142" s="5"/>
      <c r="K142" s="5"/>
      <c r="L142" s="5"/>
      <c r="M142" s="5"/>
      <c r="N142" s="204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5">
      <c r="A143" s="49" t="s">
        <v>170</v>
      </c>
      <c r="B143" s="212" t="str">
        <f>IF('Données projet'!B14="","",'Données projet'!B14)</f>
        <v>Erable sycomore</v>
      </c>
      <c r="C143" s="5"/>
      <c r="D143" s="5"/>
      <c r="E143" s="5"/>
      <c r="F143" s="202"/>
      <c r="G143" s="112"/>
      <c r="H143" s="5"/>
      <c r="I143" s="5"/>
      <c r="J143" s="5"/>
      <c r="K143" s="5"/>
      <c r="L143" s="5"/>
      <c r="M143" s="5"/>
      <c r="N143" s="204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5">
      <c r="A144" s="5"/>
      <c r="B144" s="5"/>
      <c r="C144" s="5"/>
      <c r="D144" s="5"/>
      <c r="E144" s="5"/>
      <c r="F144" s="202"/>
      <c r="G144" s="112"/>
      <c r="H144" s="5"/>
      <c r="I144" s="5"/>
      <c r="J144" s="5"/>
      <c r="K144" s="5"/>
      <c r="L144" s="5"/>
      <c r="M144" s="5"/>
      <c r="N144" s="204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5">
      <c r="A145" s="211" t="s">
        <v>180</v>
      </c>
      <c r="B145" s="51" t="s">
        <v>256</v>
      </c>
      <c r="C145" s="51" t="s">
        <v>255</v>
      </c>
      <c r="D145" s="211" t="s">
        <v>252</v>
      </c>
      <c r="E145" s="211" t="s">
        <v>288</v>
      </c>
      <c r="F145" s="233"/>
      <c r="G145" s="215"/>
      <c r="H145" s="5"/>
      <c r="I145" s="5"/>
      <c r="J145" s="5"/>
      <c r="K145" s="5"/>
      <c r="L145" s="5"/>
      <c r="M145" s="5"/>
      <c r="N145" s="204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5">
      <c r="A146" s="219">
        <f>'Données projet'!A166</f>
        <v>10</v>
      </c>
      <c r="B146" s="220">
        <f>'Données projet'!D166</f>
        <v>0</v>
      </c>
      <c r="C146" s="242"/>
      <c r="D146" s="218">
        <f>B146*C146</f>
        <v>0</v>
      </c>
      <c r="E146" s="242"/>
      <c r="F146" s="234"/>
      <c r="G146" s="235"/>
      <c r="H146" s="5"/>
      <c r="I146" s="5"/>
      <c r="J146" s="5"/>
      <c r="K146" s="5"/>
      <c r="L146" s="5"/>
      <c r="M146" s="5"/>
      <c r="N146" s="204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5">
      <c r="A147" s="219">
        <f>'Données projet'!A167</f>
        <v>15</v>
      </c>
      <c r="B147" s="220">
        <f>'Données projet'!D167</f>
        <v>0</v>
      </c>
      <c r="C147" s="242"/>
      <c r="D147" s="218">
        <f t="shared" ref="D147:D165" si="9">B147*C147</f>
        <v>0</v>
      </c>
      <c r="E147" s="242"/>
      <c r="F147" s="234"/>
      <c r="G147" s="235"/>
      <c r="H147" s="5"/>
      <c r="I147" s="5"/>
      <c r="J147" s="5"/>
      <c r="K147" s="5"/>
      <c r="L147" s="5"/>
      <c r="M147" s="5"/>
      <c r="N147" s="204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5">
      <c r="A148" s="219">
        <f>'Données projet'!A168</f>
        <v>20</v>
      </c>
      <c r="B148" s="220">
        <f>'Données projet'!D168</f>
        <v>66.5</v>
      </c>
      <c r="C148" s="242"/>
      <c r="D148" s="218">
        <f t="shared" si="9"/>
        <v>0</v>
      </c>
      <c r="E148" s="242"/>
      <c r="F148" s="234"/>
      <c r="G148" s="235"/>
      <c r="H148" s="5"/>
      <c r="I148" s="5"/>
      <c r="J148" s="5"/>
      <c r="K148" s="5"/>
      <c r="L148" s="5"/>
      <c r="M148" s="5"/>
      <c r="N148" s="204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5">
      <c r="A149" s="219">
        <f>'Données projet'!A169</f>
        <v>25</v>
      </c>
      <c r="B149" s="220">
        <f>'Données projet'!D169</f>
        <v>0</v>
      </c>
      <c r="C149" s="242"/>
      <c r="D149" s="218">
        <f t="shared" si="9"/>
        <v>0</v>
      </c>
      <c r="E149" s="242"/>
      <c r="F149" s="234"/>
      <c r="G149" s="235"/>
      <c r="H149" s="5"/>
      <c r="I149" s="5"/>
      <c r="J149" s="5"/>
      <c r="K149" s="5"/>
      <c r="L149" s="5"/>
      <c r="M149" s="5"/>
      <c r="N149" s="204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25">
      <c r="A150" s="219">
        <f>'Données projet'!A170</f>
        <v>30</v>
      </c>
      <c r="B150" s="220">
        <f>'Données projet'!D170</f>
        <v>70</v>
      </c>
      <c r="C150" s="242"/>
      <c r="D150" s="218">
        <f t="shared" si="9"/>
        <v>0</v>
      </c>
      <c r="E150" s="242"/>
      <c r="F150" s="234"/>
      <c r="G150" s="235"/>
      <c r="H150" s="5"/>
      <c r="I150" s="5"/>
      <c r="J150" s="5"/>
      <c r="K150" s="5"/>
      <c r="L150" s="5"/>
      <c r="M150" s="5"/>
      <c r="N150" s="204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25">
      <c r="A151" s="219">
        <f>'Données projet'!A171</f>
        <v>35</v>
      </c>
      <c r="B151" s="220">
        <f>'Données projet'!D171</f>
        <v>0</v>
      </c>
      <c r="C151" s="242"/>
      <c r="D151" s="218">
        <f t="shared" si="9"/>
        <v>0</v>
      </c>
      <c r="E151" s="242"/>
      <c r="F151" s="234"/>
      <c r="G151" s="235"/>
      <c r="H151" s="5"/>
      <c r="I151" s="5"/>
      <c r="J151" s="5"/>
      <c r="K151" s="5"/>
      <c r="L151" s="5"/>
      <c r="M151" s="5"/>
      <c r="N151" s="204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5">
      <c r="A152" s="219">
        <f>'Données projet'!A172</f>
        <v>40</v>
      </c>
      <c r="B152" s="220">
        <f>'Données projet'!D172</f>
        <v>70</v>
      </c>
      <c r="C152" s="242"/>
      <c r="D152" s="218">
        <f t="shared" si="9"/>
        <v>0</v>
      </c>
      <c r="E152" s="242"/>
      <c r="F152" s="234"/>
      <c r="G152" s="235"/>
      <c r="H152" s="5"/>
      <c r="I152" s="5"/>
      <c r="J152" s="5"/>
      <c r="K152" s="5"/>
      <c r="L152" s="5"/>
      <c r="M152" s="5"/>
      <c r="N152" s="204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5">
      <c r="A153" s="219">
        <f>'Données projet'!A173</f>
        <v>45</v>
      </c>
      <c r="B153" s="220">
        <f>'Données projet'!D173</f>
        <v>0</v>
      </c>
      <c r="C153" s="242"/>
      <c r="D153" s="218">
        <f t="shared" si="9"/>
        <v>0</v>
      </c>
      <c r="E153" s="242"/>
      <c r="F153" s="234"/>
      <c r="G153" s="235"/>
      <c r="H153" s="5"/>
      <c r="I153" s="5"/>
      <c r="J153" s="5"/>
      <c r="K153" s="5"/>
      <c r="L153" s="5"/>
      <c r="M153" s="5"/>
      <c r="N153" s="204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5">
      <c r="A154" s="219">
        <f>'Données projet'!A174</f>
        <v>50</v>
      </c>
      <c r="B154" s="220">
        <f>'Données projet'!D174</f>
        <v>43.099999999999994</v>
      </c>
      <c r="C154" s="242"/>
      <c r="D154" s="218">
        <f t="shared" si="9"/>
        <v>0</v>
      </c>
      <c r="E154" s="242"/>
      <c r="F154" s="234"/>
      <c r="G154" s="235"/>
      <c r="H154" s="5"/>
      <c r="I154" s="5"/>
      <c r="J154" s="5"/>
      <c r="K154" s="5"/>
      <c r="L154" s="5"/>
      <c r="M154" s="5"/>
      <c r="N154" s="204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5">
      <c r="A155" s="219">
        <f>'Données projet'!A175</f>
        <v>55</v>
      </c>
      <c r="B155" s="220">
        <f>'Données projet'!D175</f>
        <v>0</v>
      </c>
      <c r="C155" s="242"/>
      <c r="D155" s="218">
        <f t="shared" si="9"/>
        <v>0</v>
      </c>
      <c r="E155" s="242"/>
      <c r="F155" s="234"/>
      <c r="G155" s="235"/>
      <c r="H155" s="5"/>
      <c r="I155" s="5"/>
      <c r="J155" s="5"/>
      <c r="K155" s="5"/>
      <c r="L155" s="5"/>
      <c r="M155" s="5"/>
      <c r="N155" s="204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5">
      <c r="A156" s="219">
        <f>'Données projet'!A176</f>
        <v>60</v>
      </c>
      <c r="B156" s="220">
        <f>'Données projet'!D176</f>
        <v>30.2</v>
      </c>
      <c r="C156" s="242"/>
      <c r="D156" s="218">
        <f t="shared" si="9"/>
        <v>0</v>
      </c>
      <c r="E156" s="242"/>
      <c r="F156" s="234"/>
      <c r="G156" s="235"/>
      <c r="H156" s="5"/>
      <c r="I156" s="5"/>
      <c r="J156" s="5"/>
      <c r="K156" s="5"/>
      <c r="L156" s="5"/>
      <c r="M156" s="5"/>
      <c r="N156" s="204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5">
      <c r="A157" s="219">
        <f>'Données projet'!A177</f>
        <v>65</v>
      </c>
      <c r="B157" s="220">
        <f>'Données projet'!D177</f>
        <v>0</v>
      </c>
      <c r="C157" s="242"/>
      <c r="D157" s="218">
        <f t="shared" si="9"/>
        <v>0</v>
      </c>
      <c r="E157" s="242"/>
      <c r="F157" s="234"/>
      <c r="G157" s="235"/>
      <c r="H157" s="5"/>
      <c r="I157" s="5"/>
      <c r="J157" s="5"/>
      <c r="K157" s="5"/>
      <c r="L157" s="5"/>
      <c r="M157" s="5"/>
      <c r="N157" s="204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5">
      <c r="A158" s="219">
        <f>'Données projet'!A178</f>
        <v>70</v>
      </c>
      <c r="B158" s="220">
        <f>'Données projet'!D178</f>
        <v>25.9</v>
      </c>
      <c r="C158" s="242"/>
      <c r="D158" s="218">
        <f t="shared" si="9"/>
        <v>0</v>
      </c>
      <c r="E158" s="242"/>
      <c r="F158" s="234"/>
      <c r="G158" s="235"/>
      <c r="H158" s="5"/>
      <c r="I158" s="5"/>
      <c r="J158" s="5"/>
      <c r="K158" s="5"/>
      <c r="L158" s="5"/>
      <c r="M158" s="5"/>
      <c r="N158" s="204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5">
      <c r="A159" s="219">
        <f>'Données projet'!A179</f>
        <v>75</v>
      </c>
      <c r="B159" s="220">
        <f>'Données projet'!D179</f>
        <v>0</v>
      </c>
      <c r="C159" s="242"/>
      <c r="D159" s="218">
        <f t="shared" si="9"/>
        <v>0</v>
      </c>
      <c r="E159" s="242"/>
      <c r="F159" s="234"/>
      <c r="G159" s="235"/>
      <c r="H159" s="5"/>
      <c r="I159" s="5"/>
      <c r="J159" s="5"/>
      <c r="K159" s="5"/>
      <c r="L159" s="5"/>
      <c r="M159" s="5"/>
      <c r="N159" s="204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5">
      <c r="A160" s="219">
        <f>'Données projet'!A180</f>
        <v>80</v>
      </c>
      <c r="B160" s="220">
        <f>'Données projet'!D180</f>
        <v>341.3</v>
      </c>
      <c r="C160" s="242"/>
      <c r="D160" s="218">
        <f t="shared" si="9"/>
        <v>0</v>
      </c>
      <c r="E160" s="242"/>
      <c r="F160" s="234"/>
      <c r="G160" s="235"/>
      <c r="H160" s="5"/>
      <c r="I160" s="5"/>
      <c r="J160" s="5"/>
      <c r="K160" s="5"/>
      <c r="L160" s="5"/>
      <c r="M160" s="5"/>
      <c r="N160" s="204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5">
      <c r="A161" s="219">
        <f>'Données projet'!A181</f>
        <v>0</v>
      </c>
      <c r="B161" s="220">
        <f>'Données projet'!D181</f>
        <v>0</v>
      </c>
      <c r="C161" s="242"/>
      <c r="D161" s="218">
        <f t="shared" si="9"/>
        <v>0</v>
      </c>
      <c r="E161" s="242"/>
      <c r="F161" s="234"/>
      <c r="G161" s="235"/>
      <c r="H161" s="5"/>
      <c r="I161" s="5"/>
      <c r="J161" s="5"/>
      <c r="K161" s="5"/>
      <c r="L161" s="5"/>
      <c r="M161" s="5"/>
      <c r="N161" s="204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5">
      <c r="A162" s="219">
        <f>'Données projet'!A182</f>
        <v>0</v>
      </c>
      <c r="B162" s="220">
        <f>'Données projet'!D182</f>
        <v>0</v>
      </c>
      <c r="C162" s="242"/>
      <c r="D162" s="218">
        <f t="shared" si="9"/>
        <v>0</v>
      </c>
      <c r="E162" s="242"/>
      <c r="F162" s="234"/>
      <c r="G162" s="235"/>
      <c r="H162" s="5"/>
      <c r="I162" s="5"/>
      <c r="J162" s="5"/>
      <c r="K162" s="5"/>
      <c r="L162" s="5"/>
      <c r="M162" s="5"/>
      <c r="N162" s="204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5">
      <c r="A163" s="219">
        <f>'Données projet'!A183</f>
        <v>0</v>
      </c>
      <c r="B163" s="220">
        <f>'Données projet'!D183</f>
        <v>0</v>
      </c>
      <c r="C163" s="242"/>
      <c r="D163" s="218">
        <f t="shared" si="9"/>
        <v>0</v>
      </c>
      <c r="E163" s="242"/>
      <c r="F163" s="234"/>
      <c r="G163" s="235"/>
      <c r="H163" s="5"/>
      <c r="I163" s="5"/>
      <c r="J163" s="5"/>
      <c r="K163" s="5"/>
      <c r="L163" s="5"/>
      <c r="M163" s="5"/>
      <c r="N163" s="204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5">
      <c r="A164" s="219">
        <f>'Données projet'!A184</f>
        <v>0</v>
      </c>
      <c r="B164" s="220">
        <f>'Données projet'!D184</f>
        <v>0</v>
      </c>
      <c r="C164" s="242"/>
      <c r="D164" s="218">
        <f t="shared" si="9"/>
        <v>0</v>
      </c>
      <c r="E164" s="242"/>
      <c r="F164" s="234"/>
      <c r="G164" s="235"/>
      <c r="H164" s="5"/>
      <c r="I164" s="5"/>
      <c r="J164" s="5"/>
      <c r="K164" s="5"/>
      <c r="L164" s="5"/>
      <c r="M164" s="5"/>
      <c r="N164" s="204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5">
      <c r="A165" s="219">
        <f>'Données projet'!A185</f>
        <v>0</v>
      </c>
      <c r="B165" s="220">
        <f>'Données projet'!D185</f>
        <v>0</v>
      </c>
      <c r="C165" s="242"/>
      <c r="D165" s="218">
        <f t="shared" si="9"/>
        <v>0</v>
      </c>
      <c r="E165" s="242"/>
      <c r="F165" s="234"/>
      <c r="G165" s="235"/>
      <c r="H165" s="5"/>
      <c r="I165" s="5"/>
      <c r="J165" s="5"/>
      <c r="K165" s="5"/>
      <c r="L165" s="5"/>
      <c r="M165" s="5"/>
      <c r="N165" s="204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5">
      <c r="A166" s="5"/>
      <c r="B166" s="5"/>
      <c r="C166" s="5"/>
      <c r="D166" s="5"/>
      <c r="E166" s="5"/>
      <c r="F166" s="202"/>
      <c r="G166" s="112"/>
      <c r="H166" s="5"/>
      <c r="I166" s="5"/>
      <c r="J166" s="5"/>
      <c r="K166" s="5"/>
      <c r="L166" s="5"/>
      <c r="M166" s="5"/>
      <c r="N166" s="204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5">
      <c r="A167" s="5"/>
      <c r="B167" s="5"/>
      <c r="C167" s="5"/>
      <c r="D167" s="5"/>
      <c r="E167" s="5"/>
      <c r="F167" s="202"/>
      <c r="G167" s="112"/>
      <c r="H167" s="5"/>
      <c r="I167" s="5"/>
      <c r="J167" s="5"/>
      <c r="K167" s="5"/>
      <c r="L167" s="5"/>
      <c r="M167" s="5"/>
      <c r="N167" s="204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5">
      <c r="A168" s="49" t="s">
        <v>171</v>
      </c>
      <c r="B168" s="212" t="str">
        <f>IF('Données projet'!$B$15="","",'Données projet'!$B$15)</f>
        <v/>
      </c>
      <c r="C168" s="5"/>
      <c r="D168" s="5"/>
      <c r="E168" s="5"/>
      <c r="F168" s="202"/>
      <c r="G168" s="112"/>
      <c r="H168" s="5"/>
      <c r="I168" s="5"/>
      <c r="J168" s="5"/>
      <c r="K168" s="5"/>
      <c r="L168" s="5"/>
      <c r="M168" s="5"/>
      <c r="N168" s="204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5">
      <c r="A169" s="49"/>
      <c r="B169" s="5"/>
      <c r="C169" s="5"/>
      <c r="D169" s="5"/>
      <c r="E169" s="5"/>
      <c r="F169" s="202"/>
      <c r="G169" s="112"/>
      <c r="H169" s="5"/>
      <c r="I169" s="5"/>
      <c r="J169" s="5"/>
      <c r="K169" s="5"/>
      <c r="L169" s="5"/>
      <c r="M169" s="5"/>
      <c r="N169" s="204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5">
      <c r="A170" s="211" t="s">
        <v>180</v>
      </c>
      <c r="B170" s="51" t="s">
        <v>256</v>
      </c>
      <c r="C170" s="51" t="s">
        <v>255</v>
      </c>
      <c r="D170" s="211" t="s">
        <v>252</v>
      </c>
      <c r="E170" s="211" t="s">
        <v>288</v>
      </c>
      <c r="F170" s="233"/>
      <c r="G170" s="215"/>
      <c r="H170" s="5"/>
      <c r="I170" s="5"/>
      <c r="J170" s="5"/>
      <c r="K170" s="5"/>
      <c r="L170" s="5"/>
      <c r="M170" s="5"/>
      <c r="N170" s="204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5">
      <c r="A171" s="219">
        <f>'Données projet'!A192</f>
        <v>0</v>
      </c>
      <c r="B171" s="220">
        <f>'Données projet'!D192</f>
        <v>0</v>
      </c>
      <c r="C171" s="242"/>
      <c r="D171" s="218">
        <f>B171*C171</f>
        <v>0</v>
      </c>
      <c r="E171" s="242"/>
      <c r="F171" s="234"/>
      <c r="G171" s="235"/>
      <c r="H171" s="5"/>
      <c r="I171" s="5"/>
      <c r="J171" s="5"/>
      <c r="K171" s="5"/>
      <c r="L171" s="5"/>
      <c r="M171" s="5"/>
      <c r="N171" s="204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5">
      <c r="A172" s="219">
        <f>'Données projet'!A193</f>
        <v>0</v>
      </c>
      <c r="B172" s="220">
        <f>'Données projet'!D193</f>
        <v>0</v>
      </c>
      <c r="C172" s="242"/>
      <c r="D172" s="218">
        <f t="shared" ref="D172:D190" si="10">B172*C172</f>
        <v>0</v>
      </c>
      <c r="E172" s="242"/>
      <c r="F172" s="234"/>
      <c r="G172" s="235"/>
      <c r="H172" s="5"/>
      <c r="I172" s="5"/>
      <c r="J172" s="5"/>
      <c r="K172" s="5"/>
      <c r="L172" s="5"/>
      <c r="M172" s="5"/>
      <c r="N172" s="204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5">
      <c r="A173" s="219">
        <f>'Données projet'!A194</f>
        <v>0</v>
      </c>
      <c r="B173" s="220">
        <f>'Données projet'!D194</f>
        <v>0</v>
      </c>
      <c r="C173" s="242"/>
      <c r="D173" s="218">
        <f t="shared" si="10"/>
        <v>0</v>
      </c>
      <c r="E173" s="242"/>
      <c r="F173" s="234"/>
      <c r="G173" s="235"/>
      <c r="H173" s="5"/>
      <c r="I173" s="5"/>
      <c r="J173" s="5"/>
      <c r="K173" s="5"/>
      <c r="L173" s="5"/>
      <c r="M173" s="5"/>
      <c r="N173" s="204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5">
      <c r="A174" s="219">
        <f>'Données projet'!A195</f>
        <v>0</v>
      </c>
      <c r="B174" s="220">
        <f>'Données projet'!D195</f>
        <v>0</v>
      </c>
      <c r="C174" s="242"/>
      <c r="D174" s="218">
        <f t="shared" si="10"/>
        <v>0</v>
      </c>
      <c r="E174" s="242"/>
      <c r="F174" s="234"/>
      <c r="G174" s="235"/>
      <c r="H174" s="5"/>
      <c r="I174" s="5"/>
      <c r="J174" s="5"/>
      <c r="K174" s="5"/>
      <c r="L174" s="5"/>
      <c r="M174" s="5"/>
      <c r="N174" s="204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5">
      <c r="A175" s="219">
        <f>'Données projet'!A196</f>
        <v>0</v>
      </c>
      <c r="B175" s="220">
        <f>'Données projet'!D196</f>
        <v>0</v>
      </c>
      <c r="C175" s="242"/>
      <c r="D175" s="218">
        <f t="shared" si="10"/>
        <v>0</v>
      </c>
      <c r="E175" s="242"/>
      <c r="F175" s="234"/>
      <c r="G175" s="235"/>
      <c r="H175" s="5"/>
      <c r="I175" s="5"/>
      <c r="J175" s="5"/>
      <c r="K175" s="5"/>
      <c r="L175" s="5"/>
      <c r="M175" s="5"/>
      <c r="N175" s="20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25">
      <c r="A176" s="219">
        <f>'Données projet'!A197</f>
        <v>0</v>
      </c>
      <c r="B176" s="220">
        <f>'Données projet'!D197</f>
        <v>0</v>
      </c>
      <c r="C176" s="242"/>
      <c r="D176" s="218">
        <f t="shared" si="10"/>
        <v>0</v>
      </c>
      <c r="E176" s="242"/>
      <c r="F176" s="234"/>
      <c r="G176" s="235"/>
      <c r="H176" s="5"/>
      <c r="I176" s="5"/>
      <c r="J176" s="5"/>
      <c r="K176" s="5"/>
      <c r="L176" s="5"/>
      <c r="M176" s="5"/>
      <c r="N176" s="204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25">
      <c r="A177" s="219">
        <f>'Données projet'!A198</f>
        <v>0</v>
      </c>
      <c r="B177" s="220">
        <f>'Données projet'!D198</f>
        <v>0</v>
      </c>
      <c r="C177" s="242"/>
      <c r="D177" s="218">
        <f t="shared" si="10"/>
        <v>0</v>
      </c>
      <c r="E177" s="242"/>
      <c r="F177" s="234"/>
      <c r="G177" s="235"/>
      <c r="H177" s="5"/>
      <c r="I177" s="5"/>
      <c r="J177" s="5"/>
      <c r="K177" s="5"/>
      <c r="L177" s="5"/>
      <c r="M177" s="5"/>
      <c r="N177" s="204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5">
      <c r="A178" s="219">
        <f>'Données projet'!A199</f>
        <v>0</v>
      </c>
      <c r="B178" s="220">
        <f>'Données projet'!D199</f>
        <v>0</v>
      </c>
      <c r="C178" s="242"/>
      <c r="D178" s="218">
        <f t="shared" si="10"/>
        <v>0</v>
      </c>
      <c r="E178" s="242"/>
      <c r="F178" s="234"/>
      <c r="G178" s="235"/>
      <c r="H178" s="5"/>
      <c r="I178" s="5"/>
      <c r="J178" s="5"/>
      <c r="K178" s="5"/>
      <c r="L178" s="5"/>
      <c r="M178" s="5"/>
      <c r="N178" s="204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5">
      <c r="A179" s="219">
        <f>'Données projet'!A200</f>
        <v>0</v>
      </c>
      <c r="B179" s="220">
        <f>'Données projet'!D200</f>
        <v>0</v>
      </c>
      <c r="C179" s="242"/>
      <c r="D179" s="218">
        <f t="shared" si="10"/>
        <v>0</v>
      </c>
      <c r="E179" s="242"/>
      <c r="F179" s="234"/>
      <c r="G179" s="235"/>
      <c r="H179" s="5"/>
      <c r="I179" s="5"/>
      <c r="J179" s="5"/>
      <c r="K179" s="5"/>
      <c r="L179" s="5"/>
      <c r="M179" s="5"/>
      <c r="N179" s="204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5">
      <c r="A180" s="219">
        <f>'Données projet'!A201</f>
        <v>0</v>
      </c>
      <c r="B180" s="220">
        <f>'Données projet'!D201</f>
        <v>0</v>
      </c>
      <c r="C180" s="242"/>
      <c r="D180" s="218">
        <f t="shared" si="10"/>
        <v>0</v>
      </c>
      <c r="E180" s="242"/>
      <c r="F180" s="234"/>
      <c r="G180" s="235"/>
      <c r="H180" s="5"/>
      <c r="I180" s="5"/>
      <c r="J180" s="5"/>
      <c r="K180" s="5"/>
      <c r="L180" s="5"/>
      <c r="M180" s="5"/>
      <c r="N180" s="204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5">
      <c r="A181" s="219">
        <f>'Données projet'!A202</f>
        <v>0</v>
      </c>
      <c r="B181" s="220">
        <f>'Données projet'!D202</f>
        <v>0</v>
      </c>
      <c r="C181" s="242"/>
      <c r="D181" s="218">
        <f t="shared" si="10"/>
        <v>0</v>
      </c>
      <c r="E181" s="242"/>
      <c r="F181" s="234"/>
      <c r="G181" s="235"/>
      <c r="H181" s="5"/>
      <c r="I181" s="5"/>
      <c r="J181" s="5"/>
      <c r="K181" s="5"/>
      <c r="L181" s="5"/>
      <c r="M181" s="5"/>
      <c r="N181" s="204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5">
      <c r="A182" s="219">
        <f>'Données projet'!A203</f>
        <v>0</v>
      </c>
      <c r="B182" s="220">
        <f>'Données projet'!D203</f>
        <v>0</v>
      </c>
      <c r="C182" s="242"/>
      <c r="D182" s="218">
        <f t="shared" si="10"/>
        <v>0</v>
      </c>
      <c r="E182" s="242"/>
      <c r="F182" s="234"/>
      <c r="G182" s="235"/>
      <c r="H182" s="5"/>
      <c r="I182" s="5"/>
      <c r="J182" s="5"/>
      <c r="K182" s="5"/>
      <c r="L182" s="5"/>
      <c r="M182" s="5"/>
      <c r="N182" s="204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5">
      <c r="A183" s="219">
        <f>'Données projet'!A204</f>
        <v>0</v>
      </c>
      <c r="B183" s="220">
        <f>'Données projet'!D204</f>
        <v>0</v>
      </c>
      <c r="C183" s="242"/>
      <c r="D183" s="218">
        <f t="shared" si="10"/>
        <v>0</v>
      </c>
      <c r="E183" s="242"/>
      <c r="F183" s="234"/>
      <c r="G183" s="235"/>
      <c r="H183" s="5"/>
      <c r="I183" s="5"/>
      <c r="J183" s="5"/>
      <c r="K183" s="5"/>
      <c r="L183" s="5"/>
      <c r="M183" s="5"/>
      <c r="N183" s="204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5">
      <c r="A184" s="219">
        <f>'Données projet'!A205</f>
        <v>0</v>
      </c>
      <c r="B184" s="220">
        <f>'Données projet'!D205</f>
        <v>0</v>
      </c>
      <c r="C184" s="242"/>
      <c r="D184" s="218">
        <f t="shared" si="10"/>
        <v>0</v>
      </c>
      <c r="E184" s="242"/>
      <c r="F184" s="234"/>
      <c r="G184" s="235"/>
      <c r="H184" s="5"/>
      <c r="I184" s="5"/>
      <c r="J184" s="5"/>
      <c r="K184" s="5"/>
      <c r="L184" s="5"/>
      <c r="M184" s="5"/>
      <c r="N184" s="204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5">
      <c r="A185" s="219">
        <f>'Données projet'!A206</f>
        <v>0</v>
      </c>
      <c r="B185" s="220">
        <f>'Données projet'!D206</f>
        <v>0</v>
      </c>
      <c r="C185" s="242"/>
      <c r="D185" s="218">
        <f t="shared" si="10"/>
        <v>0</v>
      </c>
      <c r="E185" s="242"/>
      <c r="F185" s="234"/>
      <c r="G185" s="235"/>
      <c r="H185" s="5"/>
      <c r="I185" s="5"/>
      <c r="J185" s="5"/>
      <c r="K185" s="5"/>
      <c r="L185" s="5"/>
      <c r="M185" s="5"/>
      <c r="N185" s="204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5">
      <c r="A186" s="219">
        <f>'Données projet'!A207</f>
        <v>0</v>
      </c>
      <c r="B186" s="220">
        <f>'Données projet'!D207</f>
        <v>0</v>
      </c>
      <c r="C186" s="242"/>
      <c r="D186" s="218">
        <f t="shared" si="10"/>
        <v>0</v>
      </c>
      <c r="E186" s="242"/>
      <c r="F186" s="234"/>
      <c r="G186" s="235"/>
      <c r="H186" s="5"/>
      <c r="I186" s="5"/>
      <c r="J186" s="5"/>
      <c r="K186" s="5"/>
      <c r="L186" s="5"/>
      <c r="M186" s="5"/>
      <c r="N186" s="204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5">
      <c r="A187" s="219">
        <f>'Données projet'!A208</f>
        <v>0</v>
      </c>
      <c r="B187" s="220">
        <f>'Données projet'!D208</f>
        <v>0</v>
      </c>
      <c r="C187" s="242"/>
      <c r="D187" s="218">
        <f t="shared" si="10"/>
        <v>0</v>
      </c>
      <c r="E187" s="242"/>
      <c r="F187" s="234"/>
      <c r="G187" s="235"/>
      <c r="H187" s="5"/>
      <c r="I187" s="5"/>
      <c r="J187" s="5"/>
      <c r="K187" s="5"/>
      <c r="L187" s="5"/>
      <c r="M187" s="5"/>
      <c r="N187" s="204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5">
      <c r="A188" s="219">
        <f>'Données projet'!A209</f>
        <v>0</v>
      </c>
      <c r="B188" s="220">
        <f>'Données projet'!D209</f>
        <v>0</v>
      </c>
      <c r="C188" s="242"/>
      <c r="D188" s="218">
        <f t="shared" si="10"/>
        <v>0</v>
      </c>
      <c r="E188" s="242"/>
      <c r="F188" s="234"/>
      <c r="G188" s="235"/>
      <c r="H188" s="5"/>
      <c r="I188" s="5"/>
      <c r="J188" s="5"/>
      <c r="K188" s="5"/>
      <c r="L188" s="5"/>
      <c r="M188" s="5"/>
      <c r="N188" s="204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5">
      <c r="A189" s="219">
        <f>'Données projet'!A210</f>
        <v>0</v>
      </c>
      <c r="B189" s="220">
        <f>'Données projet'!D210</f>
        <v>0</v>
      </c>
      <c r="C189" s="242"/>
      <c r="D189" s="218">
        <f t="shared" si="10"/>
        <v>0</v>
      </c>
      <c r="E189" s="242"/>
      <c r="F189" s="234"/>
      <c r="G189" s="235"/>
      <c r="H189" s="5"/>
      <c r="I189" s="5"/>
      <c r="J189" s="5"/>
      <c r="K189" s="5"/>
      <c r="L189" s="5"/>
      <c r="M189" s="5"/>
      <c r="N189" s="204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5">
      <c r="A190" s="219">
        <f>'Données projet'!A211</f>
        <v>0</v>
      </c>
      <c r="B190" s="220">
        <f>'Données projet'!D211</f>
        <v>0</v>
      </c>
      <c r="C190" s="242"/>
      <c r="D190" s="218">
        <f t="shared" si="10"/>
        <v>0</v>
      </c>
      <c r="E190" s="242"/>
      <c r="F190" s="234"/>
      <c r="G190" s="235"/>
      <c r="H190" s="5"/>
      <c r="I190" s="5"/>
      <c r="J190" s="5"/>
      <c r="K190" s="5"/>
      <c r="L190" s="5"/>
      <c r="M190" s="5"/>
      <c r="N190" s="204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5">
      <c r="A191" s="5"/>
      <c r="B191" s="5"/>
      <c r="C191" s="5"/>
      <c r="D191" s="5"/>
      <c r="E191" s="5"/>
      <c r="F191" s="202"/>
      <c r="G191" s="112"/>
      <c r="H191" s="5"/>
      <c r="I191" s="5"/>
      <c r="J191" s="5"/>
      <c r="K191" s="5"/>
      <c r="L191" s="5"/>
      <c r="M191" s="5"/>
      <c r="N191" s="204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5">
      <c r="A192" s="5"/>
      <c r="B192" s="5"/>
      <c r="C192" s="5"/>
      <c r="D192" s="5"/>
      <c r="E192" s="5"/>
      <c r="F192" s="202"/>
      <c r="G192" s="112"/>
      <c r="H192" s="5"/>
      <c r="I192" s="5"/>
      <c r="J192" s="5"/>
      <c r="K192" s="5"/>
      <c r="L192" s="5"/>
      <c r="M192" s="5"/>
      <c r="N192" s="204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5">
      <c r="A193" s="49" t="s">
        <v>172</v>
      </c>
      <c r="B193" s="212" t="str">
        <f>IF('Données projet'!$B$16="","",'Données projet'!$B$16)</f>
        <v/>
      </c>
      <c r="C193" s="5"/>
      <c r="D193" s="5"/>
      <c r="E193" s="5"/>
      <c r="F193" s="202"/>
      <c r="G193" s="112"/>
      <c r="H193" s="5"/>
      <c r="I193" s="5"/>
      <c r="J193" s="5"/>
      <c r="K193" s="5"/>
      <c r="L193" s="5"/>
      <c r="M193" s="5"/>
      <c r="N193" s="204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5">
      <c r="A194" s="49"/>
      <c r="B194" s="5"/>
      <c r="C194" s="5"/>
      <c r="D194" s="5"/>
      <c r="E194" s="5"/>
      <c r="F194" s="202"/>
      <c r="G194" s="112"/>
      <c r="H194" s="5"/>
      <c r="I194" s="5"/>
      <c r="J194" s="5"/>
      <c r="K194" s="5"/>
      <c r="L194" s="5"/>
      <c r="M194" s="5"/>
      <c r="N194" s="204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5">
      <c r="A195" s="211" t="s">
        <v>180</v>
      </c>
      <c r="B195" s="51" t="s">
        <v>256</v>
      </c>
      <c r="C195" s="51" t="s">
        <v>255</v>
      </c>
      <c r="D195" s="211" t="s">
        <v>252</v>
      </c>
      <c r="E195" s="211" t="s">
        <v>288</v>
      </c>
      <c r="F195" s="233"/>
      <c r="G195" s="215"/>
      <c r="H195" s="5"/>
      <c r="I195" s="5"/>
      <c r="J195" s="5"/>
      <c r="K195" s="5"/>
      <c r="L195" s="5"/>
      <c r="M195" s="5"/>
      <c r="N195" s="204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5">
      <c r="A196" s="219">
        <f>'Données projet'!A218</f>
        <v>0</v>
      </c>
      <c r="B196" s="220">
        <f>'Données projet'!D218</f>
        <v>0</v>
      </c>
      <c r="C196" s="242"/>
      <c r="D196" s="218">
        <f>B196*C196</f>
        <v>0</v>
      </c>
      <c r="E196" s="242"/>
      <c r="F196" s="234"/>
      <c r="G196" s="235"/>
      <c r="H196" s="5"/>
      <c r="I196" s="5"/>
      <c r="J196" s="5"/>
      <c r="K196" s="5"/>
      <c r="L196" s="5"/>
      <c r="M196" s="5"/>
      <c r="N196" s="204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5">
      <c r="A197" s="219">
        <f>'Données projet'!A219</f>
        <v>0</v>
      </c>
      <c r="B197" s="220">
        <f>'Données projet'!D219</f>
        <v>0</v>
      </c>
      <c r="C197" s="242"/>
      <c r="D197" s="218">
        <f t="shared" ref="D197:D215" si="11">B197*C197</f>
        <v>0</v>
      </c>
      <c r="E197" s="242"/>
      <c r="F197" s="234"/>
      <c r="G197" s="235"/>
      <c r="H197" s="5"/>
      <c r="I197" s="5"/>
      <c r="J197" s="5"/>
      <c r="K197" s="5"/>
      <c r="L197" s="5"/>
      <c r="M197" s="5"/>
      <c r="N197" s="204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5">
      <c r="A198" s="219">
        <f>'Données projet'!A220</f>
        <v>0</v>
      </c>
      <c r="B198" s="220">
        <f>'Données projet'!D220</f>
        <v>0</v>
      </c>
      <c r="C198" s="242"/>
      <c r="D198" s="218">
        <f t="shared" si="11"/>
        <v>0</v>
      </c>
      <c r="E198" s="242"/>
      <c r="F198" s="234"/>
      <c r="G198" s="235"/>
      <c r="H198" s="5"/>
      <c r="I198" s="5"/>
      <c r="J198" s="5"/>
      <c r="K198" s="5"/>
      <c r="L198" s="5"/>
      <c r="M198" s="5"/>
      <c r="N198" s="204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5">
      <c r="A199" s="219">
        <f>'Données projet'!A221</f>
        <v>0</v>
      </c>
      <c r="B199" s="220">
        <f>'Données projet'!D221</f>
        <v>0</v>
      </c>
      <c r="C199" s="242"/>
      <c r="D199" s="218">
        <f t="shared" si="11"/>
        <v>0</v>
      </c>
      <c r="E199" s="242"/>
      <c r="F199" s="234"/>
      <c r="G199" s="235"/>
      <c r="H199" s="5"/>
      <c r="I199" s="5"/>
      <c r="J199" s="5"/>
      <c r="K199" s="5"/>
      <c r="L199" s="5"/>
      <c r="M199" s="5"/>
      <c r="N199" s="204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5">
      <c r="A200" s="219">
        <f>'Données projet'!A222</f>
        <v>0</v>
      </c>
      <c r="B200" s="220">
        <f>'Données projet'!D222</f>
        <v>0</v>
      </c>
      <c r="C200" s="242"/>
      <c r="D200" s="218">
        <f t="shared" si="11"/>
        <v>0</v>
      </c>
      <c r="E200" s="242"/>
      <c r="F200" s="234"/>
      <c r="G200" s="235"/>
      <c r="H200" s="5"/>
      <c r="I200" s="5"/>
      <c r="J200" s="5"/>
      <c r="K200" s="5"/>
      <c r="L200" s="5"/>
      <c r="M200" s="5"/>
      <c r="N200" s="204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5">
      <c r="A201" s="219">
        <f>'Données projet'!A223</f>
        <v>0</v>
      </c>
      <c r="B201" s="220">
        <f>'Données projet'!D223</f>
        <v>0</v>
      </c>
      <c r="C201" s="242"/>
      <c r="D201" s="218">
        <f t="shared" si="11"/>
        <v>0</v>
      </c>
      <c r="E201" s="242"/>
      <c r="F201" s="234"/>
      <c r="G201" s="235"/>
      <c r="H201" s="5"/>
      <c r="I201" s="5"/>
      <c r="J201" s="5"/>
      <c r="K201" s="5"/>
      <c r="L201" s="5"/>
      <c r="M201" s="5"/>
      <c r="N201" s="204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25">
      <c r="A202" s="219">
        <f>'Données projet'!A224</f>
        <v>0</v>
      </c>
      <c r="B202" s="220">
        <f>'Données projet'!D224</f>
        <v>0</v>
      </c>
      <c r="C202" s="242"/>
      <c r="D202" s="218">
        <f t="shared" si="11"/>
        <v>0</v>
      </c>
      <c r="E202" s="242"/>
      <c r="F202" s="234"/>
      <c r="G202" s="235"/>
      <c r="H202" s="5"/>
      <c r="I202" s="5"/>
      <c r="J202" s="5"/>
      <c r="K202" s="5"/>
      <c r="L202" s="5"/>
      <c r="M202" s="5"/>
      <c r="N202" s="204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25">
      <c r="A203" s="219">
        <f>'Données projet'!A225</f>
        <v>0</v>
      </c>
      <c r="B203" s="220">
        <f>'Données projet'!D225</f>
        <v>0</v>
      </c>
      <c r="C203" s="242"/>
      <c r="D203" s="218">
        <f t="shared" si="11"/>
        <v>0</v>
      </c>
      <c r="E203" s="242"/>
      <c r="F203" s="234"/>
      <c r="G203" s="235"/>
      <c r="H203" s="5"/>
      <c r="I203" s="5"/>
      <c r="J203" s="5"/>
      <c r="K203" s="5"/>
      <c r="L203" s="5"/>
      <c r="M203" s="5"/>
      <c r="N203" s="204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5">
      <c r="A204" s="219">
        <f>'Données projet'!A226</f>
        <v>0</v>
      </c>
      <c r="B204" s="220">
        <f>'Données projet'!D226</f>
        <v>0</v>
      </c>
      <c r="C204" s="242"/>
      <c r="D204" s="218">
        <f t="shared" si="11"/>
        <v>0</v>
      </c>
      <c r="E204" s="242"/>
      <c r="F204" s="234"/>
      <c r="G204" s="235"/>
      <c r="H204" s="5"/>
      <c r="I204" s="5"/>
      <c r="J204" s="5"/>
      <c r="K204" s="5"/>
      <c r="L204" s="5"/>
      <c r="M204" s="5"/>
      <c r="N204" s="204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5">
      <c r="A205" s="219">
        <f>'Données projet'!A227</f>
        <v>0</v>
      </c>
      <c r="B205" s="220">
        <f>'Données projet'!D227</f>
        <v>0</v>
      </c>
      <c r="C205" s="242"/>
      <c r="D205" s="218">
        <f t="shared" si="11"/>
        <v>0</v>
      </c>
      <c r="E205" s="242"/>
      <c r="F205" s="234"/>
      <c r="G205" s="235"/>
      <c r="H205" s="5"/>
      <c r="I205" s="5"/>
      <c r="J205" s="5"/>
      <c r="K205" s="5"/>
      <c r="L205" s="5"/>
      <c r="M205" s="5"/>
      <c r="N205" s="204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5">
      <c r="A206" s="219">
        <f>'Données projet'!A228</f>
        <v>0</v>
      </c>
      <c r="B206" s="220">
        <f>'Données projet'!D228</f>
        <v>0</v>
      </c>
      <c r="C206" s="242"/>
      <c r="D206" s="218">
        <f t="shared" si="11"/>
        <v>0</v>
      </c>
      <c r="E206" s="242"/>
      <c r="F206" s="234"/>
      <c r="G206" s="235"/>
      <c r="H206" s="5"/>
      <c r="I206" s="5"/>
      <c r="J206" s="5"/>
      <c r="K206" s="5"/>
      <c r="L206" s="5"/>
      <c r="M206" s="5"/>
      <c r="N206" s="204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5">
      <c r="A207" s="219">
        <f>'Données projet'!A229</f>
        <v>0</v>
      </c>
      <c r="B207" s="220">
        <f>'Données projet'!D229</f>
        <v>0</v>
      </c>
      <c r="C207" s="242"/>
      <c r="D207" s="218">
        <f t="shared" si="11"/>
        <v>0</v>
      </c>
      <c r="E207" s="242"/>
      <c r="F207" s="234"/>
      <c r="G207" s="235"/>
      <c r="H207" s="5"/>
      <c r="I207" s="5"/>
      <c r="J207" s="5"/>
      <c r="K207" s="5"/>
      <c r="L207" s="5"/>
      <c r="M207" s="5"/>
      <c r="N207" s="204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5">
      <c r="A208" s="219">
        <f>'Données projet'!A230</f>
        <v>0</v>
      </c>
      <c r="B208" s="220">
        <f>'Données projet'!D230</f>
        <v>0</v>
      </c>
      <c r="C208" s="242"/>
      <c r="D208" s="218">
        <f t="shared" si="11"/>
        <v>0</v>
      </c>
      <c r="E208" s="242"/>
      <c r="F208" s="234"/>
      <c r="G208" s="235"/>
      <c r="H208" s="5"/>
      <c r="I208" s="5"/>
      <c r="J208" s="5"/>
      <c r="K208" s="5"/>
      <c r="L208" s="5"/>
      <c r="M208" s="5"/>
      <c r="N208" s="204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5">
      <c r="A209" s="219">
        <f>'Données projet'!A231</f>
        <v>0</v>
      </c>
      <c r="B209" s="220">
        <f>'Données projet'!D231</f>
        <v>0</v>
      </c>
      <c r="C209" s="242"/>
      <c r="D209" s="218">
        <f t="shared" si="11"/>
        <v>0</v>
      </c>
      <c r="E209" s="242"/>
      <c r="F209" s="234"/>
      <c r="G209" s="235"/>
      <c r="H209" s="5"/>
      <c r="I209" s="5"/>
      <c r="J209" s="5"/>
      <c r="K209" s="5"/>
      <c r="L209" s="5"/>
      <c r="M209" s="5"/>
      <c r="N209" s="204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5">
      <c r="A210" s="219">
        <f>'Données projet'!A232</f>
        <v>0</v>
      </c>
      <c r="B210" s="220">
        <f>'Données projet'!D232</f>
        <v>0</v>
      </c>
      <c r="C210" s="242"/>
      <c r="D210" s="218">
        <f t="shared" si="11"/>
        <v>0</v>
      </c>
      <c r="E210" s="242"/>
      <c r="F210" s="234"/>
      <c r="G210" s="235"/>
      <c r="H210" s="5"/>
      <c r="I210" s="5"/>
      <c r="J210" s="5"/>
      <c r="K210" s="5"/>
      <c r="L210" s="5"/>
      <c r="M210" s="5"/>
      <c r="N210" s="204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5">
      <c r="A211" s="219">
        <f>'Données projet'!A233</f>
        <v>0</v>
      </c>
      <c r="B211" s="220">
        <f>'Données projet'!D233</f>
        <v>0</v>
      </c>
      <c r="C211" s="242"/>
      <c r="D211" s="218">
        <f t="shared" si="11"/>
        <v>0</v>
      </c>
      <c r="E211" s="242"/>
      <c r="F211" s="234"/>
      <c r="G211" s="235"/>
      <c r="H211" s="5"/>
      <c r="I211" s="5"/>
      <c r="J211" s="5"/>
      <c r="K211" s="5"/>
      <c r="L211" s="5"/>
      <c r="M211" s="5"/>
      <c r="N211" s="204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5">
      <c r="A212" s="219">
        <f>'Données projet'!A234</f>
        <v>0</v>
      </c>
      <c r="B212" s="220">
        <f>'Données projet'!D234</f>
        <v>0</v>
      </c>
      <c r="C212" s="242"/>
      <c r="D212" s="218">
        <f t="shared" si="11"/>
        <v>0</v>
      </c>
      <c r="E212" s="242"/>
      <c r="F212" s="234"/>
      <c r="G212" s="235"/>
      <c r="H212" s="5"/>
      <c r="I212" s="5"/>
      <c r="J212" s="5"/>
      <c r="K212" s="5"/>
      <c r="L212" s="5"/>
      <c r="M212" s="5"/>
      <c r="N212" s="204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5">
      <c r="A213" s="219">
        <f>'Données projet'!A235</f>
        <v>0</v>
      </c>
      <c r="B213" s="220">
        <f>'Données projet'!D235</f>
        <v>0</v>
      </c>
      <c r="C213" s="242"/>
      <c r="D213" s="218">
        <f t="shared" si="11"/>
        <v>0</v>
      </c>
      <c r="E213" s="242"/>
      <c r="F213" s="234"/>
      <c r="G213" s="235"/>
      <c r="H213" s="5"/>
      <c r="I213" s="5"/>
      <c r="J213" s="5"/>
      <c r="K213" s="5"/>
      <c r="L213" s="5"/>
      <c r="M213" s="5"/>
      <c r="N213" s="204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5">
      <c r="A214" s="219">
        <f>'Données projet'!A236</f>
        <v>0</v>
      </c>
      <c r="B214" s="220">
        <f>'Données projet'!D236</f>
        <v>0</v>
      </c>
      <c r="C214" s="242"/>
      <c r="D214" s="218">
        <f t="shared" si="11"/>
        <v>0</v>
      </c>
      <c r="E214" s="242"/>
      <c r="F214" s="234"/>
      <c r="G214" s="235"/>
      <c r="H214" s="5"/>
      <c r="I214" s="5"/>
      <c r="J214" s="5"/>
      <c r="K214" s="5"/>
      <c r="L214" s="5"/>
      <c r="M214" s="5"/>
      <c r="N214" s="204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5">
      <c r="A215" s="219">
        <f>'Données projet'!A237</f>
        <v>0</v>
      </c>
      <c r="B215" s="220">
        <f>'Données projet'!D237</f>
        <v>0</v>
      </c>
      <c r="C215" s="242"/>
      <c r="D215" s="218">
        <f t="shared" si="11"/>
        <v>0</v>
      </c>
      <c r="E215" s="242"/>
      <c r="F215" s="234"/>
      <c r="G215" s="235"/>
      <c r="H215" s="5"/>
      <c r="I215" s="5"/>
      <c r="J215" s="5"/>
      <c r="K215" s="5"/>
      <c r="L215" s="5"/>
      <c r="M215" s="5"/>
      <c r="N215" s="204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5">
      <c r="A216" s="5"/>
      <c r="B216" s="5"/>
      <c r="C216" s="5"/>
      <c r="D216" s="5"/>
      <c r="E216" s="5"/>
      <c r="F216" s="202"/>
      <c r="G216" s="112"/>
      <c r="H216" s="5"/>
      <c r="I216" s="5"/>
      <c r="J216" s="5"/>
      <c r="K216" s="5"/>
      <c r="L216" s="5"/>
      <c r="M216" s="5"/>
      <c r="N216" s="204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5">
      <c r="A217" s="5"/>
      <c r="B217" s="5"/>
      <c r="C217" s="5"/>
      <c r="D217" s="5"/>
      <c r="E217" s="5"/>
      <c r="F217" s="202"/>
      <c r="G217" s="112"/>
      <c r="H217" s="5"/>
      <c r="I217" s="5"/>
      <c r="J217" s="5"/>
      <c r="K217" s="5"/>
      <c r="L217" s="5"/>
      <c r="M217" s="5"/>
      <c r="N217" s="204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5">
      <c r="A218" s="49" t="s">
        <v>173</v>
      </c>
      <c r="B218" s="212" t="str">
        <f>IF('Données projet'!$B$17="","",'Données projet'!$B$17)</f>
        <v/>
      </c>
      <c r="C218" s="5"/>
      <c r="D218" s="5"/>
      <c r="E218" s="5"/>
      <c r="F218" s="202"/>
      <c r="G218" s="112"/>
      <c r="H218" s="5"/>
      <c r="I218" s="5"/>
      <c r="J218" s="5"/>
      <c r="K218" s="5"/>
      <c r="L218" s="5"/>
      <c r="M218" s="5"/>
      <c r="N218" s="204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5">
      <c r="A219" s="49"/>
      <c r="B219" s="5"/>
      <c r="C219" s="5"/>
      <c r="D219" s="5"/>
      <c r="E219" s="5"/>
      <c r="F219" s="202"/>
      <c r="G219" s="112"/>
      <c r="H219" s="5"/>
      <c r="I219" s="5"/>
      <c r="J219" s="5"/>
      <c r="K219" s="5"/>
      <c r="L219" s="5"/>
      <c r="M219" s="5"/>
      <c r="N219" s="204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5">
      <c r="A220" s="211" t="s">
        <v>180</v>
      </c>
      <c r="B220" s="51" t="s">
        <v>256</v>
      </c>
      <c r="C220" s="51" t="s">
        <v>255</v>
      </c>
      <c r="D220" s="211" t="s">
        <v>252</v>
      </c>
      <c r="E220" s="211" t="s">
        <v>288</v>
      </c>
      <c r="F220" s="233"/>
      <c r="G220" s="215"/>
      <c r="H220" s="5"/>
      <c r="I220" s="5"/>
      <c r="J220" s="5"/>
      <c r="K220" s="5"/>
      <c r="L220" s="5"/>
      <c r="M220" s="5"/>
      <c r="N220" s="204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5">
      <c r="A221" s="219">
        <f>'Données projet'!A244</f>
        <v>0</v>
      </c>
      <c r="B221" s="220">
        <f>'Données projet'!D244</f>
        <v>0</v>
      </c>
      <c r="C221" s="242"/>
      <c r="D221" s="218">
        <f>B221*C221</f>
        <v>0</v>
      </c>
      <c r="E221" s="242"/>
      <c r="F221" s="234"/>
      <c r="G221" s="235"/>
      <c r="H221" s="5"/>
      <c r="I221" s="5"/>
      <c r="J221" s="5"/>
      <c r="K221" s="5"/>
      <c r="L221" s="5"/>
      <c r="M221" s="5"/>
      <c r="N221" s="204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5">
      <c r="A222" s="219">
        <f>'Données projet'!A245</f>
        <v>0</v>
      </c>
      <c r="B222" s="220">
        <f>'Données projet'!D245</f>
        <v>0</v>
      </c>
      <c r="C222" s="242"/>
      <c r="D222" s="218">
        <f t="shared" ref="D222:D240" si="12">B222*C222</f>
        <v>0</v>
      </c>
      <c r="E222" s="242"/>
      <c r="F222" s="234"/>
      <c r="G222" s="235"/>
      <c r="H222" s="5"/>
      <c r="I222" s="5"/>
      <c r="J222" s="5"/>
      <c r="K222" s="5"/>
      <c r="L222" s="5"/>
      <c r="M222" s="5"/>
      <c r="N222" s="204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5">
      <c r="A223" s="219">
        <f>'Données projet'!A246</f>
        <v>0</v>
      </c>
      <c r="B223" s="220">
        <f>'Données projet'!D246</f>
        <v>0</v>
      </c>
      <c r="C223" s="242"/>
      <c r="D223" s="218">
        <f t="shared" si="12"/>
        <v>0</v>
      </c>
      <c r="E223" s="242"/>
      <c r="F223" s="234"/>
      <c r="G223" s="235"/>
      <c r="H223" s="5"/>
      <c r="I223" s="5"/>
      <c r="J223" s="5"/>
      <c r="K223" s="5"/>
      <c r="L223" s="5"/>
      <c r="M223" s="5"/>
      <c r="N223" s="204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5">
      <c r="A224" s="219">
        <f>'Données projet'!A247</f>
        <v>0</v>
      </c>
      <c r="B224" s="220">
        <f>'Données projet'!D247</f>
        <v>0</v>
      </c>
      <c r="C224" s="242"/>
      <c r="D224" s="218">
        <f t="shared" si="12"/>
        <v>0</v>
      </c>
      <c r="E224" s="242"/>
      <c r="F224" s="234"/>
      <c r="G224" s="235"/>
      <c r="H224" s="5"/>
      <c r="I224" s="5"/>
      <c r="J224" s="5"/>
      <c r="K224" s="5"/>
      <c r="L224" s="5"/>
      <c r="M224" s="5"/>
      <c r="N224" s="204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5">
      <c r="A225" s="219">
        <f>'Données projet'!A248</f>
        <v>0</v>
      </c>
      <c r="B225" s="220">
        <f>'Données projet'!D248</f>
        <v>0</v>
      </c>
      <c r="C225" s="242"/>
      <c r="D225" s="218">
        <f t="shared" si="12"/>
        <v>0</v>
      </c>
      <c r="E225" s="242"/>
      <c r="F225" s="234"/>
      <c r="G225" s="235"/>
      <c r="H225" s="5"/>
      <c r="I225" s="5"/>
      <c r="J225" s="5"/>
      <c r="K225" s="5"/>
      <c r="L225" s="5"/>
      <c r="M225" s="5"/>
      <c r="N225" s="204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5">
      <c r="A226" s="219">
        <f>'Données projet'!A249</f>
        <v>0</v>
      </c>
      <c r="B226" s="220">
        <f>'Données projet'!D249</f>
        <v>0</v>
      </c>
      <c r="C226" s="242"/>
      <c r="D226" s="218">
        <f t="shared" si="12"/>
        <v>0</v>
      </c>
      <c r="E226" s="242"/>
      <c r="F226" s="234"/>
      <c r="G226" s="235"/>
      <c r="H226" s="5"/>
      <c r="I226" s="5"/>
      <c r="J226" s="5"/>
      <c r="K226" s="5"/>
      <c r="L226" s="5"/>
      <c r="M226" s="5"/>
      <c r="N226" s="204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5">
      <c r="A227" s="219">
        <f>'Données projet'!A250</f>
        <v>0</v>
      </c>
      <c r="B227" s="220">
        <f>'Données projet'!D250</f>
        <v>0</v>
      </c>
      <c r="C227" s="242"/>
      <c r="D227" s="218">
        <f t="shared" si="12"/>
        <v>0</v>
      </c>
      <c r="E227" s="242"/>
      <c r="F227" s="234"/>
      <c r="G227" s="235"/>
      <c r="H227" s="5"/>
      <c r="I227" s="5"/>
      <c r="J227" s="5"/>
      <c r="K227" s="5"/>
      <c r="L227" s="5"/>
      <c r="M227" s="5"/>
      <c r="N227" s="204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25">
      <c r="A228" s="219">
        <f>'Données projet'!A251</f>
        <v>0</v>
      </c>
      <c r="B228" s="220">
        <f>'Données projet'!D251</f>
        <v>0</v>
      </c>
      <c r="C228" s="242"/>
      <c r="D228" s="218">
        <f t="shared" si="12"/>
        <v>0</v>
      </c>
      <c r="E228" s="242"/>
      <c r="F228" s="234"/>
      <c r="G228" s="235"/>
      <c r="H228" s="5"/>
      <c r="I228" s="5"/>
      <c r="J228" s="5"/>
      <c r="K228" s="5"/>
      <c r="L228" s="5"/>
      <c r="M228" s="5"/>
      <c r="N228" s="204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25">
      <c r="A229" s="219">
        <f>'Données projet'!A252</f>
        <v>0</v>
      </c>
      <c r="B229" s="220">
        <f>'Données projet'!D252</f>
        <v>0</v>
      </c>
      <c r="C229" s="242"/>
      <c r="D229" s="218">
        <f t="shared" si="12"/>
        <v>0</v>
      </c>
      <c r="E229" s="242"/>
      <c r="F229" s="234"/>
      <c r="G229" s="235"/>
      <c r="H229" s="5"/>
      <c r="I229" s="5"/>
      <c r="J229" s="5"/>
      <c r="K229" s="5"/>
      <c r="L229" s="5"/>
      <c r="M229" s="5"/>
      <c r="N229" s="204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5">
      <c r="A230" s="219">
        <f>'Données projet'!A253</f>
        <v>0</v>
      </c>
      <c r="B230" s="220">
        <f>'Données projet'!D253</f>
        <v>0</v>
      </c>
      <c r="C230" s="242"/>
      <c r="D230" s="218">
        <f t="shared" si="12"/>
        <v>0</v>
      </c>
      <c r="E230" s="242"/>
      <c r="F230" s="234"/>
      <c r="G230" s="235"/>
      <c r="H230" s="5"/>
      <c r="I230" s="5"/>
      <c r="J230" s="5"/>
      <c r="K230" s="5"/>
      <c r="L230" s="5"/>
      <c r="M230" s="5"/>
      <c r="N230" s="204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5">
      <c r="A231" s="219">
        <f>'Données projet'!A254</f>
        <v>0</v>
      </c>
      <c r="B231" s="220">
        <f>'Données projet'!D254</f>
        <v>0</v>
      </c>
      <c r="C231" s="242"/>
      <c r="D231" s="218">
        <f t="shared" si="12"/>
        <v>0</v>
      </c>
      <c r="E231" s="242"/>
      <c r="F231" s="234"/>
      <c r="G231" s="235"/>
      <c r="H231" s="5"/>
      <c r="I231" s="5"/>
      <c r="J231" s="5"/>
      <c r="K231" s="5"/>
      <c r="L231" s="5"/>
      <c r="M231" s="5"/>
      <c r="N231" s="204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5">
      <c r="A232" s="219">
        <f>'Données projet'!A255</f>
        <v>0</v>
      </c>
      <c r="B232" s="220">
        <f>'Données projet'!D255</f>
        <v>0</v>
      </c>
      <c r="C232" s="242"/>
      <c r="D232" s="218">
        <f t="shared" si="12"/>
        <v>0</v>
      </c>
      <c r="E232" s="242"/>
      <c r="F232" s="234"/>
      <c r="G232" s="235"/>
      <c r="H232" s="5"/>
      <c r="I232" s="5"/>
      <c r="J232" s="5"/>
      <c r="K232" s="5"/>
      <c r="L232" s="5"/>
      <c r="M232" s="5"/>
      <c r="N232" s="204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5">
      <c r="A233" s="219">
        <f>'Données projet'!A256</f>
        <v>0</v>
      </c>
      <c r="B233" s="220">
        <f>'Données projet'!D256</f>
        <v>0</v>
      </c>
      <c r="C233" s="242"/>
      <c r="D233" s="218">
        <f t="shared" si="12"/>
        <v>0</v>
      </c>
      <c r="E233" s="242"/>
      <c r="F233" s="234"/>
      <c r="G233" s="235"/>
      <c r="H233" s="5"/>
      <c r="I233" s="5"/>
      <c r="J233" s="5"/>
      <c r="K233" s="5"/>
      <c r="L233" s="5"/>
      <c r="M233" s="5"/>
      <c r="N233" s="204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5">
      <c r="A234" s="219">
        <f>'Données projet'!A257</f>
        <v>0</v>
      </c>
      <c r="B234" s="220">
        <f>'Données projet'!D257</f>
        <v>0</v>
      </c>
      <c r="C234" s="242"/>
      <c r="D234" s="218">
        <f t="shared" si="12"/>
        <v>0</v>
      </c>
      <c r="E234" s="242"/>
      <c r="F234" s="234"/>
      <c r="G234" s="235"/>
      <c r="H234" s="5"/>
      <c r="I234" s="5"/>
      <c r="J234" s="5"/>
      <c r="K234" s="5"/>
      <c r="L234" s="5"/>
      <c r="M234" s="5"/>
      <c r="N234" s="204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5">
      <c r="A235" s="219">
        <f>'Données projet'!A258</f>
        <v>0</v>
      </c>
      <c r="B235" s="220">
        <f>'Données projet'!D258</f>
        <v>0</v>
      </c>
      <c r="C235" s="242"/>
      <c r="D235" s="218">
        <f t="shared" si="12"/>
        <v>0</v>
      </c>
      <c r="E235" s="242"/>
      <c r="F235" s="234"/>
      <c r="G235" s="235"/>
      <c r="H235" s="5"/>
      <c r="I235" s="5"/>
      <c r="J235" s="5"/>
      <c r="K235" s="5"/>
      <c r="L235" s="5"/>
      <c r="M235" s="5"/>
      <c r="N235" s="204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5">
      <c r="A236" s="219">
        <f>'Données projet'!A259</f>
        <v>0</v>
      </c>
      <c r="B236" s="220">
        <f>'Données projet'!D259</f>
        <v>0</v>
      </c>
      <c r="C236" s="242"/>
      <c r="D236" s="218">
        <f t="shared" si="12"/>
        <v>0</v>
      </c>
      <c r="E236" s="242"/>
      <c r="F236" s="234"/>
      <c r="G236" s="235"/>
      <c r="H236" s="5"/>
      <c r="I236" s="5"/>
      <c r="J236" s="5"/>
      <c r="K236" s="5"/>
      <c r="L236" s="5"/>
      <c r="M236" s="5"/>
      <c r="N236" s="204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5">
      <c r="A237" s="219">
        <f>'Données projet'!A260</f>
        <v>0</v>
      </c>
      <c r="B237" s="220">
        <f>'Données projet'!D260</f>
        <v>0</v>
      </c>
      <c r="C237" s="242"/>
      <c r="D237" s="218">
        <f t="shared" si="12"/>
        <v>0</v>
      </c>
      <c r="E237" s="242"/>
      <c r="F237" s="234"/>
      <c r="G237" s="235"/>
      <c r="H237" s="5"/>
      <c r="I237" s="5"/>
      <c r="J237" s="5"/>
      <c r="K237" s="5"/>
      <c r="L237" s="5"/>
      <c r="M237" s="5"/>
      <c r="N237" s="204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5">
      <c r="A238" s="219">
        <f>'Données projet'!A261</f>
        <v>0</v>
      </c>
      <c r="B238" s="220">
        <f>'Données projet'!D261</f>
        <v>0</v>
      </c>
      <c r="C238" s="242"/>
      <c r="D238" s="218">
        <f t="shared" si="12"/>
        <v>0</v>
      </c>
      <c r="E238" s="242"/>
      <c r="F238" s="234"/>
      <c r="G238" s="235"/>
      <c r="H238" s="5"/>
      <c r="I238" s="5"/>
      <c r="J238" s="5"/>
      <c r="K238" s="5"/>
      <c r="L238" s="5"/>
      <c r="M238" s="5"/>
      <c r="N238" s="204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5">
      <c r="A239" s="219">
        <f>'Données projet'!A262</f>
        <v>0</v>
      </c>
      <c r="B239" s="220">
        <f>'Données projet'!D262</f>
        <v>0</v>
      </c>
      <c r="C239" s="242"/>
      <c r="D239" s="218">
        <f t="shared" si="12"/>
        <v>0</v>
      </c>
      <c r="E239" s="242"/>
      <c r="F239" s="234"/>
      <c r="G239" s="235"/>
      <c r="H239" s="5"/>
      <c r="I239" s="5"/>
      <c r="J239" s="5"/>
      <c r="K239" s="5"/>
      <c r="L239" s="5"/>
      <c r="M239" s="5"/>
      <c r="N239" s="204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5">
      <c r="A240" s="219">
        <f>'Données projet'!A263</f>
        <v>0</v>
      </c>
      <c r="B240" s="220">
        <f>'Données projet'!D263</f>
        <v>0</v>
      </c>
      <c r="C240" s="242"/>
      <c r="D240" s="218">
        <f t="shared" si="12"/>
        <v>0</v>
      </c>
      <c r="E240" s="242"/>
      <c r="F240" s="234"/>
      <c r="G240" s="235"/>
      <c r="H240" s="5"/>
      <c r="I240" s="5"/>
      <c r="J240" s="5"/>
      <c r="K240" s="5"/>
      <c r="L240" s="5"/>
      <c r="M240" s="5"/>
      <c r="N240" s="204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5">
      <c r="A241" s="5"/>
      <c r="B241" s="5"/>
      <c r="C241" s="5"/>
      <c r="D241" s="5"/>
      <c r="E241" s="5"/>
      <c r="F241" s="202"/>
      <c r="G241" s="112"/>
      <c r="H241" s="5"/>
      <c r="I241" s="5"/>
      <c r="J241" s="5"/>
      <c r="K241" s="5"/>
      <c r="L241" s="5"/>
      <c r="M241" s="5"/>
      <c r="N241" s="204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5">
      <c r="A242" s="5"/>
      <c r="B242" s="5"/>
      <c r="C242" s="5"/>
      <c r="D242" s="5"/>
      <c r="E242" s="5"/>
      <c r="F242" s="202"/>
      <c r="G242" s="112"/>
      <c r="H242" s="5"/>
      <c r="I242" s="5"/>
      <c r="J242" s="5"/>
      <c r="K242" s="5"/>
      <c r="L242" s="5"/>
      <c r="M242" s="5"/>
      <c r="N242" s="204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5">
      <c r="A243" s="49" t="s">
        <v>174</v>
      </c>
      <c r="B243" s="212" t="str">
        <f>IF('Données projet'!$B$18="","",'Données projet'!$B$18)</f>
        <v/>
      </c>
      <c r="C243" s="5"/>
      <c r="D243" s="5"/>
      <c r="E243" s="5"/>
      <c r="F243" s="202"/>
      <c r="G243" s="112"/>
      <c r="H243" s="5"/>
      <c r="I243" s="5"/>
      <c r="J243" s="5"/>
      <c r="K243" s="5"/>
      <c r="L243" s="5"/>
      <c r="M243" s="5"/>
      <c r="N243" s="204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5">
      <c r="A244" s="49"/>
      <c r="B244" s="5"/>
      <c r="C244" s="5"/>
      <c r="D244" s="5"/>
      <c r="E244" s="5"/>
      <c r="F244" s="202"/>
      <c r="G244" s="112"/>
      <c r="H244" s="5"/>
      <c r="I244" s="5"/>
      <c r="J244" s="5"/>
      <c r="K244" s="5"/>
      <c r="L244" s="5"/>
      <c r="M244" s="5"/>
      <c r="N244" s="204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5">
      <c r="A245" s="211" t="s">
        <v>180</v>
      </c>
      <c r="B245" s="51" t="s">
        <v>256</v>
      </c>
      <c r="C245" s="51" t="s">
        <v>255</v>
      </c>
      <c r="D245" s="211" t="s">
        <v>252</v>
      </c>
      <c r="E245" s="211" t="s">
        <v>288</v>
      </c>
      <c r="F245" s="233"/>
      <c r="G245" s="215"/>
      <c r="H245" s="5"/>
      <c r="I245" s="5"/>
      <c r="J245" s="5"/>
      <c r="K245" s="5"/>
      <c r="L245" s="5"/>
      <c r="M245" s="5"/>
      <c r="N245" s="204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5">
      <c r="A246" s="219">
        <f>'Données projet'!A270</f>
        <v>0</v>
      </c>
      <c r="B246" s="220">
        <f>'Données projet'!D270</f>
        <v>0</v>
      </c>
      <c r="C246" s="240"/>
      <c r="D246" s="221">
        <f>B246*C246</f>
        <v>0</v>
      </c>
      <c r="E246" s="242"/>
      <c r="F246" s="223"/>
      <c r="G246" s="222"/>
      <c r="H246" s="5"/>
      <c r="I246" s="5"/>
      <c r="J246" s="5"/>
      <c r="K246" s="5"/>
      <c r="L246" s="5"/>
      <c r="M246" s="5"/>
      <c r="N246" s="204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5">
      <c r="A247" s="219">
        <f>'Données projet'!A271</f>
        <v>0</v>
      </c>
      <c r="B247" s="220">
        <f>'Données projet'!D271</f>
        <v>0</v>
      </c>
      <c r="C247" s="240"/>
      <c r="D247" s="221">
        <f t="shared" ref="D247:D265" si="13">B247*C247</f>
        <v>0</v>
      </c>
      <c r="E247" s="242"/>
      <c r="F247" s="223"/>
      <c r="G247" s="222"/>
      <c r="H247" s="5"/>
      <c r="I247" s="5"/>
      <c r="J247" s="5"/>
      <c r="K247" s="5"/>
      <c r="L247" s="5"/>
      <c r="M247" s="5"/>
      <c r="N247" s="204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5">
      <c r="A248" s="219">
        <f>'Données projet'!A272</f>
        <v>0</v>
      </c>
      <c r="B248" s="220">
        <f>'Données projet'!D272</f>
        <v>0</v>
      </c>
      <c r="C248" s="240"/>
      <c r="D248" s="221">
        <f t="shared" si="13"/>
        <v>0</v>
      </c>
      <c r="E248" s="242"/>
      <c r="F248" s="223"/>
      <c r="G248" s="222"/>
      <c r="H248" s="5"/>
      <c r="I248" s="5"/>
      <c r="J248" s="5"/>
      <c r="K248" s="5"/>
      <c r="L248" s="5"/>
      <c r="M248" s="5"/>
      <c r="N248" s="204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5">
      <c r="A249" s="219">
        <f>'Données projet'!A273</f>
        <v>0</v>
      </c>
      <c r="B249" s="220">
        <f>'Données projet'!D273</f>
        <v>0</v>
      </c>
      <c r="C249" s="240"/>
      <c r="D249" s="221">
        <f t="shared" si="13"/>
        <v>0</v>
      </c>
      <c r="E249" s="242"/>
      <c r="F249" s="223"/>
      <c r="G249" s="222"/>
      <c r="H249" s="5"/>
      <c r="I249" s="5"/>
      <c r="J249" s="5"/>
      <c r="K249" s="5"/>
      <c r="L249" s="5"/>
      <c r="M249" s="5"/>
      <c r="N249" s="204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5">
      <c r="A250" s="219">
        <f>'Données projet'!A274</f>
        <v>0</v>
      </c>
      <c r="B250" s="220">
        <f>'Données projet'!D274</f>
        <v>0</v>
      </c>
      <c r="C250" s="240"/>
      <c r="D250" s="221">
        <f t="shared" si="13"/>
        <v>0</v>
      </c>
      <c r="E250" s="242"/>
      <c r="F250" s="223"/>
      <c r="G250" s="222"/>
      <c r="H250" s="5"/>
      <c r="I250" s="5"/>
      <c r="J250" s="5"/>
      <c r="K250" s="5"/>
      <c r="L250" s="5"/>
      <c r="M250" s="5"/>
      <c r="N250" s="204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5">
      <c r="A251" s="219">
        <f>'Données projet'!A275</f>
        <v>0</v>
      </c>
      <c r="B251" s="220">
        <f>'Données projet'!D275</f>
        <v>0</v>
      </c>
      <c r="C251" s="240"/>
      <c r="D251" s="221">
        <f t="shared" si="13"/>
        <v>0</v>
      </c>
      <c r="E251" s="242"/>
      <c r="F251" s="223"/>
      <c r="G251" s="222"/>
      <c r="H251" s="5"/>
      <c r="I251" s="5"/>
      <c r="J251" s="5"/>
      <c r="K251" s="5"/>
      <c r="L251" s="5"/>
      <c r="M251" s="5"/>
      <c r="N251" s="204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5">
      <c r="A252" s="219">
        <f>'Données projet'!A276</f>
        <v>0</v>
      </c>
      <c r="B252" s="220">
        <f>'Données projet'!D276</f>
        <v>0</v>
      </c>
      <c r="C252" s="240"/>
      <c r="D252" s="221">
        <f t="shared" si="13"/>
        <v>0</v>
      </c>
      <c r="E252" s="242"/>
      <c r="F252" s="223"/>
      <c r="G252" s="222"/>
      <c r="H252" s="5"/>
      <c r="I252" s="5"/>
      <c r="J252" s="5"/>
      <c r="K252" s="5"/>
      <c r="L252" s="5"/>
      <c r="M252" s="5"/>
      <c r="N252" s="204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5">
      <c r="A253" s="219">
        <f>'Données projet'!A277</f>
        <v>0</v>
      </c>
      <c r="B253" s="220">
        <f>'Données projet'!D277</f>
        <v>0</v>
      </c>
      <c r="C253" s="240"/>
      <c r="D253" s="221">
        <f t="shared" si="13"/>
        <v>0</v>
      </c>
      <c r="E253" s="242"/>
      <c r="F253" s="223"/>
      <c r="G253" s="222"/>
      <c r="H253" s="5"/>
      <c r="I253" s="5"/>
      <c r="J253" s="5"/>
      <c r="K253" s="5"/>
      <c r="L253" s="5"/>
      <c r="M253" s="5"/>
      <c r="N253" s="204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25">
      <c r="A254" s="219">
        <f>'Données projet'!A278</f>
        <v>0</v>
      </c>
      <c r="B254" s="220">
        <f>'Données projet'!D278</f>
        <v>0</v>
      </c>
      <c r="C254" s="240"/>
      <c r="D254" s="221">
        <f t="shared" si="13"/>
        <v>0</v>
      </c>
      <c r="E254" s="242"/>
      <c r="F254" s="223"/>
      <c r="G254" s="222"/>
      <c r="H254" s="5"/>
      <c r="I254" s="5"/>
      <c r="J254" s="5"/>
      <c r="K254" s="5"/>
      <c r="L254" s="5"/>
      <c r="M254" s="5"/>
      <c r="N254" s="204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25">
      <c r="A255" s="219">
        <f>'Données projet'!A279</f>
        <v>0</v>
      </c>
      <c r="B255" s="220">
        <f>'Données projet'!D279</f>
        <v>0</v>
      </c>
      <c r="C255" s="240"/>
      <c r="D255" s="221">
        <f t="shared" si="13"/>
        <v>0</v>
      </c>
      <c r="E255" s="242"/>
      <c r="F255" s="223"/>
      <c r="G255" s="222"/>
      <c r="H255" s="5"/>
      <c r="I255" s="5"/>
      <c r="J255" s="5"/>
      <c r="K255" s="5"/>
      <c r="L255" s="5"/>
      <c r="M255" s="5"/>
      <c r="N255" s="204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5">
      <c r="A256" s="219">
        <f>'Données projet'!A280</f>
        <v>0</v>
      </c>
      <c r="B256" s="220">
        <f>'Données projet'!D280</f>
        <v>0</v>
      </c>
      <c r="C256" s="240"/>
      <c r="D256" s="221">
        <f t="shared" si="13"/>
        <v>0</v>
      </c>
      <c r="E256" s="242"/>
      <c r="F256" s="223"/>
      <c r="G256" s="222"/>
      <c r="H256" s="5"/>
      <c r="I256" s="5"/>
      <c r="J256" s="5"/>
      <c r="K256" s="5"/>
      <c r="L256" s="5"/>
      <c r="M256" s="5"/>
      <c r="N256" s="204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25">
      <c r="A257" s="219">
        <f>'Données projet'!A281</f>
        <v>0</v>
      </c>
      <c r="B257" s="220">
        <f>'Données projet'!D281</f>
        <v>0</v>
      </c>
      <c r="C257" s="240"/>
      <c r="D257" s="221">
        <f t="shared" si="13"/>
        <v>0</v>
      </c>
      <c r="E257" s="242"/>
      <c r="F257" s="223"/>
      <c r="G257" s="222"/>
      <c r="H257" s="5"/>
      <c r="I257" s="5"/>
      <c r="J257" s="5"/>
      <c r="K257" s="5"/>
      <c r="L257" s="5"/>
      <c r="M257" s="5"/>
      <c r="N257" s="204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25">
      <c r="A258" s="219">
        <f>'Données projet'!A282</f>
        <v>0</v>
      </c>
      <c r="B258" s="220">
        <f>'Données projet'!D282</f>
        <v>0</v>
      </c>
      <c r="C258" s="240"/>
      <c r="D258" s="221">
        <f t="shared" si="13"/>
        <v>0</v>
      </c>
      <c r="E258" s="242"/>
      <c r="F258" s="223"/>
      <c r="G258" s="222"/>
      <c r="H258" s="5"/>
      <c r="I258" s="5"/>
      <c r="J258" s="5"/>
      <c r="K258" s="5"/>
      <c r="L258" s="5"/>
      <c r="M258" s="5"/>
      <c r="N258" s="204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25">
      <c r="A259" s="219">
        <f>'Données projet'!A283</f>
        <v>0</v>
      </c>
      <c r="B259" s="220">
        <f>'Données projet'!D283</f>
        <v>0</v>
      </c>
      <c r="C259" s="240"/>
      <c r="D259" s="221">
        <f t="shared" si="13"/>
        <v>0</v>
      </c>
      <c r="E259" s="242"/>
      <c r="F259" s="223"/>
      <c r="G259" s="222"/>
      <c r="H259" s="5"/>
      <c r="I259" s="5"/>
      <c r="J259" s="5"/>
      <c r="K259" s="5"/>
      <c r="L259" s="5"/>
      <c r="M259" s="5"/>
      <c r="N259" s="204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25">
      <c r="A260" s="219">
        <f>'Données projet'!A284</f>
        <v>0</v>
      </c>
      <c r="B260" s="220">
        <f>'Données projet'!D284</f>
        <v>0</v>
      </c>
      <c r="C260" s="240"/>
      <c r="D260" s="221">
        <f t="shared" si="13"/>
        <v>0</v>
      </c>
      <c r="E260" s="242"/>
      <c r="F260" s="223"/>
      <c r="G260" s="222"/>
      <c r="H260" s="5"/>
      <c r="I260" s="5"/>
      <c r="J260" s="5"/>
      <c r="K260" s="5"/>
      <c r="L260" s="5"/>
      <c r="M260" s="5"/>
      <c r="N260" s="204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25">
      <c r="A261" s="219">
        <f>'Données projet'!A285</f>
        <v>0</v>
      </c>
      <c r="B261" s="220">
        <f>'Données projet'!D285</f>
        <v>0</v>
      </c>
      <c r="C261" s="240"/>
      <c r="D261" s="221">
        <f t="shared" si="13"/>
        <v>0</v>
      </c>
      <c r="E261" s="242"/>
      <c r="F261" s="223"/>
      <c r="G261" s="222"/>
      <c r="H261" s="5"/>
      <c r="I261" s="5"/>
      <c r="J261" s="5"/>
      <c r="K261" s="5"/>
      <c r="L261" s="5"/>
      <c r="M261" s="5"/>
      <c r="N261" s="204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25">
      <c r="A262" s="219">
        <f>'Données projet'!A286</f>
        <v>0</v>
      </c>
      <c r="B262" s="220">
        <f>'Données projet'!D286</f>
        <v>0</v>
      </c>
      <c r="C262" s="240"/>
      <c r="D262" s="221">
        <f t="shared" si="13"/>
        <v>0</v>
      </c>
      <c r="E262" s="242"/>
      <c r="F262" s="223"/>
      <c r="G262" s="222"/>
      <c r="H262" s="5"/>
      <c r="I262" s="5"/>
      <c r="J262" s="5"/>
      <c r="K262" s="5"/>
      <c r="L262" s="5"/>
      <c r="M262" s="5"/>
      <c r="N262" s="204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25">
      <c r="A263" s="219">
        <f>'Données projet'!A287</f>
        <v>0</v>
      </c>
      <c r="B263" s="220">
        <f>'Données projet'!D287</f>
        <v>0</v>
      </c>
      <c r="C263" s="240"/>
      <c r="D263" s="221">
        <f t="shared" si="13"/>
        <v>0</v>
      </c>
      <c r="E263" s="242"/>
      <c r="F263" s="223"/>
      <c r="G263" s="222"/>
      <c r="H263" s="5"/>
      <c r="I263" s="5"/>
      <c r="J263" s="5"/>
      <c r="K263" s="5"/>
      <c r="L263" s="5"/>
      <c r="M263" s="5"/>
      <c r="N263" s="204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25">
      <c r="A264" s="219">
        <f>'Données projet'!A288</f>
        <v>0</v>
      </c>
      <c r="B264" s="220">
        <f>'Données projet'!D288</f>
        <v>0</v>
      </c>
      <c r="C264" s="240"/>
      <c r="D264" s="221">
        <f t="shared" si="13"/>
        <v>0</v>
      </c>
      <c r="E264" s="242"/>
      <c r="F264" s="223"/>
      <c r="G264" s="222"/>
      <c r="H264" s="5"/>
      <c r="I264" s="5"/>
      <c r="J264" s="5"/>
      <c r="K264" s="5"/>
      <c r="L264" s="5"/>
      <c r="M264" s="5"/>
      <c r="N264" s="204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25">
      <c r="A265" s="219">
        <f>'Données projet'!A289</f>
        <v>0</v>
      </c>
      <c r="B265" s="220">
        <f>'Données projet'!D289</f>
        <v>0</v>
      </c>
      <c r="C265" s="245"/>
      <c r="D265" s="221">
        <f t="shared" si="13"/>
        <v>0</v>
      </c>
      <c r="E265" s="242"/>
      <c r="F265" s="223"/>
      <c r="G265" s="222"/>
      <c r="H265" s="5"/>
      <c r="I265" s="5"/>
      <c r="J265" s="5"/>
      <c r="K265" s="5"/>
      <c r="L265" s="5"/>
      <c r="M265" s="5"/>
      <c r="N265" s="204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25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25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25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25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25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25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25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5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5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5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5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5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5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5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5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5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5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5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5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5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5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5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5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5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5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5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5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5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5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5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5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5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5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5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5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5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5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5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5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5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5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5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5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5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5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5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5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5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5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5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5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5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5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5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5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5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5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5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5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5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5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5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5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5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5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5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5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5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5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5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5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5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5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5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5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5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5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5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5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5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5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5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5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25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25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25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25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25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2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2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2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2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2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2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2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2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2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2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2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2021-08-13T10:04:17Z</dcterms:modified>
</cp:coreProperties>
</file>