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ENGIE\85 - Saint-Cyr-des-Gâts\CNPF C+for n° 59 Saint-Cyr-des-Gâts (ENGIE Solutions n° 3)\"/>
    </mc:Choice>
  </mc:AlternateContent>
  <bookViews>
    <workbookView xWindow="0" yWindow="0" windowWidth="28800" windowHeight="12624" tabRatio="866" activeTab="2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HI4" i="2" s="1"/>
  <c r="GH4" i="2"/>
  <c r="GK4" i="2"/>
  <c r="GS4" i="2"/>
  <c r="GR4" i="2"/>
  <c r="FP4" i="2"/>
  <c r="GG4" i="2"/>
  <c r="FX4" i="2"/>
  <c r="FW4" i="2"/>
  <c r="FL4" i="2"/>
  <c r="FC4" i="2"/>
  <c r="FM4" i="2"/>
  <c r="FS4" i="2" s="1"/>
  <c r="ER4" i="2"/>
  <c r="EX4" i="2" s="1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CM4" i="2" s="1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HI5" i="2" s="1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B5" i="2" l="1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EV6" i="2" s="1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I6" i="2" s="1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EC6" i="2" s="1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X6" i="2" l="1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FS7" i="2" s="1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C7" i="2" l="1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HG8" i="2" s="1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I8" i="2" s="1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FS8" i="2" s="1"/>
  <c r="EU8" i="2"/>
  <c r="EG8" i="2"/>
  <c r="DW8" i="2"/>
  <c r="EC8" i="2" s="1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V8" i="2" l="1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HI9" i="2" s="1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EV9" i="2" l="1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I10" i="2" s="1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X10" i="2" l="1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EW11" i="2" s="1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FS11" i="2" s="1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EX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AU11" i="2" l="1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HI12" i="2" s="1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FS12" i="2" s="1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X12" i="2" l="1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S13" i="2" s="1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X13" i="2" l="1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I14" i="2" s="1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FS14" i="2" l="1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I15" i="2" s="1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X15" i="2" l="1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HI16" i="2" s="1"/>
  <c r="GR16" i="2"/>
  <c r="GH16" i="2"/>
  <c r="GK16" i="2"/>
  <c r="HF16" i="2"/>
  <c r="GS16" i="2"/>
  <c r="FP16" i="2"/>
  <c r="FB16" i="2"/>
  <c r="GG16" i="2"/>
  <c r="FX16" i="2"/>
  <c r="FL16" i="2"/>
  <c r="FC16" i="2"/>
  <c r="ER16" i="2"/>
  <c r="EX16" i="2" s="1"/>
  <c r="DV16" i="2"/>
  <c r="DM16" i="2"/>
  <c r="DA16" i="2"/>
  <c r="FW16" i="2"/>
  <c r="EU16" i="2"/>
  <c r="EG16" i="2"/>
  <c r="DW16" i="2"/>
  <c r="EC16" i="2" s="1"/>
  <c r="DB16" i="2"/>
  <c r="DZ16" i="2"/>
  <c r="DL16" i="2"/>
  <c r="DE16" i="2"/>
  <c r="FM16" i="2"/>
  <c r="FS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W16" i="2" l="1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EX17" i="2" s="1"/>
  <c r="DV17" i="2"/>
  <c r="DM17" i="2"/>
  <c r="DA17" i="2"/>
  <c r="CQ17" i="2"/>
  <c r="FL17" i="2"/>
  <c r="FC17" i="2"/>
  <c r="EU17" i="2"/>
  <c r="EG17" i="2"/>
  <c r="DW17" i="2"/>
  <c r="EC17" i="2" s="1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FS17" i="2" l="1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I18" i="2" s="1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C18" i="2" s="1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B18" i="2" l="1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FS19" i="2" s="1"/>
  <c r="EU19" i="2"/>
  <c r="EG19" i="2"/>
  <c r="DW19" i="2"/>
  <c r="EC19" i="2" s="1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EB19" i="2" l="1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HI20" i="2" s="1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AV20" i="2" l="1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EX21" i="2" s="1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FS21" i="2" l="1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I22" i="2" s="1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FS22" i="2" l="1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I23" i="2" s="1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EC23" i="2" s="1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FS23" i="2" l="1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I24" i="2" s="1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EC24" i="2" s="1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X24" i="2" l="1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S25" i="2" s="1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EC25" i="2" s="1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V25" i="2" l="1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B26" i="2" l="1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EC27" i="2" s="1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AV27" i="2" l="1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EX28" i="2" s="1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R28" i="2" l="1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EC29" i="2" s="1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GN29" i="2" l="1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I30" i="2" s="1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EX30" i="2" s="1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FS30" i="2" l="1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EC31" i="2" s="1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FR31" i="2" l="1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HI32" i="2" s="1"/>
  <c r="GR32" i="2"/>
  <c r="GK32" i="2"/>
  <c r="HF32" i="2"/>
  <c r="GS32" i="2"/>
  <c r="FP32" i="2"/>
  <c r="GG32" i="2"/>
  <c r="FX32" i="2"/>
  <c r="GH32" i="2"/>
  <c r="FL32" i="2"/>
  <c r="FC32" i="2"/>
  <c r="FB32" i="2"/>
  <c r="ER32" i="2"/>
  <c r="EX32" i="2" s="1"/>
  <c r="DV32" i="2"/>
  <c r="DM32" i="2"/>
  <c r="DA32" i="2"/>
  <c r="FW32" i="2"/>
  <c r="EU32" i="2"/>
  <c r="EG32" i="2"/>
  <c r="DW32" i="2"/>
  <c r="EC32" i="2" s="1"/>
  <c r="DB32" i="2"/>
  <c r="DZ32" i="2"/>
  <c r="DL32" i="2"/>
  <c r="DE32" i="2"/>
  <c r="CR32" i="2"/>
  <c r="FM32" i="2"/>
  <c r="FS32" i="2" s="1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DG32" i="2" l="1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GN34" i="2" s="1"/>
  <c r="EX33" i="2"/>
  <c r="EC33" i="2"/>
  <c r="AV33" i="2"/>
  <c r="AW33" i="2"/>
  <c r="AU33" i="2"/>
  <c r="BR33" i="2"/>
  <c r="BP33" i="2"/>
  <c r="BQ33" i="2"/>
  <c r="CL33" i="2"/>
  <c r="CK33" i="2"/>
  <c r="CM33" i="2"/>
  <c r="CM34" i="2" s="1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A34" i="2" l="1"/>
  <c r="EV34" i="2"/>
  <c r="FS34" i="2"/>
  <c r="GL34" i="2"/>
  <c r="GM34" i="2"/>
  <c r="HH34" i="2"/>
  <c r="HG34" i="2"/>
  <c r="HI34" i="2"/>
  <c r="HI35" i="2" s="1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FS35" i="2" s="1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W35" i="2" l="1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HI36" i="2" s="1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S36" i="2" l="1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HI37" i="2" s="1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AV37" i="2" l="1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I39" i="2" s="1"/>
  <c r="HF39" i="2"/>
  <c r="HB39" i="2"/>
  <c r="GK39" i="2"/>
  <c r="GS39" i="2"/>
  <c r="GG39" i="2"/>
  <c r="FX39" i="2"/>
  <c r="GR39" i="2"/>
  <c r="GH39" i="2"/>
  <c r="FL39" i="2"/>
  <c r="FC39" i="2"/>
  <c r="FW39" i="2"/>
  <c r="FM39" i="2"/>
  <c r="FS39" i="2" s="1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EX39" i="2" s="1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W39" i="2" l="1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I40" i="2" s="1"/>
  <c r="HF40" i="2"/>
  <c r="GR40" i="2"/>
  <c r="GK40" i="2"/>
  <c r="GS40" i="2"/>
  <c r="FP40" i="2"/>
  <c r="GG40" i="2"/>
  <c r="FX40" i="2"/>
  <c r="GH40" i="2"/>
  <c r="FL40" i="2"/>
  <c r="FC40" i="2"/>
  <c r="FB40" i="2"/>
  <c r="ER40" i="2"/>
  <c r="EX40" i="2" s="1"/>
  <c r="DV40" i="2"/>
  <c r="DM40" i="2"/>
  <c r="DA40" i="2"/>
  <c r="FM40" i="2"/>
  <c r="FS40" i="2" s="1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A40" i="2" l="1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HI41" i="2" s="1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AW41" i="2" l="1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EC42" i="2" s="1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B42" i="2" l="1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FS43" i="2" s="1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W43" i="2" l="1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HI44" i="2" s="1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B44" i="2" l="1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EC45" i="2" s="1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W45" i="2" l="1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FS46" i="2" s="1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X46" i="2" l="1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S47" i="2" s="1"/>
  <c r="FP47" i="2"/>
  <c r="EU47" i="2"/>
  <c r="EG47" i="2"/>
  <c r="DW47" i="2"/>
  <c r="EC47" i="2" s="1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X47" i="2" l="1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EX48" i="2" s="1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FS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A48" i="2" l="1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EX49" i="2" s="1"/>
  <c r="DV49" i="2"/>
  <c r="DM49" i="2"/>
  <c r="DA49" i="2"/>
  <c r="GH49" i="2"/>
  <c r="FL49" i="2"/>
  <c r="FC49" i="2"/>
  <c r="EU49" i="2"/>
  <c r="EG49" i="2"/>
  <c r="DW49" i="2"/>
  <c r="EC49" i="2" s="1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FS49" i="2" l="1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EW50" i="2" s="1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B50" i="2" l="1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I51" i="2" s="1"/>
  <c r="HF51" i="2"/>
  <c r="GK51" i="2"/>
  <c r="HB51" i="2"/>
  <c r="GS51" i="2"/>
  <c r="GR51" i="2"/>
  <c r="GG51" i="2"/>
  <c r="FX51" i="2"/>
  <c r="GH51" i="2"/>
  <c r="FL51" i="2"/>
  <c r="FC51" i="2"/>
  <c r="FW51" i="2"/>
  <c r="FM51" i="2"/>
  <c r="FS51" i="2" s="1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AW51" i="2" l="1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HI52" i="2" s="1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EX52" i="2" s="1"/>
  <c r="DV52" i="2"/>
  <c r="DM52" i="2"/>
  <c r="DA52" i="2"/>
  <c r="EU52" i="2"/>
  <c r="EG52" i="2"/>
  <c r="DW52" i="2"/>
  <c r="EC52" i="2" s="1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G52" i="2" l="1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EC53" i="2" s="1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X53" i="2" l="1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FS55" i="2" s="1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A55" i="2" l="1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I56" i="2" s="1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FS56" i="2" s="1"/>
  <c r="EU56" i="2"/>
  <c r="EG56" i="2"/>
  <c r="DW56" i="2"/>
  <c r="EC56" i="2" s="1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Q56" i="2" l="1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EC57" i="2" s="1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X57" i="2" l="1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I58" i="2" s="1"/>
  <c r="HF58" i="2"/>
  <c r="HB58" i="2"/>
  <c r="GS58" i="2"/>
  <c r="GR58" i="2"/>
  <c r="GH58" i="2"/>
  <c r="FL58" i="2"/>
  <c r="FC58" i="2"/>
  <c r="GK58" i="2"/>
  <c r="FW58" i="2"/>
  <c r="FM58" i="2"/>
  <c r="FS58" i="2" s="1"/>
  <c r="FP58" i="2"/>
  <c r="DZ58" i="2"/>
  <c r="DL58" i="2"/>
  <c r="DE58" i="2"/>
  <c r="EQ58" i="2"/>
  <c r="EH58" i="2"/>
  <c r="CJ58" i="2"/>
  <c r="FX58" i="2"/>
  <c r="FB58" i="2"/>
  <c r="ER58" i="2"/>
  <c r="EX58" i="2" s="1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B58" i="2" l="1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I59" i="2" s="1"/>
  <c r="HF59" i="2"/>
  <c r="GK59" i="2"/>
  <c r="HB59" i="2"/>
  <c r="GS59" i="2"/>
  <c r="GG59" i="2"/>
  <c r="FX59" i="2"/>
  <c r="GH59" i="2"/>
  <c r="FL59" i="2"/>
  <c r="FC59" i="2"/>
  <c r="GR59" i="2"/>
  <c r="FW59" i="2"/>
  <c r="FM59" i="2"/>
  <c r="FS59" i="2" s="1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EX59" i="2" s="1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W59" i="2" l="1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EC60" i="2" s="1"/>
  <c r="DB60" i="2"/>
  <c r="CR60" i="2"/>
  <c r="FM60" i="2"/>
  <c r="FS60" i="2" s="1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X60" i="2" l="1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HI61" i="2" s="1"/>
  <c r="GR61" i="2"/>
  <c r="GK61" i="2"/>
  <c r="HB61" i="2"/>
  <c r="GS61" i="2"/>
  <c r="FW61" i="2"/>
  <c r="FM61" i="2"/>
  <c r="FS61" i="2" s="1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B61" i="2" l="1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I63" i="2" s="1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V63" i="2" l="1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HI64" i="2" s="1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X64" i="2" l="1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FS65" i="2" s="1"/>
  <c r="HB65" i="2"/>
  <c r="GS65" i="2"/>
  <c r="FP65" i="2"/>
  <c r="GG65" i="2"/>
  <c r="FX65" i="2"/>
  <c r="EQ65" i="2"/>
  <c r="EH65" i="2"/>
  <c r="CJ65" i="2"/>
  <c r="FB65" i="2"/>
  <c r="ER65" i="2"/>
  <c r="EX65" i="2" s="1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V65" i="2" l="1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FS67" i="2" s="1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I67" i="2" l="1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HI68" i="2" s="1"/>
  <c r="GR68" i="2"/>
  <c r="GK68" i="2"/>
  <c r="HB68" i="2"/>
  <c r="GS68" i="2"/>
  <c r="FP68" i="2"/>
  <c r="GG68" i="2"/>
  <c r="FX68" i="2"/>
  <c r="GH68" i="2"/>
  <c r="FL68" i="2"/>
  <c r="FC68" i="2"/>
  <c r="HF68" i="2"/>
  <c r="FM68" i="2"/>
  <c r="FS68" i="2" s="1"/>
  <c r="FB68" i="2"/>
  <c r="ER68" i="2"/>
  <c r="EX68" i="2" s="1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AU68" i="2" l="1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EX69" i="2" s="1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A69" i="2" l="1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S70" i="2" s="1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EC70" i="2" s="1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AU70" i="2" l="1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I71" i="2" s="1"/>
  <c r="HF71" i="2"/>
  <c r="GK71" i="2"/>
  <c r="HB71" i="2"/>
  <c r="GS71" i="2"/>
  <c r="GG71" i="2"/>
  <c r="FX71" i="2"/>
  <c r="GR71" i="2"/>
  <c r="GH71" i="2"/>
  <c r="FL71" i="2"/>
  <c r="FC71" i="2"/>
  <c r="FW71" i="2"/>
  <c r="FM71" i="2"/>
  <c r="FS71" i="2" s="1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EX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V71" i="2" l="1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I72" i="2" s="1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C72" i="2" l="1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EX73" i="2" s="1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C73" i="2" l="1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C74" i="2" s="1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X74" i="2" l="1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I75" i="2" s="1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EX75" i="2" s="1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W75" i="2" l="1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W76" i="2" l="1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S77" i="2" s="1"/>
  <c r="FP77" i="2"/>
  <c r="GG77" i="2"/>
  <c r="FX77" i="2"/>
  <c r="EQ77" i="2"/>
  <c r="EH77" i="2"/>
  <c r="CJ77" i="2"/>
  <c r="GH77" i="2"/>
  <c r="FL77" i="2"/>
  <c r="FC77" i="2"/>
  <c r="FB77" i="2"/>
  <c r="ER77" i="2"/>
  <c r="EX77" i="2" s="1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C77" i="2" l="1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I79" i="2" s="1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EX79" i="2" s="1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FS79" i="2" l="1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EC80" i="2" s="1"/>
  <c r="DB80" i="2"/>
  <c r="DZ80" i="2"/>
  <c r="DL80" i="2"/>
  <c r="DE80" i="2"/>
  <c r="FM80" i="2"/>
  <c r="FS80" i="2" s="1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AU80" i="2" l="1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HI81" i="2" s="1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EX81" i="2" s="1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AW81" i="2" l="1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EX82" i="2" s="1"/>
  <c r="DV82" i="2"/>
  <c r="DM82" i="2"/>
  <c r="DA82" i="2"/>
  <c r="EU82" i="2"/>
  <c r="DW82" i="2"/>
  <c r="EC82" i="2" s="1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FS82" i="2" l="1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I83" i="2" s="1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EC83" i="2" s="1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EX83" i="2" s="1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FS83" i="2" l="1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HI84" i="2" s="1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EC84" i="2" s="1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V84" i="2" l="1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S85" i="2" s="1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X85" i="2" l="1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I86" i="2" s="1"/>
  <c r="HF86" i="2"/>
  <c r="HB86" i="2"/>
  <c r="GS86" i="2"/>
  <c r="GR86" i="2"/>
  <c r="GK86" i="2"/>
  <c r="GH86" i="2"/>
  <c r="FL86" i="2"/>
  <c r="FC86" i="2"/>
  <c r="FW86" i="2"/>
  <c r="FM86" i="2"/>
  <c r="FS86" i="2" s="1"/>
  <c r="FP86" i="2"/>
  <c r="DZ86" i="2"/>
  <c r="DL86" i="2"/>
  <c r="DE86" i="2"/>
  <c r="FX86" i="2"/>
  <c r="EQ86" i="2"/>
  <c r="EH86" i="2"/>
  <c r="CJ86" i="2"/>
  <c r="CR86" i="2"/>
  <c r="GG86" i="2"/>
  <c r="FB86" i="2"/>
  <c r="ER86" i="2"/>
  <c r="EX86" i="2" s="1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GN86" i="2" l="1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I87" i="2" s="1"/>
  <c r="HF87" i="2"/>
  <c r="GK87" i="2"/>
  <c r="HB87" i="2"/>
  <c r="GS87" i="2"/>
  <c r="GG87" i="2"/>
  <c r="FX87" i="2"/>
  <c r="GR87" i="2"/>
  <c r="GH87" i="2"/>
  <c r="FL87" i="2"/>
  <c r="FC87" i="2"/>
  <c r="FW87" i="2"/>
  <c r="FM87" i="2"/>
  <c r="FS87" i="2" s="1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V87" i="2" l="1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FS88" i="2" s="1"/>
  <c r="EU88" i="2"/>
  <c r="EG88" i="2"/>
  <c r="DW88" i="2"/>
  <c r="EC88" i="2" s="1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EW88" i="2" l="1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S89" i="2" s="1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EX89" i="2" s="1"/>
  <c r="DV89" i="2"/>
  <c r="DM89" i="2"/>
  <c r="DA89" i="2"/>
  <c r="HB89" i="2"/>
  <c r="GS89" i="2"/>
  <c r="EU89" i="2"/>
  <c r="EG89" i="2"/>
  <c r="DW89" i="2"/>
  <c r="EC89" i="2" s="1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EA89" i="2" l="1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C90" i="2" s="1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FS90" i="2" l="1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X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FS91" i="2" l="1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HI92" i="2" s="1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FQ92" i="2" l="1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S93" i="2" s="1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AW93" i="2" l="1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FS94" i="2" s="1"/>
  <c r="GK94" i="2"/>
  <c r="FP94" i="2"/>
  <c r="GG94" i="2"/>
  <c r="DZ94" i="2"/>
  <c r="DL94" i="2"/>
  <c r="DE94" i="2"/>
  <c r="EQ94" i="2"/>
  <c r="EH94" i="2"/>
  <c r="CJ94" i="2"/>
  <c r="CR94" i="2"/>
  <c r="FB94" i="2"/>
  <c r="ER94" i="2"/>
  <c r="EX94" i="2" s="1"/>
  <c r="DV94" i="2"/>
  <c r="DM94" i="2"/>
  <c r="DA94" i="2"/>
  <c r="FX94" i="2"/>
  <c r="DW94" i="2"/>
  <c r="EC94" i="2" s="1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A94" i="2" l="1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I95" i="2" s="1"/>
  <c r="HF95" i="2"/>
  <c r="GK95" i="2"/>
  <c r="HB95" i="2"/>
  <c r="GS95" i="2"/>
  <c r="GG95" i="2"/>
  <c r="FX95" i="2"/>
  <c r="GH95" i="2"/>
  <c r="FL95" i="2"/>
  <c r="FC95" i="2"/>
  <c r="FW95" i="2"/>
  <c r="FM95" i="2"/>
  <c r="FS95" i="2" s="1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C95" i="2" l="1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FS96" i="2" s="1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EX96" i="2" l="1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EC97" i="2" s="1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FS97" i="2" l="1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C98" i="2" s="1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V98" i="2" l="1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FS99" i="2" s="1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EX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W99" i="2" l="1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S101" i="2" s="1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EC101" i="2" s="1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AW101" i="2" l="1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FL102" i="2"/>
  <c r="FC102" i="2"/>
  <c r="FW102" i="2"/>
  <c r="FM102" i="2"/>
  <c r="FS102" i="2" s="1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X102" i="2" s="1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AU102" i="2" l="1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FS103" i="2" s="1"/>
  <c r="EU103" i="2"/>
  <c r="EG103" i="2"/>
  <c r="DW103" i="2"/>
  <c r="EC103" i="2" s="1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EX103" i="2" s="1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AW103" i="2" l="1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I104" i="2" s="1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EC104" i="2" s="1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A104" i="2" l="1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EX105" i="2" s="1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C105" i="2" l="1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I106" i="2" s="1"/>
  <c r="HF106" i="2"/>
  <c r="HB106" i="2"/>
  <c r="GS106" i="2"/>
  <c r="GR106" i="2"/>
  <c r="GH106" i="2"/>
  <c r="FL106" i="2"/>
  <c r="FC106" i="2"/>
  <c r="GK106" i="2"/>
  <c r="FW106" i="2"/>
  <c r="FM106" i="2"/>
  <c r="FS106" i="2" s="1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AU106" i="2" l="1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I107" i="2" s="1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DF107" i="2" l="1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EX108" i="2" s="1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C108" i="2" l="1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EC109" i="2" s="1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FS109" i="2" l="1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X110" i="2" l="1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S111" i="2" s="1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EX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AW111" i="2" l="1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FS112" i="2" s="1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W112" i="2" l="1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C114" i="2" s="1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AU114" i="2" l="1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I115" i="2" s="1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EC115" i="2" s="1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AW115" i="2" l="1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HI116" i="2" s="1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EX116" i="2" s="1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W116" i="2" l="1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EX117" i="2" s="1"/>
  <c r="DV117" i="2"/>
  <c r="DM117" i="2"/>
  <c r="DA117" i="2"/>
  <c r="EU117" i="2"/>
  <c r="EG117" i="2"/>
  <c r="DW117" i="2"/>
  <c r="EC117" i="2" s="1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FS117" i="2" l="1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I118" i="2" s="1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A118" i="2" l="1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I119" i="2" s="1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Q119" i="2" l="1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EC120" i="2" s="1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A120" i="2" l="1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I123" i="2" s="1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FS123" i="2" s="1"/>
  <c r="EU123" i="2"/>
  <c r="EG123" i="2"/>
  <c r="DW123" i="2"/>
  <c r="EC123" i="2" s="1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EB123" i="2" l="1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HI124" i="2" s="1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EC124" i="2" s="1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B124" i="2" l="1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S125" i="2" s="1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A125" i="2" l="1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I126" i="2" s="1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EX126" i="2" s="1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C126" i="2" l="1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EC127" i="2" s="1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X127" i="2" l="1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HI128" i="2" s="1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C128" i="2" l="1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EX129" i="2" s="1"/>
  <c r="DV129" i="2"/>
  <c r="DM129" i="2"/>
  <c r="DA129" i="2"/>
  <c r="GH129" i="2"/>
  <c r="FL129" i="2"/>
  <c r="FC129" i="2"/>
  <c r="EU129" i="2"/>
  <c r="EG129" i="2"/>
  <c r="DW129" i="2"/>
  <c r="EC129" i="2" s="1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FS129" i="2" l="1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EC131" i="2" s="1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X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FS131" i="2" l="1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HI132" i="2" s="1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A132" i="2" l="1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X133" i="2" l="1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EC134" i="2" s="1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X134" i="2" l="1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I135" i="2" s="1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FS135" i="2" s="1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C135" i="2" l="1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I136" i="2" s="1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EX136" i="2" s="1"/>
  <c r="DV136" i="2"/>
  <c r="DM136" i="2"/>
  <c r="DA136" i="2"/>
  <c r="FM136" i="2"/>
  <c r="FS136" i="2" s="1"/>
  <c r="EU136" i="2"/>
  <c r="EG136" i="2"/>
  <c r="DW136" i="2"/>
  <c r="EC136" i="2" s="1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AU136" i="2" l="1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I138" i="2" s="1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A138" i="2" l="1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I139" i="2" s="1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EX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C139" i="2" l="1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HI140" i="2" s="1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W140" i="2" l="1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HI141" i="2" s="1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EX141" i="2" s="1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V141" i="2" l="1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I142" i="2" s="1"/>
  <c r="HF142" i="2"/>
  <c r="HB142" i="2"/>
  <c r="GS142" i="2"/>
  <c r="GR142" i="2"/>
  <c r="GH142" i="2"/>
  <c r="FL142" i="2"/>
  <c r="FC142" i="2"/>
  <c r="FW142" i="2"/>
  <c r="FM142" i="2"/>
  <c r="FS142" i="2" s="1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X142" i="2" l="1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I143" i="2" s="1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EC143" i="2" s="1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X143" i="2" l="1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HI144" i="2" s="1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C144" i="2" l="1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HI145" i="2" s="1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C145" i="2" l="1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EX146" i="2" s="1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C146" i="2" l="1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I147" i="2" s="1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EC147" i="2" s="1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FS147" i="2" l="1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EX148" i="2" s="1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FS148" i="2" l="1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S149" i="2" s="1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W149" i="2" l="1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I151" i="2" s="1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W151" i="2" l="1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FS152" i="2" s="1"/>
  <c r="EU152" i="2"/>
  <c r="EG152" i="2"/>
  <c r="DW152" i="2"/>
  <c r="EC152" i="2" s="1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X152" i="2" l="1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S153" i="2" s="1"/>
  <c r="FP153" i="2"/>
  <c r="GG153" i="2"/>
  <c r="FX153" i="2"/>
  <c r="GH153" i="2"/>
  <c r="FL153" i="2"/>
  <c r="FC153" i="2"/>
  <c r="EQ153" i="2"/>
  <c r="EH153" i="2"/>
  <c r="CJ153" i="2"/>
  <c r="HC153" i="2"/>
  <c r="HI153" i="2" s="1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C153" i="2" l="1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X154" i="2" s="1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AA154" i="2" l="1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I155" i="2" s="1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C155" i="2" s="1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V157" i="2" l="1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FS159" i="2" s="1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EX159" i="2" s="1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V159" i="2" l="1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EX160" i="2" s="1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AU160" i="2" l="1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FS162" i="2" s="1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AU162" i="2" l="1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FS163" i="2" s="1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EC163" i="2" s="1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X163" i="2" l="1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HI164" i="2" s="1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EC164" i="2" s="1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W164" i="2" l="1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EC165" i="2" s="1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FS165" i="2" l="1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HI166" i="2" s="1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EX166" i="2" s="1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W166" i="2" l="1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FS168" i="2" s="1"/>
  <c r="DX168" i="2"/>
  <c r="FX168" i="2"/>
  <c r="EQ168" i="2"/>
  <c r="DZ168" i="2"/>
  <c r="DB168" i="2"/>
  <c r="CH168" i="2"/>
  <c r="ER168" i="2"/>
  <c r="EX168" i="2" s="1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Y167" i="2" l="1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HI169" i="2" s="1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C169" i="2" l="1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HI170" i="2" s="1"/>
  <c r="GI170" i="2"/>
  <c r="FP170" i="2"/>
  <c r="HD170" i="2"/>
  <c r="GJ170" i="2"/>
  <c r="HE170" i="2"/>
  <c r="GK170" i="2"/>
  <c r="FB170" i="2"/>
  <c r="HF170" i="2"/>
  <c r="FC170" i="2"/>
  <c r="ER170" i="2"/>
  <c r="EX170" i="2" s="1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EY169" i="2" l="1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FS171" i="2" s="1"/>
  <c r="GS171" i="2"/>
  <c r="GG171" i="2"/>
  <c r="FN171" i="2"/>
  <c r="HB171" i="2"/>
  <c r="GH171" i="2"/>
  <c r="FO171" i="2"/>
  <c r="HC171" i="2"/>
  <c r="HI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EC171" i="2" s="1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EX171" i="2" s="1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DH171" i="2" l="1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EC173" i="2" s="1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FS173" i="2" l="1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EC175" i="2" s="1"/>
  <c r="DY175" i="2"/>
  <c r="EB175" i="2" s="1"/>
  <c r="DA175" i="2"/>
  <c r="CG175" i="2"/>
  <c r="FL175" i="2"/>
  <c r="DZ175" i="2"/>
  <c r="DB175" i="2"/>
  <c r="CH175" i="2"/>
  <c r="FW175" i="2"/>
  <c r="ER175" i="2"/>
  <c r="EX175" i="2" s="1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V175" i="2" l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FS176" i="2" s="1"/>
  <c r="ER176" i="2"/>
  <c r="EX176" i="2" s="1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FQ176" i="2" l="1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HI177" i="2" s="1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EX177" i="2" s="1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V177" i="2" l="1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HI178" i="2" s="1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EX178" i="2" s="1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C178" i="2" l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FS179" i="2" s="1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EX179" i="2" s="1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AW179" i="2" l="1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EC180" i="2" s="1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W180" i="2" l="1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HI181" i="2" s="1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EV181" i="2" s="1"/>
  <c r="DY181" i="2"/>
  <c r="GK181" i="2"/>
  <c r="FB181" i="2"/>
  <c r="EG181" i="2"/>
  <c r="DM181" i="2"/>
  <c r="EQ181" i="2"/>
  <c r="DW181" i="2"/>
  <c r="EC181" i="2" s="1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A181" i="2" l="1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HI183" i="2" s="1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EX183" i="2" s="1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C183" i="2" l="1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FS184" i="2" s="1"/>
  <c r="EG184" i="2"/>
  <c r="DC184" i="2"/>
  <c r="DW184" i="2"/>
  <c r="EC184" i="2" s="1"/>
  <c r="CQ184" i="2"/>
  <c r="FX184" i="2"/>
  <c r="DX184" i="2"/>
  <c r="DY184" i="2"/>
  <c r="DA184" i="2"/>
  <c r="CI184" i="2"/>
  <c r="BN184" i="2"/>
  <c r="ER184" i="2"/>
  <c r="EX184" i="2" s="1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AW184" i="2" l="1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I187" i="2" s="1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EX187" i="2" s="1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FS187" i="2" l="1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FS188" i="2" s="1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C188" i="2" l="1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HI189" i="2" s="1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FS189" i="2" s="1"/>
  <c r="GS189" i="2"/>
  <c r="GG189" i="2"/>
  <c r="FN189" i="2"/>
  <c r="EU189" i="2"/>
  <c r="GK189" i="2"/>
  <c r="ER189" i="2"/>
  <c r="EH189" i="2"/>
  <c r="DW189" i="2"/>
  <c r="EC189" i="2" s="1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X189" i="2" l="1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I190" i="2" s="1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X190" i="2" l="1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X191" i="2" s="1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EC191" i="2" s="1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FS191" i="2" l="1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HI196" i="2" s="1"/>
  <c r="GI196" i="2"/>
  <c r="HD196" i="2"/>
  <c r="HG196" i="2" s="1"/>
  <c r="HE196" i="2"/>
  <c r="HH196" i="2" s="1"/>
  <c r="GK196" i="2"/>
  <c r="HF196" i="2"/>
  <c r="FW196" i="2"/>
  <c r="GR196" i="2"/>
  <c r="FX196" i="2"/>
  <c r="FM196" i="2"/>
  <c r="FS196" i="2" s="1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AW196" i="2" l="1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HI199" i="2" s="1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C199" i="2" l="1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HI200" i="2" s="1"/>
  <c r="GI200" i="2"/>
  <c r="HD200" i="2"/>
  <c r="GJ200" i="2"/>
  <c r="FL200" i="2"/>
  <c r="EU200" i="2"/>
  <c r="FX200" i="2"/>
  <c r="FM200" i="2"/>
  <c r="FS200" i="2" s="1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EC200" i="2" s="1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H200" i="2" l="1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HI201" i="2" s="1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EX201" i="2" s="1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AI5" i="2" l="1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I203" i="2" s="1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EX203" i="2" s="1"/>
  <c r="DW203" i="2"/>
  <c r="EC203" i="2" s="1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<sst xmlns="http://schemas.openxmlformats.org/spreadsheetml/2006/main" count="1167" uniqueCount="321">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</sst>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0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10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0" fontId="32" fillId="14" borderId="1" xfId="0" applyFont="1" applyFill="1" applyBorder="1" applyAlignment="1" applyProtection="1">
      <alignment horizontal="center"/>
      <protection locked="0" hidden="1"/>
    </xf>
    <xf numFmtId="0" fontId="32" fillId="14" borderId="1" xfId="0" applyFont="1" applyFill="1" applyBorder="1" applyAlignment="1" applyProtection="1">
      <alignment horizontal="center"/>
      <protection locked="0"/>
    </xf>
    <xf numFmtId="9" fontId="32" fillId="14" borderId="1" xfId="1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210.34498910896306</c:v>
                </c:pt>
                <c:pt idx="32">
                  <c:v>225.96022281826015</c:v>
                </c:pt>
                <c:pt idx="33">
                  <c:v>241.5507456503326</c:v>
                </c:pt>
                <c:pt idx="34">
                  <c:v>257.1183772918742</c:v>
                </c:pt>
                <c:pt idx="35">
                  <c:v>272.6646989766358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288.96691630985219</c:v>
                </c:pt>
                <c:pt idx="42">
                  <c:v>305.24857979967953</c:v>
                </c:pt>
                <c:pt idx="43">
                  <c:v>321.51093999187805</c:v>
                </c:pt>
                <c:pt idx="44">
                  <c:v>337.75511058999291</c:v>
                </c:pt>
                <c:pt idx="45">
                  <c:v>353.9820894286774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398.33209414857441</c:v>
                </c:pt>
                <c:pt idx="54">
                  <c:v>413.73243167051174</c:v>
                </c:pt>
                <c:pt idx="55">
                  <c:v>429.12040646848055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476.74981634160105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465.42823942861133</c:v>
                </c:pt>
                <c:pt idx="77">
                  <c:v>476.74981634160099</c:v>
                </c:pt>
                <c:pt idx="78">
                  <c:v>488.06567585482804</c:v>
                </c:pt>
                <c:pt idx="79">
                  <c:v>499.37596921206153</c:v>
                </c:pt>
                <c:pt idx="80">
                  <c:v>510.68084024737624</c:v>
                </c:pt>
                <c:pt idx="81">
                  <c:v>521.98042590763998</c:v>
                </c:pt>
                <c:pt idx="82">
                  <c:v>533.27485672740784</c:v>
                </c:pt>
                <c:pt idx="83">
                  <c:v>544.5642572614961</c:v>
                </c:pt>
                <c:pt idx="84">
                  <c:v>555.84874647982645</c:v>
                </c:pt>
                <c:pt idx="85">
                  <c:v>567.12843812854328</c:v>
                </c:pt>
                <c:pt idx="86">
                  <c:v>496.69266671205543</c:v>
                </c:pt>
                <c:pt idx="87">
                  <c:v>506.65768536589218</c:v>
                </c:pt>
                <c:pt idx="88">
                  <c:v>516.61856122298411</c:v>
                </c:pt>
                <c:pt idx="89">
                  <c:v>526.57538542767418</c:v>
                </c:pt>
                <c:pt idx="90">
                  <c:v>536.52824539615074</c:v>
                </c:pt>
                <c:pt idx="91">
                  <c:v>546.477225036753</c:v>
                </c:pt>
                <c:pt idx="92">
                  <c:v>556.42240495339968</c:v>
                </c:pt>
                <c:pt idx="93">
                  <c:v>566.36386263371753</c:v>
                </c:pt>
                <c:pt idx="94">
                  <c:v>576.30167262327768</c:v>
                </c:pt>
                <c:pt idx="95">
                  <c:v>586.23590668718782</c:v>
                </c:pt>
                <c:pt idx="96">
                  <c:v>514.89485591885284</c:v>
                </c:pt>
                <c:pt idx="97">
                  <c:v>523.89509553418213</c:v>
                </c:pt>
                <c:pt idx="98">
                  <c:v>532.89207772163536</c:v>
                </c:pt>
                <c:pt idx="99">
                  <c:v>541.88586523948277</c:v>
                </c:pt>
                <c:pt idx="100">
                  <c:v>550.87651859261814</c:v>
                </c:pt>
                <c:pt idx="101">
                  <c:v>559.86409614971478</c:v>
                </c:pt>
                <c:pt idx="102">
                  <c:v>568.84865425246687</c:v>
                </c:pt>
                <c:pt idx="103">
                  <c:v>577.83024731757303</c:v>
                </c:pt>
                <c:pt idx="104">
                  <c:v>586.80892793204634</c:v>
                </c:pt>
                <c:pt idx="105">
                  <c:v>595.7847469423923</c:v>
                </c:pt>
                <c:pt idx="106">
                  <c:v>525.0438264932726</c:v>
                </c:pt>
                <c:pt idx="107">
                  <c:v>532.70068604986363</c:v>
                </c:pt>
                <c:pt idx="108">
                  <c:v>540.35523076412676</c:v>
                </c:pt>
                <c:pt idx="109">
                  <c:v>548.00749806060401</c:v>
                </c:pt>
                <c:pt idx="110">
                  <c:v>555.6575242331586</c:v>
                </c:pt>
                <c:pt idx="111">
                  <c:v>563.30534449456957</c:v>
                </c:pt>
                <c:pt idx="112">
                  <c:v>570.95099302329265</c:v>
                </c:pt>
                <c:pt idx="113">
                  <c:v>578.59450300758692</c:v>
                </c:pt>
                <c:pt idx="114">
                  <c:v>586.23590668718737</c:v>
                </c:pt>
                <c:pt idx="115">
                  <c:v>593.87523539269193</c:v>
                </c:pt>
                <c:pt idx="116">
                  <c:v>529.63822214325501</c:v>
                </c:pt>
                <c:pt idx="117">
                  <c:v>536.14551536775127</c:v>
                </c:pt>
                <c:pt idx="118">
                  <c:v>542.65114840915487</c:v>
                </c:pt>
                <c:pt idx="119">
                  <c:v>549.1551439856396</c:v>
                </c:pt>
                <c:pt idx="120">
                  <c:v>555.65752423315837</c:v>
                </c:pt>
                <c:pt idx="121">
                  <c:v>562.1583107271523</c:v>
                </c:pt>
                <c:pt idx="122">
                  <c:v>568.65752450320281</c:v>
                </c:pt>
                <c:pt idx="123">
                  <c:v>575.15518607669117</c:v>
                </c:pt>
                <c:pt idx="124">
                  <c:v>581.65131546152202</c:v>
                </c:pt>
                <c:pt idx="125">
                  <c:v>588.1459321879687</c:v>
                </c:pt>
                <c:pt idx="126">
                  <c:v>530.78668966466228</c:v>
                </c:pt>
                <c:pt idx="127">
                  <c:v>536.52824539615006</c:v>
                </c:pt>
                <c:pt idx="128">
                  <c:v>542.26850965950268</c:v>
                </c:pt>
                <c:pt idx="129">
                  <c:v>548.00749806060355</c:v>
                </c:pt>
                <c:pt idx="130">
                  <c:v>553.74522585166198</c:v>
                </c:pt>
                <c:pt idx="131">
                  <c:v>559.48170794289069</c:v>
                </c:pt>
                <c:pt idx="132">
                  <c:v>565.21695891367949</c:v>
                </c:pt>
                <c:pt idx="133">
                  <c:v>570.95099302329209</c:v>
                </c:pt>
                <c:pt idx="134">
                  <c:v>576.68382422111051</c:v>
                </c:pt>
                <c:pt idx="135">
                  <c:v>582.41546615644995</c:v>
                </c:pt>
                <c:pt idx="136">
                  <c:v>531.93510488968548</c:v>
                </c:pt>
                <c:pt idx="137">
                  <c:v>536.91096968482555</c:v>
                </c:pt>
                <c:pt idx="138">
                  <c:v>541.88586523948231</c:v>
                </c:pt>
                <c:pt idx="139">
                  <c:v>546.85980171226049</c:v>
                </c:pt>
                <c:pt idx="140">
                  <c:v>551.83278906179623</c:v>
                </c:pt>
                <c:pt idx="141">
                  <c:v>556.80483705249947</c:v>
                </c:pt>
                <c:pt idx="142">
                  <c:v>561.77595526008179</c:v>
                </c:pt>
                <c:pt idx="143">
                  <c:v>566.74615307687668</c:v>
                </c:pt>
                <c:pt idx="144">
                  <c:v>571.71543971696474</c:v>
                </c:pt>
                <c:pt idx="145">
                  <c:v>576.68382422111085</c:v>
                </c:pt>
                <c:pt idx="146">
                  <c:v>580.88714383067679</c:v>
                </c:pt>
                <c:pt idx="147">
                  <c:v>585.08982917045671</c:v>
                </c:pt>
                <c:pt idx="148">
                  <c:v>589.29188544145063</c:v>
                </c:pt>
                <c:pt idx="149">
                  <c:v>593.4933177643976</c:v>
                </c:pt>
                <c:pt idx="150">
                  <c:v>597.6941311815873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306000"/>
        <c:axId val="81142208"/>
      </c:scatterChart>
      <c:valAx>
        <c:axId val="823060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1142208"/>
        <c:crosses val="autoZero"/>
        <c:crossBetween val="midCat"/>
      </c:valAx>
      <c:valAx>
        <c:axId val="81142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2306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525600"/>
        <c:axId val="306533216"/>
      </c:scatterChart>
      <c:valAx>
        <c:axId val="306525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33216"/>
        <c:crosses val="autoZero"/>
        <c:crossBetween val="midCat"/>
      </c:valAx>
      <c:valAx>
        <c:axId val="306533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25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2.9040762087142453</c:v>
                </c:pt>
                <c:pt idx="2">
                  <c:v>3.4773202748427425</c:v>
                </c:pt>
                <c:pt idx="3">
                  <c:v>4.1641381375843167</c:v>
                </c:pt>
                <c:pt idx="4">
                  <c:v>4.9871099734380619</c:v>
                </c:pt>
                <c:pt idx="5">
                  <c:v>5.9733198374868941</c:v>
                </c:pt>
                <c:pt idx="6">
                  <c:v>7.1552567237350262</c:v>
                </c:pt>
                <c:pt idx="7">
                  <c:v>8.5718963956172569</c:v>
                </c:pt>
                <c:pt idx="8">
                  <c:v>10.27000034510241</c:v>
                </c:pt>
                <c:pt idx="9">
                  <c:v>12.305675568602934</c:v>
                </c:pt>
                <c:pt idx="10">
                  <c:v>14.746247658482027</c:v>
                </c:pt>
                <c:pt idx="11">
                  <c:v>17.672510300043498</c:v>
                </c:pt>
                <c:pt idx="12">
                  <c:v>21.181426995993817</c:v>
                </c:pt>
                <c:pt idx="13">
                  <c:v>25.389376147088512</c:v>
                </c:pt>
                <c:pt idx="14">
                  <c:v>30.436049020586243</c:v>
                </c:pt>
                <c:pt idx="15">
                  <c:v>36.489132264635835</c:v>
                </c:pt>
                <c:pt idx="16">
                  <c:v>43.749933231556859</c:v>
                </c:pt>
                <c:pt idx="17">
                  <c:v>52.46013836410372</c:v>
                </c:pt>
                <c:pt idx="18">
                  <c:v>62.909933368561269</c:v>
                </c:pt>
                <c:pt idx="19">
                  <c:v>75.447760161097548</c:v>
                </c:pt>
                <c:pt idx="20">
                  <c:v>90.49204121037269</c:v>
                </c:pt>
                <c:pt idx="21">
                  <c:v>102.6333920187227</c:v>
                </c:pt>
                <c:pt idx="22">
                  <c:v>114.73918821483265</c:v>
                </c:pt>
                <c:pt idx="23">
                  <c:v>126.81371572083374</c:v>
                </c:pt>
                <c:pt idx="24">
                  <c:v>138.86037516438498</c:v>
                </c:pt>
                <c:pt idx="25">
                  <c:v>150.88192750819908</c:v>
                </c:pt>
                <c:pt idx="26">
                  <c:v>130.55517654420012</c:v>
                </c:pt>
                <c:pt idx="27">
                  <c:v>143.4230971323318</c:v>
                </c:pt>
                <c:pt idx="28">
                  <c:v>156.26336860764874</c:v>
                </c:pt>
                <c:pt idx="29">
                  <c:v>169.07858491356987</c:v>
                </c:pt>
                <c:pt idx="30">
                  <c:v>181.87091401836071</c:v>
                </c:pt>
                <c:pt idx="31">
                  <c:v>194.64219358196658</c:v>
                </c:pt>
                <c:pt idx="32">
                  <c:v>207.39400013243321</c:v>
                </c:pt>
                <c:pt idx="33">
                  <c:v>220.12770029979734</c:v>
                </c:pt>
                <c:pt idx="34">
                  <c:v>232.84448955193758</c:v>
                </c:pt>
                <c:pt idx="35">
                  <c:v>245.54542201156013</c:v>
                </c:pt>
                <c:pt idx="36">
                  <c:v>211.09269018116927</c:v>
                </c:pt>
                <c:pt idx="37">
                  <c:v>223.82136433692654</c:v>
                </c:pt>
                <c:pt idx="38">
                  <c:v>236.53344703477251</c:v>
                </c:pt>
                <c:pt idx="39">
                  <c:v>249.22995596953157</c:v>
                </c:pt>
                <c:pt idx="40">
                  <c:v>261.9117966123722</c:v>
                </c:pt>
                <c:pt idx="41">
                  <c:v>274.5797795374819</c:v>
                </c:pt>
                <c:pt idx="42">
                  <c:v>287.23463438081922</c:v>
                </c:pt>
                <c:pt idx="43">
                  <c:v>299.87702120818574</c:v>
                </c:pt>
                <c:pt idx="44">
                  <c:v>312.50753986462513</c:v>
                </c:pt>
                <c:pt idx="45">
                  <c:v>325.1267377323847</c:v>
                </c:pt>
                <c:pt idx="46">
                  <c:v>282.33749471067301</c:v>
                </c:pt>
                <c:pt idx="47">
                  <c:v>294.5768533264087</c:v>
                </c:pt>
                <c:pt idx="48">
                  <c:v>306.80486817387464</c:v>
                </c:pt>
                <c:pt idx="49">
                  <c:v>319.02205522459639</c:v>
                </c:pt>
                <c:pt idx="50">
                  <c:v>331.22888769054117</c:v>
                </c:pt>
                <c:pt idx="51">
                  <c:v>342.61297385709213</c:v>
                </c:pt>
                <c:pt idx="52">
                  <c:v>353.98874734606505</c:v>
                </c:pt>
                <c:pt idx="53">
                  <c:v>365.35651302909173</c:v>
                </c:pt>
                <c:pt idx="54">
                  <c:v>376.71655525191045</c:v>
                </c:pt>
                <c:pt idx="55">
                  <c:v>388.06913980682003</c:v>
                </c:pt>
                <c:pt idx="56">
                  <c:v>342.20654436882069</c:v>
                </c:pt>
                <c:pt idx="57">
                  <c:v>353.17646115054987</c:v>
                </c:pt>
                <c:pt idx="58">
                  <c:v>364.13891241802389</c:v>
                </c:pt>
                <c:pt idx="59">
                  <c:v>375.0941546786521</c:v>
                </c:pt>
                <c:pt idx="60">
                  <c:v>386.04242822867758</c:v>
                </c:pt>
                <c:pt idx="61">
                  <c:v>396.17370138775277</c:v>
                </c:pt>
                <c:pt idx="62">
                  <c:v>406.29936224395647</c:v>
                </c:pt>
                <c:pt idx="63">
                  <c:v>416.41957043134607</c:v>
                </c:pt>
                <c:pt idx="64">
                  <c:v>426.53447718930823</c:v>
                </c:pt>
                <c:pt idx="65">
                  <c:v>436.64422599689237</c:v>
                </c:pt>
                <c:pt idx="66">
                  <c:v>390.09562155502158</c:v>
                </c:pt>
                <c:pt idx="67">
                  <c:v>400.22463007117284</c:v>
                </c:pt>
                <c:pt idx="68">
                  <c:v>410.34809118885124</c:v>
                </c:pt>
                <c:pt idx="69">
                  <c:v>420.46616110382996</c:v>
                </c:pt>
                <c:pt idx="70">
                  <c:v>430.57898787887979</c:v>
                </c:pt>
                <c:pt idx="71">
                  <c:v>440.28249935825102</c:v>
                </c:pt>
                <c:pt idx="72">
                  <c:v>449.98142660551815</c:v>
                </c:pt>
                <c:pt idx="73">
                  <c:v>459.67588238780218</c:v>
                </c:pt>
                <c:pt idx="74">
                  <c:v>469.36597432654645</c:v>
                </c:pt>
                <c:pt idx="75">
                  <c:v>479.05180523598898</c:v>
                </c:pt>
                <c:pt idx="76">
                  <c:v>431.38779177607307</c:v>
                </c:pt>
                <c:pt idx="77">
                  <c:v>440.28249935825107</c:v>
                </c:pt>
                <c:pt idx="78">
                  <c:v>449.17335497371772</c:v>
                </c:pt>
                <c:pt idx="79">
                  <c:v>458.06044564731354</c:v>
                </c:pt>
                <c:pt idx="80">
                  <c:v>466.94385475039059</c:v>
                </c:pt>
                <c:pt idx="81">
                  <c:v>476.22720551346401</c:v>
                </c:pt>
                <c:pt idx="82">
                  <c:v>485.50670733159899</c:v>
                </c:pt>
                <c:pt idx="83">
                  <c:v>494.7824441592341</c:v>
                </c:pt>
                <c:pt idx="84">
                  <c:v>504.05449654558885</c:v>
                </c:pt>
                <c:pt idx="85">
                  <c:v>513.32294183422596</c:v>
                </c:pt>
                <c:pt idx="86">
                  <c:v>466.94385475039053</c:v>
                </c:pt>
                <c:pt idx="87">
                  <c:v>475.01655378575691</c:v>
                </c:pt>
                <c:pt idx="88">
                  <c:v>483.08633404340497</c:v>
                </c:pt>
                <c:pt idx="89">
                  <c:v>491.15325117467381</c:v>
                </c:pt>
                <c:pt idx="90">
                  <c:v>499.2173588530552</c:v>
                </c:pt>
                <c:pt idx="91">
                  <c:v>507.27870887599437</c:v>
                </c:pt>
                <c:pt idx="92">
                  <c:v>515.33735125988142</c:v>
                </c:pt>
                <c:pt idx="93">
                  <c:v>523.39333432879255</c:v>
                </c:pt>
                <c:pt idx="94">
                  <c:v>531.44670479748004</c:v>
                </c:pt>
                <c:pt idx="95">
                  <c:v>539.49750784907303</c:v>
                </c:pt>
                <c:pt idx="96">
                  <c:v>494.78244415923405</c:v>
                </c:pt>
                <c:pt idx="97">
                  <c:v>502.44222694105264</c:v>
                </c:pt>
                <c:pt idx="98">
                  <c:v>510.09953919582313</c:v>
                </c:pt>
                <c:pt idx="99">
                  <c:v>517.75442325269717</c:v>
                </c:pt>
                <c:pt idx="100">
                  <c:v>525.40692008667077</c:v>
                </c:pt>
                <c:pt idx="101">
                  <c:v>533.05706938142691</c:v>
                </c:pt>
                <c:pt idx="102">
                  <c:v>540.70490958838275</c:v>
                </c:pt>
                <c:pt idx="103">
                  <c:v>548.35047798222126</c:v>
                </c:pt>
                <c:pt idx="104">
                  <c:v>555.99381071316338</c:v>
                </c:pt>
                <c:pt idx="105">
                  <c:v>563.634942856218</c:v>
                </c:pt>
                <c:pt idx="106">
                  <c:v>520.17125719416094</c:v>
                </c:pt>
                <c:pt idx="107">
                  <c:v>527.01767161181442</c:v>
                </c:pt>
                <c:pt idx="108">
                  <c:v>533.86221327471185</c:v>
                </c:pt>
                <c:pt idx="109">
                  <c:v>540.70490958838275</c:v>
                </c:pt>
                <c:pt idx="110">
                  <c:v>547.54578720789493</c:v>
                </c:pt>
                <c:pt idx="111">
                  <c:v>554.38487206772743</c:v>
                </c:pt>
                <c:pt idx="112">
                  <c:v>561.22218941009533</c:v>
                </c:pt>
                <c:pt idx="113">
                  <c:v>568.05776381182022</c:v>
                </c:pt>
                <c:pt idx="114">
                  <c:v>574.89161920984145</c:v>
                </c:pt>
                <c:pt idx="115">
                  <c:v>581.72377892545001</c:v>
                </c:pt>
                <c:pt idx="116">
                  <c:v>588.55426568732571</c:v>
                </c:pt>
                <c:pt idx="117">
                  <c:v>595.38310165344672</c:v>
                </c:pt>
                <c:pt idx="118">
                  <c:v>602.21030843194603</c:v>
                </c:pt>
                <c:pt idx="119">
                  <c:v>609.03590710096762</c:v>
                </c:pt>
                <c:pt idx="120">
                  <c:v>615.8599182275907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529952"/>
        <c:axId val="306526144"/>
      </c:scatterChart>
      <c:valAx>
        <c:axId val="306529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26144"/>
        <c:crosses val="autoZero"/>
        <c:crossBetween val="midCat"/>
      </c:valAx>
      <c:valAx>
        <c:axId val="30652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29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2.1180139732612671</c:v>
                </c:pt>
                <c:pt idx="2">
                  <c:v>2.8930352277757714</c:v>
                </c:pt>
                <c:pt idx="3">
                  <c:v>3.9528563294914054</c:v>
                </c:pt>
                <c:pt idx="4">
                  <c:v>5.4025506025518295</c:v>
                </c:pt>
                <c:pt idx="5">
                  <c:v>7.3861004857514656</c:v>
                </c:pt>
                <c:pt idx="6">
                  <c:v>10.100855037538478</c:v>
                </c:pt>
                <c:pt idx="7">
                  <c:v>13.817376284253774</c:v>
                </c:pt>
                <c:pt idx="8">
                  <c:v>18.906688773103248</c:v>
                </c:pt>
                <c:pt idx="9">
                  <c:v>25.877701614343255</c:v>
                </c:pt>
                <c:pt idx="10">
                  <c:v>35.428610803418827</c:v>
                </c:pt>
                <c:pt idx="11">
                  <c:v>48.517518453192395</c:v>
                </c:pt>
                <c:pt idx="12">
                  <c:v>66.459471748081853</c:v>
                </c:pt>
                <c:pt idx="13">
                  <c:v>89.518491602178926</c:v>
                </c:pt>
                <c:pt idx="14">
                  <c:v>115.34507792286411</c:v>
                </c:pt>
                <c:pt idx="15">
                  <c:v>107.7353130524844</c:v>
                </c:pt>
                <c:pt idx="16">
                  <c:v>121.79757291627975</c:v>
                </c:pt>
                <c:pt idx="17">
                  <c:v>137.94887635398439</c:v>
                </c:pt>
                <c:pt idx="18">
                  <c:v>155.82325453701938</c:v>
                </c:pt>
                <c:pt idx="19">
                  <c:v>178.71809195658315</c:v>
                </c:pt>
                <c:pt idx="20">
                  <c:v>156.01113549659763</c:v>
                </c:pt>
                <c:pt idx="21">
                  <c:v>179.4671614268108</c:v>
                </c:pt>
                <c:pt idx="22">
                  <c:v>203.97157947599115</c:v>
                </c:pt>
                <c:pt idx="23">
                  <c:v>229.34983593044981</c:v>
                </c:pt>
                <c:pt idx="24">
                  <c:v>256.16070947885601</c:v>
                </c:pt>
                <c:pt idx="25">
                  <c:v>283.4422200558077</c:v>
                </c:pt>
                <c:pt idx="26">
                  <c:v>235.98505858386397</c:v>
                </c:pt>
                <c:pt idx="27">
                  <c:v>258.0506253647863</c:v>
                </c:pt>
                <c:pt idx="28">
                  <c:v>280.5423775629647</c:v>
                </c:pt>
                <c:pt idx="29">
                  <c:v>303.43995205127447</c:v>
                </c:pt>
                <c:pt idx="30">
                  <c:v>326.35342702648569</c:v>
                </c:pt>
                <c:pt idx="31">
                  <c:v>263.5410850453323</c:v>
                </c:pt>
                <c:pt idx="32">
                  <c:v>282.29217451097259</c:v>
                </c:pt>
                <c:pt idx="33">
                  <c:v>301.01536320297083</c:v>
                </c:pt>
                <c:pt idx="34">
                  <c:v>319.71263023799264</c:v>
                </c:pt>
                <c:pt idx="35">
                  <c:v>338.38570435554112</c:v>
                </c:pt>
                <c:pt idx="36">
                  <c:v>357.03610795074201</c:v>
                </c:pt>
                <c:pt idx="37">
                  <c:v>375.66519142046315</c:v>
                </c:pt>
                <c:pt idx="38">
                  <c:v>394.2741603380303</c:v>
                </c:pt>
                <c:pt idx="39">
                  <c:v>412.86409722847498</c:v>
                </c:pt>
                <c:pt idx="40">
                  <c:v>431.43597921680447</c:v>
                </c:pt>
                <c:pt idx="41">
                  <c:v>449.99069247897137</c:v>
                </c:pt>
                <c:pt idx="42">
                  <c:v>468.52904418534735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531584"/>
        <c:axId val="306527776"/>
      </c:scatterChart>
      <c:valAx>
        <c:axId val="306531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27776"/>
        <c:crosses val="autoZero"/>
        <c:crossBetween val="midCat"/>
      </c:valAx>
      <c:valAx>
        <c:axId val="30652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31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530496"/>
        <c:axId val="306534304"/>
      </c:scatterChart>
      <c:valAx>
        <c:axId val="306530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34304"/>
        <c:crosses val="autoZero"/>
        <c:crossBetween val="midCat"/>
      </c:valAx>
      <c:valAx>
        <c:axId val="30653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30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528320"/>
        <c:axId val="306528864"/>
      </c:scatterChart>
      <c:valAx>
        <c:axId val="306528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28864"/>
        <c:crosses val="autoZero"/>
        <c:crossBetween val="midCat"/>
      </c:valAx>
      <c:valAx>
        <c:axId val="30652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28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532128"/>
        <c:axId val="306529408"/>
      </c:scatterChart>
      <c:valAx>
        <c:axId val="306532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29408"/>
        <c:crosses val="autoZero"/>
        <c:crossBetween val="midCat"/>
      </c:valAx>
      <c:valAx>
        <c:axId val="30652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32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526688"/>
        <c:axId val="306534848"/>
      </c:scatterChart>
      <c:valAx>
        <c:axId val="306526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34848"/>
        <c:crosses val="autoZero"/>
        <c:crossBetween val="midCat"/>
      </c:valAx>
      <c:valAx>
        <c:axId val="30653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26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531040"/>
        <c:axId val="306532672"/>
      </c:scatterChart>
      <c:valAx>
        <c:axId val="306531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32672"/>
        <c:crosses val="autoZero"/>
        <c:crossBetween val="midCat"/>
      </c:valAx>
      <c:valAx>
        <c:axId val="30653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31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523424"/>
        <c:axId val="306527232"/>
      </c:scatterChart>
      <c:valAx>
        <c:axId val="3065234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27232"/>
        <c:crosses val="autoZero"/>
        <c:crossBetween val="midCat"/>
      </c:valAx>
      <c:valAx>
        <c:axId val="30652723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6523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C35" sqref="C35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9" t="s">
        <v>292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3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3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3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3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3">
      <c r="B18" s="289" t="s">
        <v>293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3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3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3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3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3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3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3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3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3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3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3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3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3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90" zoomScaleNormal="90" workbookViewId="0">
      <selection activeCell="D101" sqref="D10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0" t="s">
        <v>190</v>
      </c>
      <c r="D1" s="290"/>
      <c r="E1" s="290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5" t="s">
        <v>192</v>
      </c>
      <c r="C3" s="296"/>
      <c r="D3" s="296"/>
      <c r="E3" s="296"/>
      <c r="F3" s="297"/>
      <c r="G3" s="95"/>
      <c r="I3" s="228" t="s">
        <v>305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306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1" t="s">
        <v>231</v>
      </c>
      <c r="B5" s="301"/>
      <c r="C5" s="26">
        <v>4.7</v>
      </c>
      <c r="D5" s="302" t="s">
        <v>229</v>
      </c>
      <c r="E5" s="303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299" t="s">
        <v>226</v>
      </c>
      <c r="B7" s="299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285">
        <v>0.27966000000000002</v>
      </c>
      <c r="D9" s="36">
        <f t="shared" ref="D9:D18" si="0">C9*$C$5</f>
        <v>1.3144020000000001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307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6</v>
      </c>
      <c r="C10" s="285">
        <v>0.27966000000000002</v>
      </c>
      <c r="D10" s="36">
        <f t="shared" si="0"/>
        <v>1.3144020000000001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36</v>
      </c>
      <c r="C11" s="285">
        <v>0.44059999999999999</v>
      </c>
      <c r="D11" s="36">
        <f t="shared" si="0"/>
        <v>2.0708199999999999</v>
      </c>
      <c r="E11" s="37">
        <v>42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0.99992000000000003</v>
      </c>
      <c r="D19" s="41">
        <f>SUM(D9:D18)</f>
        <v>4.699624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8" t="s">
        <v>232</v>
      </c>
      <c r="B22" s="298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0" t="s">
        <v>227</v>
      </c>
      <c r="B30" s="300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308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286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286">
        <v>25</v>
      </c>
      <c r="B37" s="63">
        <v>70</v>
      </c>
      <c r="C37" s="63">
        <v>1</v>
      </c>
      <c r="D37" s="6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286">
        <v>30</v>
      </c>
      <c r="B38" s="63">
        <v>97</v>
      </c>
      <c r="C38" s="63"/>
      <c r="D38" s="63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286">
        <v>35</v>
      </c>
      <c r="B39" s="63">
        <v>137</v>
      </c>
      <c r="C39" s="63">
        <v>2</v>
      </c>
      <c r="D39" s="63">
        <v>42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286">
        <v>40</v>
      </c>
      <c r="B40" s="63">
        <v>137</v>
      </c>
      <c r="C40" s="63"/>
      <c r="D40" s="63"/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286">
        <v>45</v>
      </c>
      <c r="B41" s="63">
        <v>179</v>
      </c>
      <c r="C41" s="63">
        <v>3</v>
      </c>
      <c r="D41" s="63"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286">
        <v>50</v>
      </c>
      <c r="B42" s="63">
        <v>178</v>
      </c>
      <c r="C42" s="63"/>
      <c r="D42" s="63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6">
        <v>55</v>
      </c>
      <c r="B43" s="63">
        <v>218</v>
      </c>
      <c r="C43" s="63">
        <v>4</v>
      </c>
      <c r="D43" s="63"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6">
        <v>60</v>
      </c>
      <c r="B44" s="63">
        <v>214</v>
      </c>
      <c r="C44" s="63"/>
      <c r="D44" s="63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6">
        <v>65</v>
      </c>
      <c r="B45" s="63">
        <v>250</v>
      </c>
      <c r="C45" s="63">
        <v>5</v>
      </c>
      <c r="D45" s="63"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6">
        <v>70</v>
      </c>
      <c r="B46" s="63">
        <v>242</v>
      </c>
      <c r="C46" s="63"/>
      <c r="D46" s="63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6">
        <v>75</v>
      </c>
      <c r="B47" s="63">
        <v>273</v>
      </c>
      <c r="C47" s="63">
        <v>6</v>
      </c>
      <c r="D47" s="63"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6">
        <v>85</v>
      </c>
      <c r="B48" s="63">
        <v>290</v>
      </c>
      <c r="C48" s="63">
        <v>7</v>
      </c>
      <c r="D48" s="63">
        <v>42</v>
      </c>
      <c r="E48" s="54"/>
      <c r="F48" s="54"/>
      <c r="G48" s="54"/>
      <c r="H48" s="54"/>
      <c r="I48" s="52">
        <f t="shared" si="1"/>
        <v>5.9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6">
        <v>95</v>
      </c>
      <c r="B49" s="63">
        <v>300</v>
      </c>
      <c r="C49" s="63">
        <v>8</v>
      </c>
      <c r="D49" s="63">
        <v>42</v>
      </c>
      <c r="E49" s="54"/>
      <c r="F49" s="54"/>
      <c r="G49" s="54"/>
      <c r="H49" s="54"/>
      <c r="I49" s="52">
        <f t="shared" si="1"/>
        <v>5.2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6">
        <v>105</v>
      </c>
      <c r="B50" s="53">
        <v>305</v>
      </c>
      <c r="C50" s="53">
        <v>9</v>
      </c>
      <c r="D50" s="53">
        <v>41</v>
      </c>
      <c r="E50" s="54"/>
      <c r="F50" s="54"/>
      <c r="G50" s="54"/>
      <c r="H50" s="54"/>
      <c r="I50" s="52">
        <f t="shared" si="1"/>
        <v>4.7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6">
        <v>115</v>
      </c>
      <c r="B51" s="53">
        <v>304</v>
      </c>
      <c r="C51" s="53">
        <v>10</v>
      </c>
      <c r="D51" s="53">
        <v>37</v>
      </c>
      <c r="E51" s="54"/>
      <c r="F51" s="54"/>
      <c r="G51" s="54"/>
      <c r="H51" s="54"/>
      <c r="I51" s="52">
        <f t="shared" si="1"/>
        <v>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6">
        <v>125</v>
      </c>
      <c r="B52" s="53">
        <v>301</v>
      </c>
      <c r="C52" s="53">
        <v>11</v>
      </c>
      <c r="D52" s="53">
        <v>33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135</v>
      </c>
      <c r="B53" s="53">
        <v>298</v>
      </c>
      <c r="C53" s="53">
        <v>12</v>
      </c>
      <c r="D53" s="53">
        <v>29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145</v>
      </c>
      <c r="B54" s="53">
        <v>295</v>
      </c>
      <c r="C54" s="53"/>
      <c r="D54" s="53"/>
      <c r="E54" s="54"/>
      <c r="F54" s="54"/>
      <c r="G54" s="54"/>
      <c r="H54" s="54"/>
      <c r="I54" s="52">
        <f t="shared" si="1"/>
        <v>2.6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306</v>
      </c>
      <c r="C55" s="53">
        <v>13</v>
      </c>
      <c r="D55" s="53">
        <v>306</v>
      </c>
      <c r="E55" s="54"/>
      <c r="F55" s="54"/>
      <c r="G55" s="54"/>
      <c r="H55" s="54"/>
      <c r="I55" s="52">
        <f t="shared" si="1"/>
        <v>2.2000000000000002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Charme</v>
      </c>
      <c r="D58" s="259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53">
        <v>42</v>
      </c>
      <c r="C62" s="53"/>
      <c r="D62" s="53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53">
        <v>71</v>
      </c>
      <c r="C63" s="53">
        <v>1</v>
      </c>
      <c r="D63" s="53">
        <v>16</v>
      </c>
      <c r="E63" s="54"/>
      <c r="F63" s="54"/>
      <c r="G63" s="54"/>
      <c r="H63" s="54">
        <v>1</v>
      </c>
      <c r="I63" s="52">
        <f>IF(A63&lt;&gt;0,(B63-(B62-D62))/(A63-A62),"")</f>
        <v>5.8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53">
        <v>86</v>
      </c>
      <c r="C64" s="53"/>
      <c r="D64" s="53"/>
      <c r="E64" s="54"/>
      <c r="F64" s="54"/>
      <c r="G64" s="54"/>
      <c r="H64" s="54"/>
      <c r="I64" s="52">
        <f>IF(A64&lt;&gt;0,(B64-(B63-D63))/(A64-A63),"")</f>
        <v>6.2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53">
        <v>117</v>
      </c>
      <c r="C65" s="53">
        <v>2</v>
      </c>
      <c r="D65" s="53">
        <v>23</v>
      </c>
      <c r="E65" s="54"/>
      <c r="F65" s="54"/>
      <c r="G65" s="54"/>
      <c r="H65" s="54"/>
      <c r="I65" s="52">
        <f>IF(A65&lt;&gt;0,(B65-(B64-D64))/(A65-A64),"")</f>
        <v>6.2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53">
        <v>125</v>
      </c>
      <c r="C66" s="53"/>
      <c r="D66" s="53"/>
      <c r="E66" s="54"/>
      <c r="F66" s="54"/>
      <c r="G66" s="54"/>
      <c r="H66" s="54"/>
      <c r="I66" s="52">
        <f t="shared" ref="I66:I81" si="2">IF(A66&lt;&gt;0,(B66-(B65-D65))/(A66-A65),"")</f>
        <v>6.2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53">
        <v>156</v>
      </c>
      <c r="C67" s="53">
        <v>3</v>
      </c>
      <c r="D67" s="53">
        <v>27</v>
      </c>
      <c r="E67" s="54"/>
      <c r="F67" s="54"/>
      <c r="G67" s="54"/>
      <c r="H67" s="54"/>
      <c r="I67" s="52">
        <f t="shared" si="2"/>
        <v>6.2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53">
        <v>159</v>
      </c>
      <c r="C68" s="53"/>
      <c r="D68" s="53"/>
      <c r="E68" s="54"/>
      <c r="F68" s="54"/>
      <c r="G68" s="54"/>
      <c r="H68" s="54"/>
      <c r="I68" s="52">
        <f t="shared" si="2"/>
        <v>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187</v>
      </c>
      <c r="C69" s="53">
        <v>4</v>
      </c>
      <c r="D69" s="53">
        <v>28</v>
      </c>
      <c r="E69" s="54"/>
      <c r="F69" s="54"/>
      <c r="G69" s="54"/>
      <c r="H69" s="54"/>
      <c r="I69" s="52">
        <f t="shared" si="2"/>
        <v>5.6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186</v>
      </c>
      <c r="C70" s="53"/>
      <c r="D70" s="53"/>
      <c r="E70" s="54"/>
      <c r="F70" s="54"/>
      <c r="G70" s="54"/>
      <c r="H70" s="54"/>
      <c r="I70" s="52">
        <f t="shared" si="2"/>
        <v>5.4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211</v>
      </c>
      <c r="C71" s="53">
        <v>5</v>
      </c>
      <c r="D71" s="53">
        <v>28</v>
      </c>
      <c r="E71" s="54"/>
      <c r="F71" s="54"/>
      <c r="G71" s="54"/>
      <c r="H71" s="54"/>
      <c r="I71" s="52">
        <f t="shared" si="2"/>
        <v>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208</v>
      </c>
      <c r="C72" s="53"/>
      <c r="D72" s="53"/>
      <c r="E72" s="54"/>
      <c r="F72" s="54"/>
      <c r="G72" s="54"/>
      <c r="H72" s="54"/>
      <c r="I72" s="52">
        <f t="shared" si="2"/>
        <v>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232</v>
      </c>
      <c r="C73" s="53">
        <v>6</v>
      </c>
      <c r="D73" s="53">
        <v>28</v>
      </c>
      <c r="E73" s="54"/>
      <c r="F73" s="54"/>
      <c r="G73" s="54"/>
      <c r="H73" s="54"/>
      <c r="I73" s="52">
        <f t="shared" si="2"/>
        <v>4.8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226</v>
      </c>
      <c r="C74" s="53"/>
      <c r="D74" s="53"/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85</v>
      </c>
      <c r="B75" s="53">
        <v>249</v>
      </c>
      <c r="C75" s="53">
        <v>7</v>
      </c>
      <c r="D75" s="53">
        <v>27</v>
      </c>
      <c r="E75" s="54"/>
      <c r="F75" s="54"/>
      <c r="G75" s="54"/>
      <c r="H75" s="54"/>
      <c r="I75" s="52">
        <f t="shared" si="2"/>
        <v>4.5999999999999996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90</v>
      </c>
      <c r="B76" s="53">
        <v>242</v>
      </c>
      <c r="C76" s="53"/>
      <c r="D76" s="53"/>
      <c r="E76" s="54"/>
      <c r="F76" s="54"/>
      <c r="G76" s="54"/>
      <c r="H76" s="54"/>
      <c r="I76" s="52">
        <f t="shared" si="2"/>
        <v>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95</v>
      </c>
      <c r="B77" s="53">
        <v>262</v>
      </c>
      <c r="C77" s="53">
        <v>8</v>
      </c>
      <c r="D77" s="53">
        <v>26</v>
      </c>
      <c r="E77" s="54"/>
      <c r="F77" s="54"/>
      <c r="G77" s="54"/>
      <c r="H77" s="54"/>
      <c r="I77" s="52">
        <f t="shared" si="2"/>
        <v>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100</v>
      </c>
      <c r="B78" s="53">
        <v>255</v>
      </c>
      <c r="C78" s="53"/>
      <c r="D78" s="53"/>
      <c r="E78" s="54"/>
      <c r="F78" s="54"/>
      <c r="G78" s="54"/>
      <c r="H78" s="54"/>
      <c r="I78" s="52">
        <f t="shared" si="2"/>
        <v>3.8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105</v>
      </c>
      <c r="B79" s="53">
        <v>274</v>
      </c>
      <c r="C79" s="53">
        <v>9</v>
      </c>
      <c r="D79" s="53">
        <v>25</v>
      </c>
      <c r="E79" s="54"/>
      <c r="F79" s="54"/>
      <c r="G79" s="54"/>
      <c r="H79" s="54"/>
      <c r="I79" s="52">
        <f t="shared" si="2"/>
        <v>3.8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115</v>
      </c>
      <c r="B80" s="53">
        <v>283</v>
      </c>
      <c r="C80" s="53"/>
      <c r="D80" s="53"/>
      <c r="E80" s="54"/>
      <c r="F80" s="54"/>
      <c r="G80" s="54"/>
      <c r="H80" s="54"/>
      <c r="I80" s="52">
        <f t="shared" si="2"/>
        <v>3.4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120</v>
      </c>
      <c r="B81" s="53">
        <v>300</v>
      </c>
      <c r="C81" s="53">
        <v>10</v>
      </c>
      <c r="D81" s="53">
        <v>300</v>
      </c>
      <c r="E81" s="54"/>
      <c r="F81" s="54"/>
      <c r="G81" s="54"/>
      <c r="H81" s="54"/>
      <c r="I81" s="52">
        <f t="shared" si="2"/>
        <v>3.4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maritime</v>
      </c>
      <c r="D84" s="259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287">
        <v>12</v>
      </c>
      <c r="B88" s="287">
        <v>48.662500000000001</v>
      </c>
      <c r="C88" s="287"/>
      <c r="D88" s="287"/>
      <c r="E88" s="288"/>
      <c r="F88" s="288"/>
      <c r="G88" s="288"/>
      <c r="H88" s="93"/>
      <c r="I88" s="56">
        <f>IFERROR(B88/A88,"")</f>
        <v>4.0552083333333337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287">
        <v>13</v>
      </c>
      <c r="B89" s="287">
        <v>66.096000000000004</v>
      </c>
      <c r="C89" s="287"/>
      <c r="D89" s="287"/>
      <c r="E89" s="288"/>
      <c r="F89" s="288"/>
      <c r="G89" s="288"/>
      <c r="H89" s="93"/>
      <c r="I89" s="56">
        <f t="shared" ref="I89:I107" si="3">IF(A89&lt;&gt;0,(B89-(B88-D88))/(A89-A88),"")</f>
        <v>17.433500000000002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287">
        <v>14</v>
      </c>
      <c r="B90" s="287">
        <v>85.756500000000003</v>
      </c>
      <c r="C90" s="287">
        <v>1</v>
      </c>
      <c r="D90" s="287">
        <v>22.227499999999999</v>
      </c>
      <c r="E90" s="288"/>
      <c r="F90" s="288"/>
      <c r="G90" s="288">
        <v>1</v>
      </c>
      <c r="H90" s="93"/>
      <c r="I90" s="56">
        <f t="shared" si="3"/>
        <v>19.660499999999999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287">
        <v>15</v>
      </c>
      <c r="B91" s="287">
        <v>79.950999999999993</v>
      </c>
      <c r="C91" s="287"/>
      <c r="D91" s="287"/>
      <c r="E91" s="288"/>
      <c r="F91" s="288"/>
      <c r="G91" s="288"/>
      <c r="H91" s="93"/>
      <c r="I91" s="56">
        <f t="shared" si="3"/>
        <v>16.42199999999999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287">
        <v>16</v>
      </c>
      <c r="B92" s="287">
        <v>90.686499999999995</v>
      </c>
      <c r="C92" s="287"/>
      <c r="D92" s="287"/>
      <c r="E92" s="288"/>
      <c r="F92" s="288"/>
      <c r="G92" s="288"/>
      <c r="H92" s="93"/>
      <c r="I92" s="56">
        <f t="shared" si="3"/>
        <v>10.735500000000002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287">
        <v>17</v>
      </c>
      <c r="B93" s="287">
        <v>103.054</v>
      </c>
      <c r="C93" s="287"/>
      <c r="D93" s="287"/>
      <c r="E93" s="288"/>
      <c r="F93" s="288"/>
      <c r="G93" s="288"/>
      <c r="H93" s="93"/>
      <c r="I93" s="56">
        <f t="shared" si="3"/>
        <v>12.367500000000007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287">
        <v>18</v>
      </c>
      <c r="B94" s="287">
        <v>116.78149999999999</v>
      </c>
      <c r="C94" s="287"/>
      <c r="D94" s="287"/>
      <c r="E94" s="288"/>
      <c r="F94" s="288"/>
      <c r="G94" s="288"/>
      <c r="H94" s="93"/>
      <c r="I94" s="56">
        <f t="shared" si="3"/>
        <v>13.727499999999992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287">
        <v>19</v>
      </c>
      <c r="B95" s="287">
        <v>134.41899999999998</v>
      </c>
      <c r="C95" s="287">
        <v>2</v>
      </c>
      <c r="D95" s="287">
        <v>34.884</v>
      </c>
      <c r="E95" s="288">
        <v>0.25</v>
      </c>
      <c r="F95" s="288"/>
      <c r="G95" s="288">
        <v>0.75</v>
      </c>
      <c r="H95" s="93"/>
      <c r="I95" s="56">
        <f t="shared" si="3"/>
        <v>17.637499999999989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287">
        <v>20</v>
      </c>
      <c r="B96" s="287">
        <v>116.926</v>
      </c>
      <c r="C96" s="287"/>
      <c r="D96" s="287"/>
      <c r="E96" s="288"/>
      <c r="F96" s="288"/>
      <c r="G96" s="288"/>
      <c r="H96" s="93"/>
      <c r="I96" s="56">
        <f t="shared" si="3"/>
        <v>17.39100000000002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287">
        <v>21</v>
      </c>
      <c r="B97" s="287">
        <v>134.99699999999999</v>
      </c>
      <c r="C97" s="287"/>
      <c r="D97" s="287"/>
      <c r="E97" s="288"/>
      <c r="F97" s="288"/>
      <c r="G97" s="288"/>
      <c r="H97" s="93"/>
      <c r="I97" s="56">
        <f t="shared" si="3"/>
        <v>18.070999999999984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287">
        <v>22</v>
      </c>
      <c r="B98" s="287">
        <v>153.935</v>
      </c>
      <c r="C98" s="287"/>
      <c r="D98" s="287"/>
      <c r="E98" s="288"/>
      <c r="F98" s="288"/>
      <c r="G98" s="288"/>
      <c r="H98" s="93"/>
      <c r="I98" s="56">
        <f t="shared" si="3"/>
        <v>18.938000000000017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287">
        <v>23</v>
      </c>
      <c r="B99" s="287">
        <v>173.60400000000001</v>
      </c>
      <c r="C99" s="287"/>
      <c r="D99" s="287"/>
      <c r="E99" s="288"/>
      <c r="F99" s="288"/>
      <c r="G99" s="288"/>
      <c r="H99" s="93"/>
      <c r="I99" s="56">
        <f t="shared" si="3"/>
        <v>19.669000000000011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287">
        <v>24</v>
      </c>
      <c r="B100" s="63">
        <v>194.4375</v>
      </c>
      <c r="C100" s="63"/>
      <c r="D100" s="63"/>
      <c r="E100" s="68"/>
      <c r="F100" s="68"/>
      <c r="G100" s="68"/>
      <c r="H100" s="68"/>
      <c r="I100" s="56">
        <f t="shared" si="3"/>
        <v>20.833499999999987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287">
        <v>25</v>
      </c>
      <c r="B101" s="63">
        <v>215.6875</v>
      </c>
      <c r="C101" s="63">
        <v>3</v>
      </c>
      <c r="D101" s="63">
        <v>54.026000000000003</v>
      </c>
      <c r="E101" s="68">
        <v>0.25</v>
      </c>
      <c r="F101" s="68"/>
      <c r="G101" s="68">
        <v>0.75</v>
      </c>
      <c r="H101" s="68"/>
      <c r="I101" s="56">
        <f t="shared" si="3"/>
        <v>21.25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287">
        <v>26</v>
      </c>
      <c r="B102" s="53">
        <v>178.755</v>
      </c>
      <c r="C102" s="53"/>
      <c r="D102" s="53"/>
      <c r="E102" s="57"/>
      <c r="F102" s="57"/>
      <c r="G102" s="57"/>
      <c r="H102" s="57"/>
      <c r="I102" s="56">
        <f t="shared" si="3"/>
        <v>17.093500000000006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287">
        <v>27</v>
      </c>
      <c r="B103" s="53">
        <v>195.90799999999999</v>
      </c>
      <c r="C103" s="53"/>
      <c r="D103" s="53"/>
      <c r="E103" s="57"/>
      <c r="F103" s="57"/>
      <c r="G103" s="57"/>
      <c r="H103" s="57"/>
      <c r="I103" s="56">
        <f t="shared" si="3"/>
        <v>17.152999999999992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287">
        <v>28</v>
      </c>
      <c r="B104" s="53">
        <v>213.4265</v>
      </c>
      <c r="C104" s="53"/>
      <c r="D104" s="53"/>
      <c r="E104" s="57"/>
      <c r="F104" s="57"/>
      <c r="G104" s="57"/>
      <c r="H104" s="57"/>
      <c r="I104" s="56">
        <f t="shared" si="3"/>
        <v>17.518500000000017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287">
        <v>29</v>
      </c>
      <c r="B105" s="53">
        <v>231.29350000000002</v>
      </c>
      <c r="C105" s="53"/>
      <c r="D105" s="53"/>
      <c r="E105" s="57"/>
      <c r="F105" s="57"/>
      <c r="G105" s="57"/>
      <c r="H105" s="57"/>
      <c r="I105" s="56">
        <f t="shared" si="3"/>
        <v>17.867000000000019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287">
        <v>30</v>
      </c>
      <c r="B106" s="53">
        <v>249.203</v>
      </c>
      <c r="C106" s="53">
        <v>4</v>
      </c>
      <c r="D106" s="53">
        <v>63.631</v>
      </c>
      <c r="E106" s="57">
        <v>0.6</v>
      </c>
      <c r="F106" s="57"/>
      <c r="G106" s="57">
        <v>0.4</v>
      </c>
      <c r="H106" s="57"/>
      <c r="I106" s="56">
        <f t="shared" si="3"/>
        <v>17.90949999999998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42</v>
      </c>
      <c r="B107" s="53">
        <v>360.8845</v>
      </c>
      <c r="C107" s="53">
        <v>5</v>
      </c>
      <c r="D107" s="53">
        <v>360.8845</v>
      </c>
      <c r="E107" s="57"/>
      <c r="F107" s="57"/>
      <c r="G107" s="57"/>
      <c r="H107" s="57"/>
      <c r="I107" s="56">
        <f t="shared" si="3"/>
        <v>14.609375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abSelected="1" zoomScale="115" zoomScaleNormal="115" workbookViewId="0">
      <selection activeCell="C21" sqref="C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297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296</v>
      </c>
      <c r="C7" s="109" t="s">
        <v>214</v>
      </c>
      <c r="D7" s="235"/>
      <c r="E7" s="110"/>
      <c r="F7" s="29" t="s">
        <v>296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302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310</v>
      </c>
      <c r="D14" s="236"/>
      <c r="E14" s="108"/>
      <c r="F14" s="116"/>
      <c r="G14" s="107" t="s">
        <v>295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296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Chêne sessile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Charme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Pin maritime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/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/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/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/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9" t="s">
        <v>300</v>
      </c>
      <c r="I2" s="72" t="s">
        <v>299</v>
      </c>
      <c r="J2" s="73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299</v>
      </c>
      <c r="AE2" s="73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299</v>
      </c>
      <c r="AZ2" s="73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299</v>
      </c>
      <c r="BU2" s="73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299</v>
      </c>
      <c r="CP2" s="73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299</v>
      </c>
      <c r="DK2" s="73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299</v>
      </c>
      <c r="EF2" s="73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299</v>
      </c>
      <c r="FA2" s="73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299</v>
      </c>
      <c r="FV2" s="73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299</v>
      </c>
      <c r="GQ2" s="73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430.21146937947236</v>
      </c>
      <c r="T3" s="62">
        <f>IF('Données projet'!E9&gt;30,$R$33-$H$33,LOOKUP('Données projet'!$E$9,$A$3:$A$203,R3:R203)-LOOKUP('Données projet'!$E$9,$A$3:$A$203,$H$3:$H$203))</f>
        <v>231.36959598460686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370.04285308422544</v>
      </c>
      <c r="AO3" s="62">
        <f>IF('Données projet'!E10&gt;30,$AM$33-$H$33,LOOKUP('Données projet'!$E$10,$A$3:$A$203,AM3:AM203)-LOOKUP('Données projet'!$E$10,$A$3:$A$203,$H$3:$H$203))</f>
        <v>218.53758068502731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215.43249078216331</v>
      </c>
      <c r="BJ3" s="62">
        <f>IF('Données projet'!E11&gt;30,$BH$33-$H$33,LOOKUP('Données projet'!$E$11,$A$3:$A$203,BH3:BH203)-LOOKUP('Données projet'!$E$11,$A$3:$A$203,$H$3:$H$203))</f>
        <v>363.02009369315232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projet'!$B$9,Paramètres!$A$1:$I$88,3,0)*VLOOKUP('Données projet'!$B$9,Paramètres!$A$1:$I$88,5,0)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260.65521412271448</v>
      </c>
      <c r="S4" s="62">
        <f ca="1">AVERAGE(OFFSET($R$3,0,0,'Données projet'!$E$9+1,1))-AVERAGE(OFFSET($H$3,0,0,'Données projet'!$E$9+1,1))</f>
        <v>430.21146937947236</v>
      </c>
      <c r="T4" s="62">
        <f>$T$3</f>
        <v>231.36959598460686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projet'!$B$10,Paramètres!$A$1:$I$88,3,0)*VLOOKUP('Données projet'!$B$10,Paramètres!$A$1:$I$88,5,0)</f>
        <v>1.1471412528159133</v>
      </c>
      <c r="AK4" s="14">
        <f>EXP(-1.0587+0.8836*LN(AJ4)+0.284)</f>
        <v>0.52027092443628509</v>
      </c>
      <c r="AL4" s="22">
        <f t="shared" ref="AL4:AL67" si="4">(AJ4+AK4)*0.475*44/12</f>
        <v>2.9040762087142453</v>
      </c>
      <c r="AM4" s="62">
        <f t="shared" ref="AM4:AM67" si="5">AL4+(AD4+AE4)*44/12</f>
        <v>260.79296509760309</v>
      </c>
      <c r="AN4" s="62">
        <f ca="1">AVERAGE(OFFSET($AM$3,0,0,'Données projet'!$E$10+1,1))-AVERAGE(OFFSET($H$3,0,0,'Données projet'!$E$10+1,1))</f>
        <v>370.04285308422544</v>
      </c>
      <c r="AO4" s="62">
        <f>$AO$3</f>
        <v>218.53758068502731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4.0552083333333337</v>
      </c>
      <c r="BD4" s="13">
        <f>IF('Données projet'!$A$88&gt;35,BD3+BC4-BL3,IF(A4&lt;'Données projet'!$A$88,$BA$205^A4,IF(A4='Données projet'!$A$88,'Données projet'!$B$88,BD3+BC4-BL3)))</f>
        <v>1.3822911730149987</v>
      </c>
      <c r="BE4" s="14">
        <f>BD4*VLOOKUP('Données projet'!$B$11,Paramètres!$A$1:$I$88,3,0)*VLOOKUP('Données projet'!$B$11,Paramètres!$A$1:$I$88,5,0)</f>
        <v>0.82661012146296919</v>
      </c>
      <c r="BF4" s="14">
        <f>EXP(-1.0587+0.8836*LN(BE4)+0.284)</f>
        <v>0.38947445648608353</v>
      </c>
      <c r="BG4" s="22">
        <f t="shared" ref="BG4:BG67" si="7">(BE4+BF4)*0.475*44/12</f>
        <v>2.1180139732612671</v>
      </c>
      <c r="BH4" s="62">
        <f t="shared" ref="BH4:BH67" si="8">BG4+(AY4+AZ4)*44/12</f>
        <v>260.00690286215013</v>
      </c>
      <c r="BI4" s="62">
        <f ca="1">AVERAGE(OFFSET($BH$3,0,0,'Données projet'!$E$11+1,1))-AVERAGE(OFFSET($H$3,0,0,'Données projet'!$E$11+1,1))</f>
        <v>215.43249078216331</v>
      </c>
      <c r="BJ4" s="62">
        <f>$BJ$3</f>
        <v>363.02009369315232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projet'!$B$9,Paramètres!$A$1:$I$88,3,0)*VLOOKUP('Données projet'!$B$9,Paramètres!$A$1:$I$88,5,0)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262.42339882093205</v>
      </c>
      <c r="S5" s="62">
        <f ca="1">AVERAGE(OFFSET($R$3,0,0,'Données projet'!$E$9+1,1))-AVERAGE(OFFSET($H$3,0,0,'Données projet'!$E$9+1,1))</f>
        <v>430.21146937947236</v>
      </c>
      <c r="T5" s="62">
        <f t="shared" ref="T5:T68" si="34">$T$3</f>
        <v>231.36959598460686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projet'!$B$10,Paramètres!$A$1:$I$88,3,0)*VLOOKUP('Données projet'!$B$10,Paramètres!$A$1:$I$88,5,0)</f>
        <v>1.3828636548046063</v>
      </c>
      <c r="AK5" s="14">
        <f t="shared" ref="AK5:AK68" si="35">EXP(-1.0587+0.8836*LN(AJ5)+0.284)</f>
        <v>0.61368387142089176</v>
      </c>
      <c r="AL5" s="22">
        <f t="shared" si="4"/>
        <v>3.4773202748427425</v>
      </c>
      <c r="AM5" s="62">
        <f t="shared" si="5"/>
        <v>262.58843138595387</v>
      </c>
      <c r="AN5" s="62">
        <f ca="1">AVERAGE(OFFSET($AM$3,0,0,'Données projet'!$E$10+1,1))-AVERAGE(OFFSET($H$3,0,0,'Données projet'!$E$10+1,1))</f>
        <v>370.04285308422544</v>
      </c>
      <c r="AO5" s="62">
        <f t="shared" ref="AO5:AO68" si="36">$AO$3</f>
        <v>218.53758068502731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4.0552083333333337</v>
      </c>
      <c r="BD5" s="13">
        <f>IF('Données projet'!$A$88&gt;35,BD4+BC5-BL4,IF(A5&lt;'Données projet'!$A$88,$BA$205^A5,IF(A5='Données projet'!$A$88,'Données projet'!$B$88,BD4+BC5-BL4)))</f>
        <v>1.9107288869951811</v>
      </c>
      <c r="BE5" s="14">
        <f>BD5*VLOOKUP('Données projet'!$B$11,Paramètres!$A$1:$I$88,3,0)*VLOOKUP('Données projet'!$B$11,Paramètres!$A$1:$I$88,5,0)</f>
        <v>1.1426158744231183</v>
      </c>
      <c r="BF5" s="14">
        <f t="shared" ref="BF5:BF68" si="37">EXP(-1.0587+0.8836*LN(BE5)+0.284)</f>
        <v>0.51845698362995651</v>
      </c>
      <c r="BG5" s="22">
        <f t="shared" si="7"/>
        <v>2.8930352277757714</v>
      </c>
      <c r="BH5" s="62">
        <f t="shared" si="8"/>
        <v>262.00414633888693</v>
      </c>
      <c r="BI5" s="62">
        <f ca="1">AVERAGE(OFFSET($BH$3,0,0,'Données projet'!$E$11+1,1))-AVERAGE(OFFSET($H$3,0,0,'Données projet'!$E$11+1,1))</f>
        <v>215.43249078216331</v>
      </c>
      <c r="BJ5" s="62">
        <f t="shared" ref="BJ5:BJ68" si="38">$BJ$3</f>
        <v>363.02009369315232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projet'!$B$9,Paramètres!$A$1:$I$88,3,0)*VLOOKUP('Données projet'!$B$9,Paramètres!$A$1:$I$88,5,0)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264.29973523978072</v>
      </c>
      <c r="S6" s="62">
        <f ca="1">AVERAGE(OFFSET($R$3,0,0,'Données projet'!$E$9+1,1))-AVERAGE(OFFSET($H$3,0,0,'Données projet'!$E$9+1,1))</f>
        <v>430.21146937947236</v>
      </c>
      <c r="T6" s="62">
        <f t="shared" si="34"/>
        <v>231.36959598460686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projet'!$B$10,Paramètres!$A$1:$I$88,3,0)*VLOOKUP('Données projet'!$B$10,Paramètres!$A$1:$I$88,5,0)</f>
        <v>1.6670239023183575</v>
      </c>
      <c r="AK6" s="14">
        <f t="shared" si="35"/>
        <v>0.72386880825637001</v>
      </c>
      <c r="AL6" s="22">
        <f t="shared" si="4"/>
        <v>4.1641381375843167</v>
      </c>
      <c r="AM6" s="62">
        <f t="shared" si="5"/>
        <v>264.49747147091762</v>
      </c>
      <c r="AN6" s="62">
        <f ca="1">AVERAGE(OFFSET($AM$3,0,0,'Données projet'!$E$10+1,1))-AVERAGE(OFFSET($H$3,0,0,'Données projet'!$E$10+1,1))</f>
        <v>370.04285308422544</v>
      </c>
      <c r="AO6" s="62">
        <f t="shared" si="36"/>
        <v>218.53758068502731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4.0552083333333337</v>
      </c>
      <c r="BD6" s="13">
        <f>IF('Données projet'!$A$88&gt;35,BD5+BC6-BL5,IF(A6&lt;'Données projet'!$A$88,$BA$205^A6,IF(A6='Données projet'!$A$88,'Données projet'!$B$88,BD5+BC6-BL5)))</f>
        <v>2.6411836745182118</v>
      </c>
      <c r="BE6" s="14">
        <f>BD6*VLOOKUP('Données projet'!$B$11,Paramètres!$A$1:$I$88,3,0)*VLOOKUP('Données projet'!$B$11,Paramètres!$A$1:$I$88,5,0)</f>
        <v>1.5794278373618909</v>
      </c>
      <c r="BF6" s="14">
        <f t="shared" si="37"/>
        <v>0.69015474416427491</v>
      </c>
      <c r="BG6" s="22">
        <f t="shared" si="7"/>
        <v>3.9528563294914054</v>
      </c>
      <c r="BH6" s="62">
        <f t="shared" si="8"/>
        <v>264.28618966282471</v>
      </c>
      <c r="BI6" s="62">
        <f ca="1">AVERAGE(OFFSET($BH$3,0,0,'Données projet'!$E$11+1,1))-AVERAGE(OFFSET($H$3,0,0,'Données projet'!$E$11+1,1))</f>
        <v>215.43249078216331</v>
      </c>
      <c r="BJ6" s="62">
        <f t="shared" si="38"/>
        <v>363.02009369315232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projet'!$B$9,Paramètres!$A$1:$I$88,3,0)*VLOOKUP('Données projet'!$B$9,Paramètres!$A$1:$I$88,5,0)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266.30572241486152</v>
      </c>
      <c r="S7" s="62">
        <f ca="1">AVERAGE(OFFSET($R$3,0,0,'Données projet'!$E$9+1,1))-AVERAGE(OFFSET($H$3,0,0,'Données projet'!$E$9+1,1))</f>
        <v>430.21146937947236</v>
      </c>
      <c r="T7" s="62">
        <f t="shared" si="34"/>
        <v>231.36959598460686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projet'!$B$10,Paramètres!$A$1:$I$88,3,0)*VLOOKUP('Données projet'!$B$10,Paramètres!$A$1:$I$88,5,0)</f>
        <v>2.0095753339423639</v>
      </c>
      <c r="AK7" s="14">
        <f t="shared" si="35"/>
        <v>0.85383709099815042</v>
      </c>
      <c r="AL7" s="22">
        <f t="shared" si="4"/>
        <v>4.9871099734380619</v>
      </c>
      <c r="AM7" s="62">
        <f t="shared" si="5"/>
        <v>266.54266552899361</v>
      </c>
      <c r="AN7" s="62">
        <f ca="1">AVERAGE(OFFSET($AM$3,0,0,'Données projet'!$E$10+1,1))-AVERAGE(OFFSET($H$3,0,0,'Données projet'!$E$10+1,1))</f>
        <v>370.04285308422544</v>
      </c>
      <c r="AO7" s="62">
        <f t="shared" si="36"/>
        <v>218.53758068502731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4.0552083333333337</v>
      </c>
      <c r="BD7" s="13">
        <f>IF('Données projet'!$A$88&gt;35,BD6+BC7-BL6,IF(A7&lt;'Données projet'!$A$88,$BA$205^A7,IF(A7='Données projet'!$A$88,'Données projet'!$B$88,BD6+BC7-BL6)))</f>
        <v>3.6508848795978435</v>
      </c>
      <c r="BE7" s="14">
        <f>BD7*VLOOKUP('Données projet'!$B$11,Paramètres!$A$1:$I$88,3,0)*VLOOKUP('Données projet'!$B$11,Paramètres!$A$1:$I$88,5,0)</f>
        <v>2.1832291579995107</v>
      </c>
      <c r="BF7" s="14">
        <f t="shared" si="37"/>
        <v>0.91871377169531943</v>
      </c>
      <c r="BG7" s="22">
        <f t="shared" si="7"/>
        <v>5.4025506025518295</v>
      </c>
      <c r="BH7" s="62">
        <f t="shared" si="8"/>
        <v>266.9581061581074</v>
      </c>
      <c r="BI7" s="62">
        <f ca="1">AVERAGE(OFFSET($BH$3,0,0,'Données projet'!$E$11+1,1))-AVERAGE(OFFSET($H$3,0,0,'Données projet'!$E$11+1,1))</f>
        <v>215.43249078216331</v>
      </c>
      <c r="BJ7" s="62">
        <f t="shared" si="38"/>
        <v>363.02009369315232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projet'!$B$9,Paramètres!$A$1:$I$88,3,0)*VLOOKUP('Données projet'!$B$9,Paramètres!$A$1:$I$88,5,0)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268.46714702955143</v>
      </c>
      <c r="S8" s="62">
        <f ca="1">AVERAGE(OFFSET($R$3,0,0,'Données projet'!$E$9+1,1))-AVERAGE(OFFSET($H$3,0,0,'Données projet'!$E$9+1,1))</f>
        <v>430.21146937947236</v>
      </c>
      <c r="T8" s="62">
        <f t="shared" si="34"/>
        <v>231.36959598460686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projet'!$B$10,Paramètres!$A$1:$I$88,3,0)*VLOOKUP('Données projet'!$B$10,Paramètres!$A$1:$I$88,5,0)</f>
        <v>2.4225165681027749</v>
      </c>
      <c r="AK8" s="14">
        <f t="shared" si="35"/>
        <v>1.0071407548562075</v>
      </c>
      <c r="AL8" s="22">
        <f t="shared" si="4"/>
        <v>5.9733198374868941</v>
      </c>
      <c r="AM8" s="62">
        <f t="shared" si="5"/>
        <v>268.75109761526465</v>
      </c>
      <c r="AN8" s="62">
        <f ca="1">AVERAGE(OFFSET($AM$3,0,0,'Données projet'!$E$10+1,1))-AVERAGE(OFFSET($H$3,0,0,'Données projet'!$E$10+1,1))</f>
        <v>370.04285308422544</v>
      </c>
      <c r="AO8" s="62">
        <f t="shared" si="36"/>
        <v>218.53758068502731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4.0552083333333337</v>
      </c>
      <c r="BD8" s="13">
        <f>IF('Données projet'!$A$88&gt;35,BD7+BC8-BL7,IF(A8&lt;'Données projet'!$A$88,$BA$205^A8,IF(A8='Données projet'!$A$88,'Données projet'!$B$88,BD7+BC8-BL7)))</f>
        <v>5.0465859427620252</v>
      </c>
      <c r="BE8" s="14">
        <f>BD8*VLOOKUP('Données projet'!$B$11,Paramètres!$A$1:$I$88,3,0)*VLOOKUP('Données projet'!$B$11,Paramètres!$A$1:$I$88,5,0)</f>
        <v>3.0178583937716912</v>
      </c>
      <c r="BF8" s="14">
        <f t="shared" si="37"/>
        <v>1.222964851635848</v>
      </c>
      <c r="BG8" s="22">
        <f t="shared" si="7"/>
        <v>7.3861004857514656</v>
      </c>
      <c r="BH8" s="62">
        <f t="shared" si="8"/>
        <v>270.16387826352923</v>
      </c>
      <c r="BI8" s="62">
        <f ca="1">AVERAGE(OFFSET($BH$3,0,0,'Données projet'!$E$11+1,1))-AVERAGE(OFFSET($H$3,0,0,'Données projet'!$E$11+1,1))</f>
        <v>215.43249078216331</v>
      </c>
      <c r="BJ8" s="62">
        <f t="shared" si="38"/>
        <v>363.02009369315232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projet'!$B$9,Paramètres!$A$1:$I$88,3,0)*VLOOKUP('Données projet'!$B$9,Paramètres!$A$1:$I$88,5,0)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270.81494110736412</v>
      </c>
      <c r="S9" s="62">
        <f ca="1">AVERAGE(OFFSET($R$3,0,0,'Données projet'!$E$9+1,1))-AVERAGE(OFFSET($H$3,0,0,'Données projet'!$E$9+1,1))</f>
        <v>430.21146937947236</v>
      </c>
      <c r="T9" s="62">
        <f t="shared" si="34"/>
        <v>231.36959598460686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projet'!$B$10,Paramètres!$A$1:$I$88,3,0)*VLOOKUP('Données projet'!$B$10,Paramètres!$A$1:$I$88,5,0)</f>
        <v>2.9203117811062675</v>
      </c>
      <c r="AK9" s="14">
        <f t="shared" si="35"/>
        <v>1.1879695913731732</v>
      </c>
      <c r="AL9" s="22">
        <f t="shared" si="4"/>
        <v>7.1552567237350262</v>
      </c>
      <c r="AM9" s="62">
        <f t="shared" si="5"/>
        <v>271.15525672373502</v>
      </c>
      <c r="AN9" s="62">
        <f ca="1">AVERAGE(OFFSET($AM$3,0,0,'Données projet'!$E$10+1,1))-AVERAGE(OFFSET($H$3,0,0,'Données projet'!$E$10+1,1))</f>
        <v>370.04285308422544</v>
      </c>
      <c r="AO9" s="62">
        <f t="shared" si="36"/>
        <v>218.53758068502731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4.0552083333333337</v>
      </c>
      <c r="BD9" s="13">
        <f>IF('Données projet'!$A$88&gt;35,BD8+BC9-BL8,IF(A9&lt;'Données projet'!$A$88,$BA$205^A9,IF(A9='Données projet'!$A$88,'Données projet'!$B$88,BD8+BC9-BL8)))</f>
        <v>6.9758512025415227</v>
      </c>
      <c r="BE9" s="14">
        <f>BD9*VLOOKUP('Données projet'!$B$11,Paramètres!$A$1:$I$88,3,0)*VLOOKUP('Données projet'!$B$11,Paramètres!$A$1:$I$88,5,0)</f>
        <v>4.1715590191198313</v>
      </c>
      <c r="BF9" s="14">
        <f t="shared" si="37"/>
        <v>1.6279749737252278</v>
      </c>
      <c r="BG9" s="22">
        <f t="shared" si="7"/>
        <v>10.100855037538478</v>
      </c>
      <c r="BH9" s="62">
        <f t="shared" si="8"/>
        <v>274.10085503753845</v>
      </c>
      <c r="BI9" s="62">
        <f ca="1">AVERAGE(OFFSET($BH$3,0,0,'Données projet'!$E$11+1,1))-AVERAGE(OFFSET($H$3,0,0,'Données projet'!$E$11+1,1))</f>
        <v>215.43249078216331</v>
      </c>
      <c r="BJ9" s="62">
        <f t="shared" si="38"/>
        <v>363.02009369315232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projet'!$B$9,Paramètres!$A$1:$I$88,3,0)*VLOOKUP('Données projet'!$B$9,Paramètres!$A$1:$I$88,5,0)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273.38621175408076</v>
      </c>
      <c r="S10" s="62">
        <f ca="1">AVERAGE(OFFSET($R$3,0,0,'Données projet'!$E$9+1,1))-AVERAGE(OFFSET($H$3,0,0,'Données projet'!$E$9+1,1))</f>
        <v>430.21146937947236</v>
      </c>
      <c r="T10" s="62">
        <f t="shared" si="34"/>
        <v>231.36959598460686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projet'!$B$10,Paramètres!$A$1:$I$88,3,0)*VLOOKUP('Données projet'!$B$10,Paramètres!$A$1:$I$88,5,0)</f>
        <v>3.520397346775237</v>
      </c>
      <c r="AK10" s="14">
        <f t="shared" si="35"/>
        <v>1.4012656554930452</v>
      </c>
      <c r="AL10" s="22">
        <f t="shared" si="4"/>
        <v>8.5718963956172569</v>
      </c>
      <c r="AM10" s="62">
        <f t="shared" si="5"/>
        <v>273.7941186178395</v>
      </c>
      <c r="AN10" s="62">
        <f ca="1">AVERAGE(OFFSET($AM$3,0,0,'Données projet'!$E$10+1,1))-AVERAGE(OFFSET($H$3,0,0,'Données projet'!$E$10+1,1))</f>
        <v>370.04285308422544</v>
      </c>
      <c r="AO10" s="62">
        <f t="shared" si="36"/>
        <v>218.53758068502731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4.0552083333333337</v>
      </c>
      <c r="BD10" s="13">
        <f>IF('Données projet'!$A$88&gt;35,BD9+BC10-BL9,IF(A10&lt;'Données projet'!$A$88,$BA$205^A10,IF(A10='Données projet'!$A$88,'Données projet'!$B$88,BD9+BC10-BL9)))</f>
        <v>9.6426575415392115</v>
      </c>
      <c r="BE10" s="14">
        <f>BD10*VLOOKUP('Données projet'!$B$11,Paramètres!$A$1:$I$88,3,0)*VLOOKUP('Données projet'!$B$11,Paramètres!$A$1:$I$88,5,0)</f>
        <v>5.7663092098404487</v>
      </c>
      <c r="BF10" s="14">
        <f t="shared" si="37"/>
        <v>2.1671125801617181</v>
      </c>
      <c r="BG10" s="22">
        <f t="shared" si="7"/>
        <v>13.817376284253774</v>
      </c>
      <c r="BH10" s="62">
        <f t="shared" si="8"/>
        <v>279.03959850647601</v>
      </c>
      <c r="BI10" s="62">
        <f ca="1">AVERAGE(OFFSET($BH$3,0,0,'Données projet'!$E$11+1,1))-AVERAGE(OFFSET($H$3,0,0,'Données projet'!$E$11+1,1))</f>
        <v>215.43249078216331</v>
      </c>
      <c r="BJ10" s="62">
        <f t="shared" si="38"/>
        <v>363.02009369315232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projet'!$B$9,Paramètres!$A$1:$I$88,3,0)*VLOOKUP('Données projet'!$B$9,Paramètres!$A$1:$I$88,5,0)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276.22547755046565</v>
      </c>
      <c r="S11" s="62">
        <f ca="1">AVERAGE(OFFSET($R$3,0,0,'Données projet'!$E$9+1,1))-AVERAGE(OFFSET($H$3,0,0,'Données projet'!$E$9+1,1))</f>
        <v>430.21146937947236</v>
      </c>
      <c r="T11" s="62">
        <f t="shared" si="34"/>
        <v>231.36959598460686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projet'!$B$10,Paramètres!$A$1:$I$88,3,0)*VLOOKUP('Données projet'!$B$10,Paramètres!$A$1:$I$88,5,0)</f>
        <v>4.2437925838477959</v>
      </c>
      <c r="AK11" s="14">
        <f t="shared" si="35"/>
        <v>1.6528583320004788</v>
      </c>
      <c r="AL11" s="22">
        <f t="shared" si="4"/>
        <v>10.27000034510241</v>
      </c>
      <c r="AM11" s="62">
        <f t="shared" si="5"/>
        <v>276.71444478954686</v>
      </c>
      <c r="AN11" s="62">
        <f ca="1">AVERAGE(OFFSET($AM$3,0,0,'Données projet'!$E$10+1,1))-AVERAGE(OFFSET($H$3,0,0,'Données projet'!$E$10+1,1))</f>
        <v>370.04285308422544</v>
      </c>
      <c r="AO11" s="62">
        <f t="shared" si="36"/>
        <v>218.53758068502731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4.0552083333333337</v>
      </c>
      <c r="BD11" s="13">
        <f>IF('Données projet'!$A$88&gt;35,BD10+BC11-BL10,IF(A11&lt;'Données projet'!$A$88,$BA$205^A11,IF(A11='Données projet'!$A$88,'Données projet'!$B$88,BD10+BC11-BL10)))</f>
        <v>13.32896040407616</v>
      </c>
      <c r="BE11" s="14">
        <f>BD11*VLOOKUP('Données projet'!$B$11,Paramètres!$A$1:$I$88,3,0)*VLOOKUP('Données projet'!$B$11,Paramètres!$A$1:$I$88,5,0)</f>
        <v>7.9707183216375439</v>
      </c>
      <c r="BF11" s="14">
        <f t="shared" si="37"/>
        <v>2.8847967633978144</v>
      </c>
      <c r="BG11" s="22">
        <f t="shared" si="7"/>
        <v>18.906688773103248</v>
      </c>
      <c r="BH11" s="62">
        <f t="shared" si="8"/>
        <v>285.35113321754773</v>
      </c>
      <c r="BI11" s="62">
        <f ca="1">AVERAGE(OFFSET($BH$3,0,0,'Données projet'!$E$11+1,1))-AVERAGE(OFFSET($H$3,0,0,'Données projet'!$E$11+1,1))</f>
        <v>215.43249078216331</v>
      </c>
      <c r="BJ11" s="62">
        <f t="shared" si="38"/>
        <v>363.02009369315232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projet'!$B$9,Paramètres!$A$1:$I$88,3,0)*VLOOKUP('Données projet'!$B$9,Paramètres!$A$1:$I$88,5,0)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279.38615317116773</v>
      </c>
      <c r="S12" s="62">
        <f ca="1">AVERAGE(OFFSET($R$3,0,0,'Données projet'!$E$9+1,1))-AVERAGE(OFFSET($H$3,0,0,'Données projet'!$E$9+1,1))</f>
        <v>430.21146937947236</v>
      </c>
      <c r="T12" s="62">
        <f t="shared" si="34"/>
        <v>231.36959598460686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projet'!$B$10,Paramètres!$A$1:$I$88,3,0)*VLOOKUP('Données projet'!$B$10,Paramètres!$A$1:$I$88,5,0)</f>
        <v>5.1158360039155557</v>
      </c>
      <c r="AK12" s="14">
        <f t="shared" si="35"/>
        <v>1.9496236526985691</v>
      </c>
      <c r="AL12" s="22">
        <f t="shared" si="4"/>
        <v>12.305675568602934</v>
      </c>
      <c r="AM12" s="62">
        <f t="shared" si="5"/>
        <v>279.97234223526959</v>
      </c>
      <c r="AN12" s="62">
        <f ca="1">AVERAGE(OFFSET($AM$3,0,0,'Données projet'!$E$10+1,1))-AVERAGE(OFFSET($H$3,0,0,'Données projet'!$E$10+1,1))</f>
        <v>370.04285308422544</v>
      </c>
      <c r="AO12" s="62">
        <f t="shared" si="36"/>
        <v>218.53758068502731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4.0552083333333337</v>
      </c>
      <c r="BD12" s="13">
        <f>IF('Données projet'!$A$88&gt;35,BD11+BC12-BL11,IF(A12&lt;'Données projet'!$A$88,$BA$205^A12,IF(A12='Données projet'!$A$88,'Données projet'!$B$88,BD11+BC12-BL11)))</f>
        <v>18.424504312020908</v>
      </c>
      <c r="BE12" s="14">
        <f>BD12*VLOOKUP('Données projet'!$B$11,Paramètres!$A$1:$I$88,3,0)*VLOOKUP('Données projet'!$B$11,Paramètres!$A$1:$I$88,5,0)</f>
        <v>11.017853578588504</v>
      </c>
      <c r="BF12" s="14">
        <f t="shared" si="37"/>
        <v>3.8401569176851367</v>
      </c>
      <c r="BG12" s="22">
        <f t="shared" si="7"/>
        <v>25.877701614343255</v>
      </c>
      <c r="BH12" s="62">
        <f t="shared" si="8"/>
        <v>293.54436828100995</v>
      </c>
      <c r="BI12" s="62">
        <f ca="1">AVERAGE(OFFSET($BH$3,0,0,'Données projet'!$E$11+1,1))-AVERAGE(OFFSET($H$3,0,0,'Données projet'!$E$11+1,1))</f>
        <v>215.43249078216331</v>
      </c>
      <c r="BJ12" s="62">
        <f t="shared" si="38"/>
        <v>363.02009369315232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projet'!$B$9,Paramètres!$A$1:$I$88,3,0)*VLOOKUP('Données projet'!$B$9,Paramètres!$A$1:$I$88,5,0)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282.93233218914207</v>
      </c>
      <c r="S13" s="62">
        <f ca="1">AVERAGE(OFFSET($R$3,0,0,'Données projet'!$E$9+1,1))-AVERAGE(OFFSET($H$3,0,0,'Données projet'!$E$9+1,1))</f>
        <v>430.21146937947236</v>
      </c>
      <c r="T13" s="62">
        <f t="shared" si="34"/>
        <v>231.36959598460686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projet'!$B$10,Paramètres!$A$1:$I$88,3,0)*VLOOKUP('Données projet'!$B$10,Paramètres!$A$1:$I$88,5,0)</f>
        <v>6.1670728486049251</v>
      </c>
      <c r="AK13" s="14">
        <f t="shared" si="35"/>
        <v>2.2996722184660952</v>
      </c>
      <c r="AL13" s="22">
        <f t="shared" si="4"/>
        <v>14.746247658482027</v>
      </c>
      <c r="AM13" s="62">
        <f t="shared" si="5"/>
        <v>283.63513654737091</v>
      </c>
      <c r="AN13" s="62">
        <f ca="1">AVERAGE(OFFSET($AM$3,0,0,'Données projet'!$E$10+1,1))-AVERAGE(OFFSET($H$3,0,0,'Données projet'!$E$10+1,1))</f>
        <v>370.04285308422544</v>
      </c>
      <c r="AO13" s="62">
        <f t="shared" si="36"/>
        <v>218.53758068502731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4.0552083333333337</v>
      </c>
      <c r="BD13" s="13">
        <f>IF('Données projet'!$A$88&gt;35,BD12+BC13-BL12,IF(A13&lt;'Données projet'!$A$88,$BA$205^A13,IF(A13='Données projet'!$A$88,'Données projet'!$B$88,BD12+BC13-BL12)))</f>
        <v>25.46802967768328</v>
      </c>
      <c r="BE13" s="14">
        <f>BD13*VLOOKUP('Données projet'!$B$11,Paramètres!$A$1:$I$88,3,0)*VLOOKUP('Données projet'!$B$11,Paramètres!$A$1:$I$88,5,0)</f>
        <v>15.229881747254604</v>
      </c>
      <c r="BF13" s="14">
        <f t="shared" si="37"/>
        <v>5.1119043599715157</v>
      </c>
      <c r="BG13" s="22">
        <f t="shared" si="7"/>
        <v>35.428610803418827</v>
      </c>
      <c r="BH13" s="62">
        <f t="shared" si="8"/>
        <v>304.31749969230771</v>
      </c>
      <c r="BI13" s="62">
        <f ca="1">AVERAGE(OFFSET($BH$3,0,0,'Données projet'!$E$11+1,1))-AVERAGE(OFFSET($H$3,0,0,'Données projet'!$E$11+1,1))</f>
        <v>215.43249078216331</v>
      </c>
      <c r="BJ13" s="62">
        <f t="shared" si="38"/>
        <v>363.02009369315232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projet'!$B$9,Paramètres!$A$1:$I$88,3,0)*VLOOKUP('Données projet'!$B$9,Paramètres!$A$1:$I$88,5,0)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286.94092810276993</v>
      </c>
      <c r="S14" s="62">
        <f ca="1">AVERAGE(OFFSET($R$3,0,0,'Données projet'!$E$9+1,1))-AVERAGE(OFFSET($H$3,0,0,'Données projet'!$E$9+1,1))</f>
        <v>430.21146937947236</v>
      </c>
      <c r="T14" s="62">
        <f t="shared" si="34"/>
        <v>231.36959598460686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projet'!$B$10,Paramètres!$A$1:$I$88,3,0)*VLOOKUP('Données projet'!$B$10,Paramètres!$A$1:$I$88,5,0)</f>
        <v>7.4343250039466771</v>
      </c>
      <c r="AK14" s="14">
        <f t="shared" si="35"/>
        <v>2.712570862107007</v>
      </c>
      <c r="AL14" s="22">
        <f t="shared" si="4"/>
        <v>17.672510300043498</v>
      </c>
      <c r="AM14" s="62">
        <f t="shared" si="5"/>
        <v>287.78362141115463</v>
      </c>
      <c r="AN14" s="62">
        <f ca="1">AVERAGE(OFFSET($AM$3,0,0,'Données projet'!$E$10+1,1))-AVERAGE(OFFSET($H$3,0,0,'Données projet'!$E$10+1,1))</f>
        <v>370.04285308422544</v>
      </c>
      <c r="AO14" s="62">
        <f t="shared" si="36"/>
        <v>218.53758068502731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4.0552083333333337</v>
      </c>
      <c r="BD14" s="13">
        <f>IF('Données projet'!$A$88&gt;35,BD13+BC14-BL13,IF(A14&lt;'Données projet'!$A$88,$BA$205^A14,IF(A14='Données projet'!$A$88,'Données projet'!$B$88,BD13+BC14-BL13)))</f>
        <v>35.204232617545621</v>
      </c>
      <c r="BE14" s="14">
        <f>BD14*VLOOKUP('Données projet'!$B$11,Paramètres!$A$1:$I$88,3,0)*VLOOKUP('Données projet'!$B$11,Paramètres!$A$1:$I$88,5,0)</f>
        <v>21.052131105292283</v>
      </c>
      <c r="BF14" s="14">
        <f t="shared" si="37"/>
        <v>6.8048172888851708</v>
      </c>
      <c r="BG14" s="22">
        <f t="shared" si="7"/>
        <v>48.517518453192395</v>
      </c>
      <c r="BH14" s="62">
        <f t="shared" si="8"/>
        <v>318.62862956430354</v>
      </c>
      <c r="BI14" s="62">
        <f ca="1">AVERAGE(OFFSET($BH$3,0,0,'Données projet'!$E$11+1,1))-AVERAGE(OFFSET($H$3,0,0,'Données projet'!$E$11+1,1))</f>
        <v>215.43249078216331</v>
      </c>
      <c r="BJ14" s="62">
        <f t="shared" si="38"/>
        <v>363.02009369315232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projet'!$B$9,Paramètres!$A$1:$I$88,3,0)*VLOOKUP('Données projet'!$B$9,Paramètres!$A$1:$I$88,5,0)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291.50424573777804</v>
      </c>
      <c r="S15" s="62">
        <f ca="1">AVERAGE(OFFSET($R$3,0,0,'Données projet'!$E$9+1,1))-AVERAGE(OFFSET($H$3,0,0,'Données projet'!$E$9+1,1))</f>
        <v>430.21146937947236</v>
      </c>
      <c r="T15" s="62">
        <f t="shared" si="34"/>
        <v>231.36959598460686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projet'!$B$10,Paramètres!$A$1:$I$88,3,0)*VLOOKUP('Données projet'!$B$10,Paramètres!$A$1:$I$88,5,0)</f>
        <v>8.9619807680412578</v>
      </c>
      <c r="AK15" s="14">
        <f t="shared" si="35"/>
        <v>3.1996041100413177</v>
      </c>
      <c r="AL15" s="22">
        <f t="shared" si="4"/>
        <v>21.181426995993817</v>
      </c>
      <c r="AM15" s="62">
        <f t="shared" si="5"/>
        <v>292.51476032932715</v>
      </c>
      <c r="AN15" s="62">
        <f ca="1">AVERAGE(OFFSET($AM$3,0,0,'Données projet'!$E$10+1,1))-AVERAGE(OFFSET($H$3,0,0,'Données projet'!$E$10+1,1))</f>
        <v>370.04285308422544</v>
      </c>
      <c r="AO15" s="62">
        <f t="shared" si="36"/>
        <v>218.53758068502731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48.662500000000001</v>
      </c>
      <c r="BB15" s="13">
        <f>VLOOKUP(A15,'Données projet'!$A$87:$I$107,9,0)</f>
        <v>4.0552083333333337</v>
      </c>
      <c r="BC15" s="13">
        <f t="array" ref="BC15">INDEX(BB:BB,MIN(IF(ISNUMBER(BB15:BB211),ROW(BB15:BB211),"")))</f>
        <v>4.0552083333333337</v>
      </c>
      <c r="BD15" s="13">
        <f>IF('Données projet'!$A$88&gt;35,BD14+BC15-BL14,IF(A15&lt;'Données projet'!$A$88,$BA$205^A15,IF(A15='Données projet'!$A$88,'Données projet'!$B$88,BD14+BC15-BL14)))</f>
        <v>48.662500000000001</v>
      </c>
      <c r="BE15" s="14">
        <f>BD15*VLOOKUP('Données projet'!$B$11,Paramètres!$A$1:$I$88,3,0)*VLOOKUP('Données projet'!$B$11,Paramètres!$A$1:$I$88,5,0)</f>
        <v>29.100175</v>
      </c>
      <c r="BF15" s="14">
        <f t="shared" si="37"/>
        <v>9.0583733721044215</v>
      </c>
      <c r="BG15" s="22">
        <f t="shared" si="7"/>
        <v>66.459471748081853</v>
      </c>
      <c r="BH15" s="62">
        <f t="shared" si="8"/>
        <v>337.79280508141517</v>
      </c>
      <c r="BI15" s="62">
        <f ca="1">AVERAGE(OFFSET($BH$3,0,0,'Données projet'!$E$11+1,1))-AVERAGE(OFFSET($H$3,0,0,'Données projet'!$E$11+1,1))</f>
        <v>215.43249078216331</v>
      </c>
      <c r="BJ15" s="62">
        <f t="shared" si="38"/>
        <v>363.02009369315232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projet'!$B$9,Paramètres!$A$1:$I$88,3,0)*VLOOKUP('Données projet'!$B$9,Paramètres!$A$1:$I$88,5,0)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296.73306974060051</v>
      </c>
      <c r="S16" s="62">
        <f ca="1">AVERAGE(OFFSET($R$3,0,0,'Données projet'!$E$9+1,1))-AVERAGE(OFFSET($H$3,0,0,'Données projet'!$E$9+1,1))</f>
        <v>430.21146937947236</v>
      </c>
      <c r="T16" s="62">
        <f t="shared" si="34"/>
        <v>231.36959598460686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projet'!$B$10,Paramètres!$A$1:$I$88,3,0)*VLOOKUP('Données projet'!$B$10,Paramètres!$A$1:$I$88,5,0)</f>
        <v>10.803549648973275</v>
      </c>
      <c r="AK16" s="14">
        <f t="shared" si="35"/>
        <v>3.77408258858951</v>
      </c>
      <c r="AL16" s="22">
        <f t="shared" si="4"/>
        <v>25.389376147088512</v>
      </c>
      <c r="AM16" s="62">
        <f t="shared" si="5"/>
        <v>297.94493170264406</v>
      </c>
      <c r="AN16" s="62">
        <f ca="1">AVERAGE(OFFSET($AM$3,0,0,'Données projet'!$E$10+1,1))-AVERAGE(OFFSET($H$3,0,0,'Données projet'!$E$10+1,1))</f>
        <v>370.04285308422544</v>
      </c>
      <c r="AO16" s="62">
        <f t="shared" si="36"/>
        <v>218.53758068502731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>
        <f>VLOOKUP(A16,'Données projet'!$A$87:$I$107,2,0)</f>
        <v>66.096000000000004</v>
      </c>
      <c r="BB16" s="13">
        <f>VLOOKUP(A16,'Données projet'!$A$87:$I$107,9,0)</f>
        <v>17.433500000000002</v>
      </c>
      <c r="BC16" s="13">
        <f t="array" ref="BC16">INDEX(BB:BB,MIN(IF(ISNUMBER(BB16:BB212),ROW(BB16:BB212),"")))</f>
        <v>17.433500000000002</v>
      </c>
      <c r="BD16" s="13">
        <f>IF('Données projet'!$A$88&gt;35,BD15+BC16-BL15,IF(A16&lt;'Données projet'!$A$88,$BA$205^A16,IF(A16='Données projet'!$A$88,'Données projet'!$B$88,BD15+BC16-BL15)))</f>
        <v>66.096000000000004</v>
      </c>
      <c r="BE16" s="14">
        <f>BD16*VLOOKUP('Données projet'!$B$11,Paramètres!$A$1:$I$88,3,0)*VLOOKUP('Données projet'!$B$11,Paramètres!$A$1:$I$88,5,0)</f>
        <v>39.525408000000006</v>
      </c>
      <c r="BF16" s="14">
        <f t="shared" si="37"/>
        <v>11.872768996466366</v>
      </c>
      <c r="BG16" s="22">
        <f t="shared" si="7"/>
        <v>89.518491602178926</v>
      </c>
      <c r="BH16" s="62">
        <f t="shared" si="8"/>
        <v>362.07404715773447</v>
      </c>
      <c r="BI16" s="62">
        <f ca="1">AVERAGE(OFFSET($BH$3,0,0,'Données projet'!$E$11+1,1))-AVERAGE(OFFSET($H$3,0,0,'Données projet'!$E$11+1,1))</f>
        <v>215.43249078216331</v>
      </c>
      <c r="BJ16" s="62">
        <f t="shared" si="38"/>
        <v>363.02009369315232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projet'!$B$9,Paramètres!$A$1:$I$88,3,0)*VLOOKUP('Données projet'!$B$9,Paramètres!$A$1:$I$88,5,0)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302.76037439017989</v>
      </c>
      <c r="S17" s="62">
        <f ca="1">AVERAGE(OFFSET($R$3,0,0,'Données projet'!$E$9+1,1))-AVERAGE(OFFSET($H$3,0,0,'Données projet'!$E$9+1,1))</f>
        <v>430.21146937947236</v>
      </c>
      <c r="T17" s="62">
        <f t="shared" si="34"/>
        <v>231.36959598460686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projet'!$B$10,Paramètres!$A$1:$I$88,3,0)*VLOOKUP('Données projet'!$B$10,Paramètres!$A$1:$I$88,5,0)</f>
        <v>13.023536653196853</v>
      </c>
      <c r="AK17" s="14">
        <f t="shared" si="35"/>
        <v>4.4517068035990768</v>
      </c>
      <c r="AL17" s="22">
        <f t="shared" si="4"/>
        <v>30.436049020586243</v>
      </c>
      <c r="AM17" s="62">
        <f t="shared" si="5"/>
        <v>304.21382679836404</v>
      </c>
      <c r="AN17" s="62">
        <f ca="1">AVERAGE(OFFSET($AM$3,0,0,'Données projet'!$E$10+1,1))-AVERAGE(OFFSET($H$3,0,0,'Données projet'!$E$10+1,1))</f>
        <v>370.04285308422544</v>
      </c>
      <c r="AO17" s="62">
        <f t="shared" si="36"/>
        <v>218.53758068502731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>
        <f>VLOOKUP(A17,'Données projet'!$A$87:$I$107,2,0)</f>
        <v>85.756500000000003</v>
      </c>
      <c r="BB17" s="13">
        <f>VLOOKUP(A17,'Données projet'!$A$87:$I$107,9,0)</f>
        <v>19.660499999999999</v>
      </c>
      <c r="BC17" s="13">
        <f t="array" ref="BC17">INDEX(BB:BB,MIN(IF(ISNUMBER(BB17:BB213),ROW(BB17:BB213),"")))</f>
        <v>19.660499999999999</v>
      </c>
      <c r="BD17" s="13">
        <f>IF('Données projet'!$A$88&gt;35,BD16+BC17-BL16,IF(A17&lt;'Données projet'!$A$88,$BA$205^A17,IF(A17='Données projet'!$A$88,'Données projet'!$B$88,BD16+BC17-BL16)))</f>
        <v>85.756500000000003</v>
      </c>
      <c r="BE17" s="14">
        <f>BD17*VLOOKUP('Données projet'!$B$11,Paramètres!$A$1:$I$88,3,0)*VLOOKUP('Données projet'!$B$11,Paramètres!$A$1:$I$88,5,0)</f>
        <v>51.282387000000007</v>
      </c>
      <c r="BF17" s="14">
        <f t="shared" si="37"/>
        <v>14.944451998773655</v>
      </c>
      <c r="BG17" s="22">
        <f t="shared" si="7"/>
        <v>115.34507792286411</v>
      </c>
      <c r="BH17" s="62">
        <f t="shared" si="8"/>
        <v>389.12285570064188</v>
      </c>
      <c r="BI17" s="62">
        <f ca="1">AVERAGE(OFFSET($BH$3,0,0,'Données projet'!$E$11+1,1))-AVERAGE(OFFSET($H$3,0,0,'Données projet'!$E$11+1,1))</f>
        <v>215.43249078216331</v>
      </c>
      <c r="BJ17" s="62">
        <f t="shared" si="38"/>
        <v>363.02009369315232</v>
      </c>
      <c r="BK17" s="16">
        <f>IF(ISNA(VLOOKUP(A17,'Données projet'!$A$87:$I$107,3,0)),0,VLOOKUP(A17,'Données projet'!$A$87:$I$107,3,0))</f>
        <v>1</v>
      </c>
      <c r="BL17" s="16">
        <f>IF(ISNA(VLOOKUP(A17,'Données projet'!$A$87:$I$107,4,0)),0,VLOOKUP(A17,'Données projet'!$A$87:$I$107,4,0))</f>
        <v>22.227499999999999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1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15.049682649175173</v>
      </c>
      <c r="BS17" s="24">
        <f t="shared" si="9"/>
        <v>15.049682649175173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projet'!$B$9,Paramètres!$A$1:$I$88,3,0)*VLOOKUP('Données projet'!$B$9,Paramètres!$A$1:$I$88,5,0)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309.74578000827665</v>
      </c>
      <c r="S18" s="62">
        <f ca="1">AVERAGE(OFFSET($R$3,0,0,'Données projet'!$E$9+1,1))-AVERAGE(OFFSET($H$3,0,0,'Données projet'!$E$9+1,1))</f>
        <v>430.21146937947236</v>
      </c>
      <c r="T18" s="62">
        <f t="shared" si="34"/>
        <v>231.36959598460686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projet'!$B$10,Paramètres!$A$1:$I$88,3,0)*VLOOKUP('Données projet'!$B$10,Paramètres!$A$1:$I$88,5,0)</f>
        <v>15.699701715471004</v>
      </c>
      <c r="AK18" s="14">
        <f t="shared" si="35"/>
        <v>5.250996235516082</v>
      </c>
      <c r="AL18" s="22">
        <f t="shared" si="4"/>
        <v>36.489132264635835</v>
      </c>
      <c r="AM18" s="62">
        <f t="shared" si="5"/>
        <v>311.48913226463583</v>
      </c>
      <c r="AN18" s="62">
        <f ca="1">AVERAGE(OFFSET($AM$3,0,0,'Données projet'!$E$10+1,1))-AVERAGE(OFFSET($H$3,0,0,'Données projet'!$E$10+1,1))</f>
        <v>370.04285308422544</v>
      </c>
      <c r="AO18" s="62">
        <f t="shared" si="36"/>
        <v>218.53758068502731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79.950999999999993</v>
      </c>
      <c r="BB18" s="13">
        <f>VLOOKUP(A18,'Données projet'!$A$87:$I$107,9,0)</f>
        <v>16.42199999999999</v>
      </c>
      <c r="BC18" s="13">
        <f t="array" ref="BC18">INDEX(BB:BB,MIN(IF(ISNUMBER(BB18:BB214),ROW(BB18:BB214),"")))</f>
        <v>16.42199999999999</v>
      </c>
      <c r="BD18" s="13">
        <f>IF('Données projet'!$A$88&gt;35,BD17+BC18-BL17,IF(A18&lt;'Données projet'!$A$88,$BA$205^A18,IF(A18='Données projet'!$A$88,'Données projet'!$B$88,BD17+BC18-BL17)))</f>
        <v>79.950999999999993</v>
      </c>
      <c r="BE18" s="14">
        <f>BD18*VLOOKUP('Données projet'!$B$11,Paramètres!$A$1:$I$88,3,0)*VLOOKUP('Données projet'!$B$11,Paramètres!$A$1:$I$88,5,0)</f>
        <v>47.810698000000002</v>
      </c>
      <c r="BF18" s="14">
        <f t="shared" si="37"/>
        <v>14.046898010995823</v>
      </c>
      <c r="BG18" s="22">
        <f t="shared" si="7"/>
        <v>107.7353130524844</v>
      </c>
      <c r="BH18" s="62">
        <f t="shared" si="8"/>
        <v>382.7353130524844</v>
      </c>
      <c r="BI18" s="62">
        <f ca="1">AVERAGE(OFFSET($BH$3,0,0,'Données projet'!$E$11+1,1))-AVERAGE(OFFSET($H$3,0,0,'Données projet'!$E$11+1,1))</f>
        <v>215.43249078216331</v>
      </c>
      <c r="BJ18" s="62">
        <f t="shared" si="38"/>
        <v>363.02009369315232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10.641732655937291</v>
      </c>
      <c r="BS18" s="24">
        <f t="shared" si="9"/>
        <v>10.641732655937291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projet'!$B$9,Paramètres!$A$1:$I$88,3,0)*VLOOKUP('Données projet'!$B$9,Paramètres!$A$1:$I$88,5,0)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317.88090656215792</v>
      </c>
      <c r="S19" s="62">
        <f ca="1">AVERAGE(OFFSET($R$3,0,0,'Données projet'!$E$9+1,1))-AVERAGE(OFFSET($H$3,0,0,'Données projet'!$E$9+1,1))</f>
        <v>430.21146937947236</v>
      </c>
      <c r="T19" s="62">
        <f t="shared" si="34"/>
        <v>231.36959598460686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projet'!$B$10,Paramètres!$A$1:$I$88,3,0)*VLOOKUP('Données projet'!$B$10,Paramètres!$A$1:$I$88,5,0)</f>
        <v>18.925783411855349</v>
      </c>
      <c r="AK19" s="14">
        <f t="shared" si="35"/>
        <v>6.1937954770768169</v>
      </c>
      <c r="AL19" s="22">
        <f t="shared" si="4"/>
        <v>43.749933231556859</v>
      </c>
      <c r="AM19" s="62">
        <f t="shared" si="5"/>
        <v>319.97215545377907</v>
      </c>
      <c r="AN19" s="62">
        <f ca="1">AVERAGE(OFFSET($AM$3,0,0,'Données projet'!$E$10+1,1))-AVERAGE(OFFSET($H$3,0,0,'Données projet'!$E$10+1,1))</f>
        <v>370.04285308422544</v>
      </c>
      <c r="AO19" s="62">
        <f t="shared" si="36"/>
        <v>218.53758068502731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>
        <f>VLOOKUP(A19,'Données projet'!$A$87:$I$107,2,0)</f>
        <v>90.686499999999995</v>
      </c>
      <c r="BB19" s="13">
        <f>VLOOKUP(A19,'Données projet'!$A$87:$I$107,9,0)</f>
        <v>10.735500000000002</v>
      </c>
      <c r="BC19" s="13">
        <f t="array" ref="BC19">INDEX(BB:BB,MIN(IF(ISNUMBER(BB19:BB215),ROW(BB19:BB215),"")))</f>
        <v>10.735500000000002</v>
      </c>
      <c r="BD19" s="13">
        <f>IF('Données projet'!$A$88&gt;35,BD18+BC19-BL18,IF(A19&lt;'Données projet'!$A$88,$BA$205^A19,IF(A19='Données projet'!$A$88,'Données projet'!$B$88,BD18+BC19-BL18)))</f>
        <v>90.686499999999995</v>
      </c>
      <c r="BE19" s="14">
        <f>BD19*VLOOKUP('Données projet'!$B$11,Paramètres!$A$1:$I$88,3,0)*VLOOKUP('Données projet'!$B$11,Paramètres!$A$1:$I$88,5,0)</f>
        <v>54.230527000000002</v>
      </c>
      <c r="BF19" s="14">
        <f t="shared" si="37"/>
        <v>15.701093813174976</v>
      </c>
      <c r="BG19" s="22">
        <f t="shared" si="7"/>
        <v>121.79757291627975</v>
      </c>
      <c r="BH19" s="62">
        <f t="shared" si="8"/>
        <v>398.01979513850199</v>
      </c>
      <c r="BI19" s="62">
        <f ca="1">AVERAGE(OFFSET($BH$3,0,0,'Données projet'!$E$11+1,1))-AVERAGE(OFFSET($H$3,0,0,'Données projet'!$E$11+1,1))</f>
        <v>215.43249078216331</v>
      </c>
      <c r="BJ19" s="62">
        <f t="shared" si="38"/>
        <v>363.02009369315232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7.5248413245875883</v>
      </c>
      <c r="BS19" s="24">
        <f t="shared" si="9"/>
        <v>7.5248413245875883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projet'!$B$9,Paramètres!$A$1:$I$88,3,0)*VLOOKUP('Données projet'!$B$9,Paramètres!$A$1:$I$88,5,0)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327.39580549186149</v>
      </c>
      <c r="S20" s="62">
        <f ca="1">AVERAGE(OFFSET($R$3,0,0,'Données projet'!$E$9+1,1))-AVERAGE(OFFSET($H$3,0,0,'Données projet'!$E$9+1,1))</f>
        <v>430.21146937947236</v>
      </c>
      <c r="T20" s="62">
        <f t="shared" si="34"/>
        <v>231.36959598460686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projet'!$B$10,Paramètres!$A$1:$I$88,3,0)*VLOOKUP('Données projet'!$B$10,Paramètres!$A$1:$I$88,5,0)</f>
        <v>22.814782359813346</v>
      </c>
      <c r="AK20" s="14">
        <f t="shared" si="35"/>
        <v>7.3058712463706073</v>
      </c>
      <c r="AL20" s="22">
        <f t="shared" si="4"/>
        <v>52.46013836410372</v>
      </c>
      <c r="AM20" s="62">
        <f t="shared" si="5"/>
        <v>329.90458280854818</v>
      </c>
      <c r="AN20" s="62">
        <f ca="1">AVERAGE(OFFSET($AM$3,0,0,'Données projet'!$E$10+1,1))-AVERAGE(OFFSET($H$3,0,0,'Données projet'!$E$10+1,1))</f>
        <v>370.04285308422544</v>
      </c>
      <c r="AO20" s="62">
        <f t="shared" si="36"/>
        <v>218.53758068502731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103.054</v>
      </c>
      <c r="BB20" s="13">
        <f>VLOOKUP(A20,'Données projet'!$A$87:$I$107,9,0)</f>
        <v>12.367500000000007</v>
      </c>
      <c r="BC20" s="13">
        <f t="array" ref="BC20">INDEX(BB:BB,MIN(IF(ISNUMBER(BB20:BB216),ROW(BB20:BB216),"")))</f>
        <v>12.367500000000007</v>
      </c>
      <c r="BD20" s="13">
        <f>IF('Données projet'!$A$88&gt;35,BD19+BC20-BL19,IF(A20&lt;'Données projet'!$A$88,$BA$205^A20,IF(A20='Données projet'!$A$88,'Données projet'!$B$88,BD19+BC20-BL19)))</f>
        <v>103.054</v>
      </c>
      <c r="BE20" s="14">
        <f>BD20*VLOOKUP('Données projet'!$B$11,Paramètres!$A$1:$I$88,3,0)*VLOOKUP('Données projet'!$B$11,Paramètres!$A$1:$I$88,5,0)</f>
        <v>61.626291999999999</v>
      </c>
      <c r="BF20" s="14">
        <f t="shared" si="37"/>
        <v>17.578804471187219</v>
      </c>
      <c r="BG20" s="22">
        <f t="shared" si="7"/>
        <v>137.94887635398439</v>
      </c>
      <c r="BH20" s="62">
        <f t="shared" si="8"/>
        <v>415.39332079842882</v>
      </c>
      <c r="BI20" s="62">
        <f ca="1">AVERAGE(OFFSET($BH$3,0,0,'Données projet'!$E$11+1,1))-AVERAGE(OFFSET($H$3,0,0,'Données projet'!$E$11+1,1))</f>
        <v>215.43249078216331</v>
      </c>
      <c r="BJ20" s="62">
        <f t="shared" si="38"/>
        <v>363.02009369315232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5.3208663279686466</v>
      </c>
      <c r="BS20" s="24">
        <f t="shared" si="9"/>
        <v>5.3208663279686466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projet'!$B$9,Paramètres!$A$1:$I$88,3,0)*VLOOKUP('Données projet'!$B$9,Paramètres!$A$1:$I$88,5,0)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338.56668739624723</v>
      </c>
      <c r="S21" s="62">
        <f ca="1">AVERAGE(OFFSET($R$3,0,0,'Données projet'!$E$9+1,1))-AVERAGE(OFFSET($H$3,0,0,'Données projet'!$E$9+1,1))</f>
        <v>430.21146937947236</v>
      </c>
      <c r="T21" s="62">
        <f t="shared" si="34"/>
        <v>231.36959598460686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projet'!$B$10,Paramètres!$A$1:$I$88,3,0)*VLOOKUP('Données projet'!$B$10,Paramètres!$A$1:$I$88,5,0)</f>
        <v>27.502919313743888</v>
      </c>
      <c r="AK21" s="14">
        <f t="shared" si="35"/>
        <v>8.6176165916501422</v>
      </c>
      <c r="AL21" s="22">
        <f t="shared" si="4"/>
        <v>62.909933368561269</v>
      </c>
      <c r="AM21" s="62">
        <f t="shared" si="5"/>
        <v>341.57660003522795</v>
      </c>
      <c r="AN21" s="62">
        <f ca="1">AVERAGE(OFFSET($AM$3,0,0,'Données projet'!$E$10+1,1))-AVERAGE(OFFSET($H$3,0,0,'Données projet'!$E$10+1,1))</f>
        <v>370.04285308422544</v>
      </c>
      <c r="AO21" s="62">
        <f t="shared" si="36"/>
        <v>218.53758068502731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116.78149999999999</v>
      </c>
      <c r="BB21" s="13">
        <f>VLOOKUP(A21,'Données projet'!$A$87:$I$107,9,0)</f>
        <v>13.727499999999992</v>
      </c>
      <c r="BC21" s="13">
        <f t="array" ref="BC21">INDEX(BB:BB,MIN(IF(ISNUMBER(BB21:BB217),ROW(BB21:BB217),"")))</f>
        <v>13.727499999999992</v>
      </c>
      <c r="BD21" s="13">
        <f>IF('Données projet'!$A$88&gt;35,BD20+BC21-BL20,IF(A21&lt;'Données projet'!$A$88,$BA$205^A21,IF(A21='Données projet'!$A$88,'Données projet'!$B$88,BD20+BC21-BL20)))</f>
        <v>116.78149999999999</v>
      </c>
      <c r="BE21" s="14">
        <f>BD21*VLOOKUP('Données projet'!$B$11,Paramètres!$A$1:$I$88,3,0)*VLOOKUP('Données projet'!$B$11,Paramètres!$A$1:$I$88,5,0)</f>
        <v>69.83533700000001</v>
      </c>
      <c r="BF21" s="14">
        <f t="shared" si="37"/>
        <v>19.632560341829297</v>
      </c>
      <c r="BG21" s="22">
        <f t="shared" si="7"/>
        <v>155.82325453701938</v>
      </c>
      <c r="BH21" s="62">
        <f t="shared" si="8"/>
        <v>434.48992120368609</v>
      </c>
      <c r="BI21" s="62">
        <f ca="1">AVERAGE(OFFSET($BH$3,0,0,'Données projet'!$E$11+1,1))-AVERAGE(OFFSET($H$3,0,0,'Données projet'!$E$11+1,1))</f>
        <v>215.43249078216331</v>
      </c>
      <c r="BJ21" s="62">
        <f t="shared" si="38"/>
        <v>363.02009369315232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3.7624206622937946</v>
      </c>
      <c r="BS21" s="24">
        <f t="shared" si="9"/>
        <v>3.7624206622937946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projet'!$B$9,Paramètres!$A$1:$I$88,3,0)*VLOOKUP('Données projet'!$B$9,Paramètres!$A$1:$I$88,5,0)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351.72520722798015</v>
      </c>
      <c r="S22" s="62">
        <f ca="1">AVERAGE(OFFSET($R$3,0,0,'Données projet'!$E$9+1,1))-AVERAGE(OFFSET($H$3,0,0,'Données projet'!$E$9+1,1))</f>
        <v>430.21146937947236</v>
      </c>
      <c r="T22" s="62">
        <f t="shared" si="34"/>
        <v>231.36959598460686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projet'!$B$10,Paramètres!$A$1:$I$88,3,0)*VLOOKUP('Données projet'!$B$10,Paramètres!$A$1:$I$88,5,0)</f>
        <v>33.154406596955802</v>
      </c>
      <c r="AK22" s="14">
        <f t="shared" si="35"/>
        <v>10.16488153381791</v>
      </c>
      <c r="AL22" s="22">
        <f t="shared" si="4"/>
        <v>75.447760161097548</v>
      </c>
      <c r="AM22" s="62">
        <f t="shared" si="5"/>
        <v>355.33664904998642</v>
      </c>
      <c r="AN22" s="62">
        <f ca="1">AVERAGE(OFFSET($AM$3,0,0,'Données projet'!$E$10+1,1))-AVERAGE(OFFSET($H$3,0,0,'Données projet'!$E$10+1,1))</f>
        <v>370.04285308422544</v>
      </c>
      <c r="AO22" s="62">
        <f t="shared" si="36"/>
        <v>218.53758068502731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>
        <f>VLOOKUP(A22,'Données projet'!$A$87:$I$107,2,0)</f>
        <v>134.41899999999998</v>
      </c>
      <c r="BB22" s="13">
        <f>VLOOKUP(A22,'Données projet'!$A$87:$I$107,9,0)</f>
        <v>17.637499999999989</v>
      </c>
      <c r="BC22" s="13">
        <f t="array" ref="BC22">INDEX(BB:BB,MIN(IF(ISNUMBER(BB22:BB218),ROW(BB22:BB218),"")))</f>
        <v>17.637499999999989</v>
      </c>
      <c r="BD22" s="13">
        <f>IF('Données projet'!$A$88&gt;35,BD21+BC22-BL21,IF(A22&lt;'Données projet'!$A$88,$BA$205^A22,IF(A22='Données projet'!$A$88,'Données projet'!$B$88,BD21+BC22-BL21)))</f>
        <v>134.41899999999998</v>
      </c>
      <c r="BE22" s="14">
        <f>BD22*VLOOKUP('Données projet'!$B$11,Paramètres!$A$1:$I$88,3,0)*VLOOKUP('Données projet'!$B$11,Paramètres!$A$1:$I$88,5,0)</f>
        <v>80.382561999999993</v>
      </c>
      <c r="BF22" s="14">
        <f t="shared" si="37"/>
        <v>22.230696539664962</v>
      </c>
      <c r="BG22" s="22">
        <f t="shared" si="7"/>
        <v>178.71809195658315</v>
      </c>
      <c r="BH22" s="62">
        <f t="shared" si="8"/>
        <v>458.60698084547198</v>
      </c>
      <c r="BI22" s="62">
        <f ca="1">AVERAGE(OFFSET($BH$3,0,0,'Données projet'!$E$11+1,1))-AVERAGE(OFFSET($H$3,0,0,'Données projet'!$E$11+1,1))</f>
        <v>215.43249078216331</v>
      </c>
      <c r="BJ22" s="62">
        <f t="shared" si="38"/>
        <v>363.02009369315232</v>
      </c>
      <c r="BK22" s="16">
        <f>IF(ISNA(VLOOKUP(A22,'Données projet'!$A$87:$I$107,3,0)),0,VLOOKUP(A22,'Données projet'!$A$87:$I$107,3,0))</f>
        <v>2</v>
      </c>
      <c r="BL22" s="16">
        <f>IF(ISNA(VLOOKUP(A22,'Données projet'!$A$87:$I$107,4,0)),0,VLOOKUP(A22,'Données projet'!$A$87:$I$107,4,0))</f>
        <v>34.884</v>
      </c>
      <c r="BM22" s="17">
        <f>IF(ISNA(VLOOKUP(A22,'Données projet'!$A$87:$I$107,5,0)),0%,VLOOKUP(A22,'Données projet'!$A$87:$I$107,5,0)*VLOOKUP('Données projet'!$B$11,Paramètres!$A$1:$I$88,7,0))</f>
        <v>0.1125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0.75</v>
      </c>
      <c r="BP22" s="23">
        <f>EXP(-LN(2)/35)*BP21+(1-EXP(-LN(2)/35))/(LN(2)/35)*BL22*BM22*VLOOKUP('Données projet'!$B$11,Paramètres!$A$1:$I$88,3,0)*0.475*44/12</f>
        <v>3.1132094545355229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20.374744136894908</v>
      </c>
      <c r="BS22" s="24">
        <f t="shared" si="9"/>
        <v>23.487953591430429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projet'!$B$9,Paramètres!$A$1:$I$88,3,0)*VLOOKUP('Données projet'!$B$9,Paramètres!$A$1:$I$88,5,0)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367.26962158162712</v>
      </c>
      <c r="S23" s="62">
        <f ca="1">AVERAGE(OFFSET($R$3,0,0,'Données projet'!$E$9+1,1))-AVERAGE(OFFSET($H$3,0,0,'Données projet'!$E$9+1,1))</f>
        <v>430.21146937947236</v>
      </c>
      <c r="T23" s="62">
        <f t="shared" si="34"/>
        <v>231.36959598460686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projet'!$B$10,Paramètres!$A$1:$I$88,3,0)*VLOOKUP('Données projet'!$B$10,Paramètres!$A$1:$I$88,5,0)</f>
        <v>39.967200000000005</v>
      </c>
      <c r="AK23" s="14">
        <f t="shared" si="35"/>
        <v>11.989952848060872</v>
      </c>
      <c r="AL23" s="22">
        <f t="shared" si="4"/>
        <v>90.49204121037269</v>
      </c>
      <c r="AM23" s="62">
        <f t="shared" si="5"/>
        <v>371.60315232148383</v>
      </c>
      <c r="AN23" s="62">
        <f ca="1">AVERAGE(OFFSET($AM$3,0,0,'Données projet'!$E$10+1,1))-AVERAGE(OFFSET($H$3,0,0,'Données projet'!$E$10+1,1))</f>
        <v>370.04285308422544</v>
      </c>
      <c r="AO23" s="62">
        <f t="shared" si="36"/>
        <v>218.53758068502731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116.926</v>
      </c>
      <c r="BB23" s="13">
        <f>VLOOKUP(A23,'Données projet'!$A$87:$I$107,9,0)</f>
        <v>17.39100000000002</v>
      </c>
      <c r="BC23" s="13">
        <f t="array" ref="BC23">INDEX(BB:BB,MIN(IF(ISNUMBER(BB23:BB219),ROW(BB23:BB219),"")))</f>
        <v>17.39100000000002</v>
      </c>
      <c r="BD23" s="13">
        <f>IF('Données projet'!$A$88&gt;35,BD22+BC23-BL22,IF(A23&lt;'Données projet'!$A$88,$BA$205^A23,IF(A23='Données projet'!$A$88,'Données projet'!$B$88,BD22+BC23-BL22)))</f>
        <v>116.926</v>
      </c>
      <c r="BE23" s="14">
        <f>BD23*VLOOKUP('Données projet'!$B$11,Paramètres!$A$1:$I$88,3,0)*VLOOKUP('Données projet'!$B$11,Paramètres!$A$1:$I$88,5,0)</f>
        <v>69.921748000000008</v>
      </c>
      <c r="BF23" s="14">
        <f t="shared" si="37"/>
        <v>19.654023576993847</v>
      </c>
      <c r="BG23" s="22">
        <f t="shared" si="7"/>
        <v>156.01113549659763</v>
      </c>
      <c r="BH23" s="62">
        <f t="shared" si="8"/>
        <v>437.1222466077088</v>
      </c>
      <c r="BI23" s="62">
        <f ca="1">AVERAGE(OFFSET($BH$3,0,0,'Données projet'!$E$11+1,1))-AVERAGE(OFFSET($H$3,0,0,'Données projet'!$E$11+1,1))</f>
        <v>215.43249078216331</v>
      </c>
      <c r="BJ23" s="62">
        <f t="shared" si="38"/>
        <v>363.02009369315232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3.0521613160023509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14.407119744139241</v>
      </c>
      <c r="BS23" s="24">
        <f t="shared" si="9"/>
        <v>17.459281060141592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projet'!$B$9,Paramètres!$A$1:$I$88,3,0)*VLOOKUP('Données projet'!$B$9,Paramètres!$A$1:$I$88,5,0)</f>
        <v>43.068480000000001</v>
      </c>
      <c r="P24" s="14">
        <f t="shared" si="33"/>
        <v>12.808416415102187</v>
      </c>
      <c r="Q24" s="22">
        <f t="shared" si="2"/>
        <v>97.318927922969635</v>
      </c>
      <c r="R24" s="62">
        <f t="shared" si="0"/>
        <v>379.65226125630295</v>
      </c>
      <c r="S24" s="62">
        <f ca="1">AVERAGE(OFFSET($R$3,0,0,'Données projet'!$E$9+1,1))-AVERAGE(OFFSET($H$3,0,0,'Données projet'!$E$9+1,1))</f>
        <v>430.21146937947236</v>
      </c>
      <c r="T24" s="62">
        <f t="shared" si="34"/>
        <v>231.36959598460686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5.8</v>
      </c>
      <c r="AI24" s="14">
        <f>IF('Données projet'!$A$62&gt;35,AI23+AH24-AQ23,IF(A24&lt;'Données projet'!$A$62,$AF$205^A24,IF(A24='Données projet'!$A$62,'Données projet'!$B$62,AI23+AH24-AQ23)))</f>
        <v>47.8</v>
      </c>
      <c r="AJ24" s="14">
        <f>AI24*VLOOKUP('Données projet'!$B$10,Paramètres!$A$1:$I$88,3,0)*VLOOKUP('Données projet'!$B$10,Paramètres!$A$1:$I$88,5,0)</f>
        <v>45.48648</v>
      </c>
      <c r="AK24" s="14">
        <f t="shared" si="35"/>
        <v>13.441783360032177</v>
      </c>
      <c r="AL24" s="22">
        <f t="shared" si="4"/>
        <v>102.6333920187227</v>
      </c>
      <c r="AM24" s="62">
        <f t="shared" si="5"/>
        <v>384.96672535205602</v>
      </c>
      <c r="AN24" s="62">
        <f ca="1">AVERAGE(OFFSET($AM$3,0,0,'Données projet'!$E$10+1,1))-AVERAGE(OFFSET($H$3,0,0,'Données projet'!$E$10+1,1))</f>
        <v>370.04285308422544</v>
      </c>
      <c r="AO24" s="62">
        <f t="shared" si="36"/>
        <v>218.53758068502731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>
        <f>VLOOKUP(A24,'Données projet'!$A$87:$I$107,2,0)</f>
        <v>134.99699999999999</v>
      </c>
      <c r="BB24" s="13">
        <f>VLOOKUP(A24,'Données projet'!$A$87:$I$107,9,0)</f>
        <v>18.070999999999984</v>
      </c>
      <c r="BC24" s="13">
        <f t="array" ref="BC24">INDEX(BB:BB,MIN(IF(ISNUMBER(BB24:BB220),ROW(BB24:BB220),"")))</f>
        <v>18.070999999999984</v>
      </c>
      <c r="BD24" s="13">
        <f>IF('Données projet'!$A$88&gt;35,BD23+BC24-BL23,IF(A24&lt;'Données projet'!$A$88,$BA$205^A24,IF(A24='Données projet'!$A$88,'Données projet'!$B$88,BD23+BC24-BL23)))</f>
        <v>134.99699999999999</v>
      </c>
      <c r="BE24" s="14">
        <f>BD24*VLOOKUP('Données projet'!$B$11,Paramètres!$A$1:$I$88,3,0)*VLOOKUP('Données projet'!$B$11,Paramètres!$A$1:$I$88,5,0)</f>
        <v>80.728206</v>
      </c>
      <c r="BF24" s="14">
        <f t="shared" si="37"/>
        <v>22.315140273766989</v>
      </c>
      <c r="BG24" s="22">
        <f t="shared" si="7"/>
        <v>179.4671614268108</v>
      </c>
      <c r="BH24" s="62">
        <f t="shared" si="8"/>
        <v>461.80049476014415</v>
      </c>
      <c r="BI24" s="62">
        <f ca="1">AVERAGE(OFFSET($BH$3,0,0,'Données projet'!$E$11+1,1))-AVERAGE(OFFSET($H$3,0,0,'Données projet'!$E$11+1,1))</f>
        <v>215.43249078216331</v>
      </c>
      <c r="BJ24" s="62">
        <f t="shared" si="38"/>
        <v>363.02009369315232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2.9923102942301263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10.187372068447456</v>
      </c>
      <c r="BS24" s="24">
        <f t="shared" si="9"/>
        <v>13.179682362677582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projet'!$B$9,Paramètres!$A$1:$I$88,3,0)*VLOOKUP('Données projet'!$B$9,Paramètres!$A$1:$I$88,5,0)</f>
        <v>48.135359999999999</v>
      </c>
      <c r="P25" s="14">
        <f t="shared" si="33"/>
        <v>14.131148275361113</v>
      </c>
      <c r="Q25" s="22">
        <f t="shared" si="2"/>
        <v>108.4475019129206</v>
      </c>
      <c r="R25" s="62">
        <f t="shared" si="0"/>
        <v>392.00305746847613</v>
      </c>
      <c r="S25" s="62">
        <f ca="1">AVERAGE(OFFSET($R$3,0,0,'Données projet'!$E$9+1,1))-AVERAGE(OFFSET($H$3,0,0,'Données projet'!$E$9+1,1))</f>
        <v>430.21146937947236</v>
      </c>
      <c r="T25" s="62">
        <f t="shared" si="34"/>
        <v>231.36959598460686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5.8</v>
      </c>
      <c r="AI25" s="14">
        <f>IF('Données projet'!$A$62&gt;35,AI24+AH25-AQ24,IF(A25&lt;'Données projet'!$A$62,$AF$205^A25,IF(A25='Données projet'!$A$62,'Données projet'!$B$62,AI24+AH25-AQ24)))</f>
        <v>53.599999999999994</v>
      </c>
      <c r="AJ25" s="14">
        <f>AI25*VLOOKUP('Données projet'!$B$10,Paramètres!$A$1:$I$88,3,0)*VLOOKUP('Données projet'!$B$10,Paramètres!$A$1:$I$88,5,0)</f>
        <v>51.005759999999995</v>
      </c>
      <c r="AK25" s="14">
        <f t="shared" si="35"/>
        <v>14.873199740573781</v>
      </c>
      <c r="AL25" s="22">
        <f t="shared" si="4"/>
        <v>114.73918821483265</v>
      </c>
      <c r="AM25" s="62">
        <f t="shared" si="5"/>
        <v>398.29474377038821</v>
      </c>
      <c r="AN25" s="62">
        <f ca="1">AVERAGE(OFFSET($AM$3,0,0,'Données projet'!$E$10+1,1))-AVERAGE(OFFSET($H$3,0,0,'Données projet'!$E$10+1,1))</f>
        <v>370.04285308422544</v>
      </c>
      <c r="AO25" s="62">
        <f t="shared" si="36"/>
        <v>218.53758068502731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153.935</v>
      </c>
      <c r="BB25" s="13">
        <f>VLOOKUP(A25,'Données projet'!$A$87:$I$107,9,0)</f>
        <v>18.938000000000017</v>
      </c>
      <c r="BC25" s="13">
        <f t="array" ref="BC25">INDEX(BB:BB,MIN(IF(ISNUMBER(BB25:BB221),ROW(BB25:BB221),"")))</f>
        <v>18.938000000000017</v>
      </c>
      <c r="BD25" s="13">
        <f>IF('Données projet'!$A$88&gt;35,BD24+BC25-BL24,IF(A25&lt;'Données projet'!$A$88,$BA$205^A25,IF(A25='Données projet'!$A$88,'Données projet'!$B$88,BD24+BC25-BL24)))</f>
        <v>153.935</v>
      </c>
      <c r="BE25" s="14">
        <f>BD25*VLOOKUP('Données projet'!$B$11,Paramètres!$A$1:$I$88,3,0)*VLOOKUP('Données projet'!$B$11,Paramètres!$A$1:$I$88,5,0)</f>
        <v>92.05313000000001</v>
      </c>
      <c r="BF25" s="14">
        <f t="shared" si="37"/>
        <v>25.059738598655201</v>
      </c>
      <c r="BG25" s="22">
        <f t="shared" si="7"/>
        <v>203.97157947599115</v>
      </c>
      <c r="BH25" s="62">
        <f t="shared" si="8"/>
        <v>487.52713503154666</v>
      </c>
      <c r="BI25" s="62">
        <f ca="1">AVERAGE(OFFSET($BH$3,0,0,'Données projet'!$E$11+1,1))-AVERAGE(OFFSET($H$3,0,0,'Données projet'!$E$11+1,1))</f>
        <v>215.43249078216331</v>
      </c>
      <c r="BJ25" s="62">
        <f t="shared" si="38"/>
        <v>363.02009369315232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2.9336329144893365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7.2035598720696212</v>
      </c>
      <c r="BS25" s="24">
        <f t="shared" si="9"/>
        <v>10.137192786558957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projet'!$B$9,Paramètres!$A$1:$I$88,3,0)*VLOOKUP('Données projet'!$B$9,Paramètres!$A$1:$I$88,5,0)</f>
        <v>53.202240000000003</v>
      </c>
      <c r="P26" s="14">
        <f t="shared" si="33"/>
        <v>15.437740642425908</v>
      </c>
      <c r="Q26" s="22">
        <f t="shared" si="2"/>
        <v>119.54796628555846</v>
      </c>
      <c r="R26" s="62">
        <f t="shared" si="0"/>
        <v>404.32574406333623</v>
      </c>
      <c r="S26" s="62">
        <f ca="1">AVERAGE(OFFSET($R$3,0,0,'Données projet'!$E$9+1,1))-AVERAGE(OFFSET($H$3,0,0,'Données projet'!$E$9+1,1))</f>
        <v>430.21146937947236</v>
      </c>
      <c r="T26" s="62">
        <f t="shared" si="34"/>
        <v>231.36959598460686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5.8</v>
      </c>
      <c r="AI26" s="14">
        <f>IF('Données projet'!$A$62&gt;35,AI25+AH26-AQ25,IF(A26&lt;'Données projet'!$A$62,$AF$205^A26,IF(A26='Données projet'!$A$62,'Données projet'!$B$62,AI25+AH26-AQ25)))</f>
        <v>59.399999999999991</v>
      </c>
      <c r="AJ26" s="14">
        <f>AI26*VLOOKUP('Données projet'!$B$10,Paramètres!$A$1:$I$88,3,0)*VLOOKUP('Données projet'!$B$10,Paramètres!$A$1:$I$88,5,0)</f>
        <v>56.525039999999997</v>
      </c>
      <c r="AK26" s="14">
        <f t="shared" si="35"/>
        <v>16.286662806220342</v>
      </c>
      <c r="AL26" s="22">
        <f t="shared" si="4"/>
        <v>126.81371572083374</v>
      </c>
      <c r="AM26" s="62">
        <f t="shared" si="5"/>
        <v>411.5914934986115</v>
      </c>
      <c r="AN26" s="62">
        <f ca="1">AVERAGE(OFFSET($AM$3,0,0,'Données projet'!$E$10+1,1))-AVERAGE(OFFSET($H$3,0,0,'Données projet'!$E$10+1,1))</f>
        <v>370.04285308422544</v>
      </c>
      <c r="AO26" s="62">
        <f t="shared" si="36"/>
        <v>218.53758068502731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>
        <f>VLOOKUP(A26,'Données projet'!$A$87:$I$107,2,0)</f>
        <v>173.60400000000001</v>
      </c>
      <c r="BB26" s="13">
        <f>VLOOKUP(A26,'Données projet'!$A$87:$I$107,9,0)</f>
        <v>19.669000000000011</v>
      </c>
      <c r="BC26" s="13">
        <f t="array" ref="BC26">INDEX(BB:BB,MIN(IF(ISNUMBER(BB26:BB222),ROW(BB26:BB222),"")))</f>
        <v>19.669000000000011</v>
      </c>
      <c r="BD26" s="13">
        <f>IF('Données projet'!$A$88&gt;35,BD25+BC26-BL25,IF(A26&lt;'Données projet'!$A$88,$BA$205^A26,IF(A26='Données projet'!$A$88,'Données projet'!$B$88,BD25+BC26-BL25)))</f>
        <v>173.60400000000001</v>
      </c>
      <c r="BE26" s="14">
        <f>BD26*VLOOKUP('Données projet'!$B$11,Paramètres!$A$1:$I$88,3,0)*VLOOKUP('Données projet'!$B$11,Paramètres!$A$1:$I$88,5,0)</f>
        <v>103.81519200000001</v>
      </c>
      <c r="BF26" s="14">
        <f t="shared" si="37"/>
        <v>27.868924323703233</v>
      </c>
      <c r="BG26" s="22">
        <f t="shared" si="7"/>
        <v>229.34983593044981</v>
      </c>
      <c r="BH26" s="62">
        <f t="shared" si="8"/>
        <v>514.12761370822761</v>
      </c>
      <c r="BI26" s="62">
        <f ca="1">AVERAGE(OFFSET($BH$3,0,0,'Données projet'!$E$11+1,1))-AVERAGE(OFFSET($H$3,0,0,'Données projet'!$E$11+1,1))</f>
        <v>215.43249078216331</v>
      </c>
      <c r="BJ26" s="62">
        <f t="shared" si="38"/>
        <v>363.02009369315232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2.8761061623755957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5.0936860342237287</v>
      </c>
      <c r="BS26" s="24">
        <f t="shared" si="9"/>
        <v>7.9697921965993244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projet'!$B$9,Paramètres!$A$1:$I$88,3,0)*VLOOKUP('Données projet'!$B$9,Paramètres!$A$1:$I$88,5,0)</f>
        <v>58.269120000000008</v>
      </c>
      <c r="P27" s="14">
        <f t="shared" si="33"/>
        <v>16.729905486873804</v>
      </c>
      <c r="Q27" s="22">
        <f t="shared" si="2"/>
        <v>130.62330272297189</v>
      </c>
      <c r="R27" s="62">
        <f t="shared" si="0"/>
        <v>416.62330272297186</v>
      </c>
      <c r="S27" s="62">
        <f ca="1">AVERAGE(OFFSET($R$3,0,0,'Données projet'!$E$9+1,1))-AVERAGE(OFFSET($H$3,0,0,'Données projet'!$E$9+1,1))</f>
        <v>430.21146937947236</v>
      </c>
      <c r="T27" s="62">
        <f t="shared" si="34"/>
        <v>231.36959598460686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5.8</v>
      </c>
      <c r="AI27" s="14">
        <f>IF('Données projet'!$A$62&gt;35,AI26+AH27-AQ26,IF(A27&lt;'Données projet'!$A$62,$AF$205^A27,IF(A27='Données projet'!$A$62,'Données projet'!$B$62,AI26+AH27-AQ26)))</f>
        <v>65.199999999999989</v>
      </c>
      <c r="AJ27" s="14">
        <f>AI27*VLOOKUP('Données projet'!$B$10,Paramètres!$A$1:$I$88,3,0)*VLOOKUP('Données projet'!$B$10,Paramètres!$A$1:$I$88,5,0)</f>
        <v>62.044319999999992</v>
      </c>
      <c r="AK27" s="14">
        <f t="shared" si="35"/>
        <v>17.684125070460286</v>
      </c>
      <c r="AL27" s="22">
        <f t="shared" si="4"/>
        <v>138.86037516438498</v>
      </c>
      <c r="AM27" s="62">
        <f t="shared" si="5"/>
        <v>424.860375164385</v>
      </c>
      <c r="AN27" s="62">
        <f ca="1">AVERAGE(OFFSET($AM$3,0,0,'Données projet'!$E$10+1,1))-AVERAGE(OFFSET($H$3,0,0,'Données projet'!$E$10+1,1))</f>
        <v>370.04285308422544</v>
      </c>
      <c r="AO27" s="62">
        <f t="shared" si="36"/>
        <v>218.53758068502731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>
        <f>VLOOKUP(A27,'Données projet'!$A$87:$I$107,2,0)</f>
        <v>194.4375</v>
      </c>
      <c r="BB27" s="13">
        <f>VLOOKUP(A27,'Données projet'!$A$87:$I$107,9,0)</f>
        <v>20.833499999999987</v>
      </c>
      <c r="BC27" s="13">
        <f t="array" ref="BC27">INDEX(BB:BB,MIN(IF(ISNUMBER(BB27:BB223),ROW(BB27:BB223),"")))</f>
        <v>20.833499999999987</v>
      </c>
      <c r="BD27" s="13">
        <f>IF('Données projet'!$A$88&gt;35,BD26+BC27-BL26,IF(A27&lt;'Données projet'!$A$88,$BA$205^A27,IF(A27='Données projet'!$A$88,'Données projet'!$B$88,BD26+BC27-BL26)))</f>
        <v>194.4375</v>
      </c>
      <c r="BE27" s="14">
        <f>BD27*VLOOKUP('Données projet'!$B$11,Paramètres!$A$1:$I$88,3,0)*VLOOKUP('Données projet'!$B$11,Paramètres!$A$1:$I$88,5,0)</f>
        <v>116.27362500000002</v>
      </c>
      <c r="BF27" s="14">
        <f t="shared" si="37"/>
        <v>30.804294318003453</v>
      </c>
      <c r="BG27" s="22">
        <f t="shared" si="7"/>
        <v>256.16070947885601</v>
      </c>
      <c r="BH27" s="62">
        <f t="shared" si="8"/>
        <v>542.16070947885601</v>
      </c>
      <c r="BI27" s="62">
        <f ca="1">AVERAGE(OFFSET($BH$3,0,0,'Données projet'!$E$11+1,1))-AVERAGE(OFFSET($H$3,0,0,'Données projet'!$E$11+1,1))</f>
        <v>215.43249078216331</v>
      </c>
      <c r="BJ27" s="62">
        <f t="shared" si="38"/>
        <v>363.02009369315232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2.8197074747829514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3.6017799360348115</v>
      </c>
      <c r="BS27" s="24">
        <f t="shared" si="9"/>
        <v>6.4214874108177629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projet'!$B$9,Paramètres!$A$1:$I$88,3,0)*VLOOKUP('Données projet'!$B$9,Paramètres!$A$1:$I$88,5,0)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430.21146937947236</v>
      </c>
      <c r="T28" s="62">
        <f t="shared" si="34"/>
        <v>231.36959598460686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5.8</v>
      </c>
      <c r="AH28" s="13">
        <f t="array" ref="AH28">INDEX(AG:AG,MIN(IF(ISNUMBER(AG28:AG224),ROW(AG28:AG224),"")))</f>
        <v>5.8</v>
      </c>
      <c r="AI28" s="14">
        <f>IF('Données projet'!$A$62&gt;35,AI27+AH28-AQ27,IF(A28&lt;'Données projet'!$A$62,$AF$205^A28,IF(A28='Données projet'!$A$62,'Données projet'!$B$62,AI27+AH28-AQ27)))</f>
        <v>70.999999999999986</v>
      </c>
      <c r="AJ28" s="14">
        <f>AI28*VLOOKUP('Données projet'!$B$10,Paramètres!$A$1:$I$88,3,0)*VLOOKUP('Données projet'!$B$10,Paramètres!$A$1:$I$88,5,0)</f>
        <v>67.56359999999998</v>
      </c>
      <c r="AK28" s="14">
        <f t="shared" si="35"/>
        <v>19.067171775042549</v>
      </c>
      <c r="AL28" s="22">
        <f t="shared" si="4"/>
        <v>150.88192750819908</v>
      </c>
      <c r="AM28" s="62">
        <f t="shared" si="5"/>
        <v>438.10414973042134</v>
      </c>
      <c r="AN28" s="62">
        <f ca="1">AVERAGE(OFFSET($AM$3,0,0,'Données projet'!$E$10+1,1))-AVERAGE(OFFSET($H$3,0,0,'Données projet'!$E$10+1,1))</f>
        <v>370.04285308422544</v>
      </c>
      <c r="AO28" s="62">
        <f t="shared" si="36"/>
        <v>218.53758068502731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16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215.6875</v>
      </c>
      <c r="BB28" s="13">
        <f>VLOOKUP(A28,'Données projet'!$A$87:$I$107,9,0)</f>
        <v>21.25</v>
      </c>
      <c r="BC28" s="13">
        <f t="array" ref="BC28">INDEX(BB:BB,MIN(IF(ISNUMBER(BB28:BB224),ROW(BB28:BB224),"")))</f>
        <v>21.25</v>
      </c>
      <c r="BD28" s="13">
        <f>IF('Données projet'!$A$88&gt;35,BD27+BC28-BL27,IF(A28&lt;'Données projet'!$A$88,$BA$205^A28,IF(A28='Données projet'!$A$88,'Données projet'!$B$88,BD27+BC28-BL27)))</f>
        <v>215.6875</v>
      </c>
      <c r="BE28" s="14">
        <f>BD28*VLOOKUP('Données projet'!$B$11,Paramètres!$A$1:$I$88,3,0)*VLOOKUP('Données projet'!$B$11,Paramètres!$A$1:$I$88,5,0)</f>
        <v>128.98112500000002</v>
      </c>
      <c r="BF28" s="14">
        <f t="shared" si="37"/>
        <v>33.760819529650334</v>
      </c>
      <c r="BG28" s="22">
        <f t="shared" si="7"/>
        <v>283.4422200558077</v>
      </c>
      <c r="BH28" s="62">
        <f t="shared" si="8"/>
        <v>570.66444227802992</v>
      </c>
      <c r="BI28" s="62">
        <f ca="1">AVERAGE(OFFSET($BH$3,0,0,'Données projet'!$E$11+1,1))-AVERAGE(OFFSET($H$3,0,0,'Données projet'!$E$11+1,1))</f>
        <v>215.43249078216331</v>
      </c>
      <c r="BJ28" s="62">
        <f t="shared" si="38"/>
        <v>363.02009369315232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54.026000000000003</v>
      </c>
      <c r="BM28" s="17">
        <f>IF(ISNA(VLOOKUP(A28,'Données projet'!$A$87:$I$107,5,0)),0%,VLOOKUP(A28,'Données projet'!$A$87:$I$107,5,0)*VLOOKUP('Données projet'!$B$11,Paramètres!$A$1:$I$88,7,0))</f>
        <v>0.1125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0.75</v>
      </c>
      <c r="BP28" s="23">
        <f>EXP(-LN(2)/35)*BP27+(1-EXP(-LN(2)/35))/(LN(2)/35)*BL28*BM28*VLOOKUP('Données projet'!$B$11,Paramètres!$A$1:$I$88,3,0)*0.475*44/12</f>
        <v>7.5859447732149619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29.981579991726804</v>
      </c>
      <c r="BS28" s="24">
        <f t="shared" si="9"/>
        <v>37.567524764941766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projet'!$B$9,Paramètres!$A$1:$I$88,3,0)*VLOOKUP('Données projet'!$B$9,Paramètres!$A$1:$I$88,5,0)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428.14827288949664</v>
      </c>
      <c r="S29" s="62">
        <f ca="1">AVERAGE(OFFSET($R$3,0,0,'Données projet'!$E$9+1,1))-AVERAGE(OFFSET($H$3,0,0,'Données projet'!$E$9+1,1))</f>
        <v>430.21146937947236</v>
      </c>
      <c r="T29" s="62">
        <f t="shared" si="34"/>
        <v>231.36959598460686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6.2</v>
      </c>
      <c r="AI29" s="14">
        <f>IF('Données projet'!$A$62&gt;35,AI28+AH29-AQ28,IF(A29&lt;'Données projet'!$A$62,$AF$205^A29,IF(A29='Données projet'!$A$62,'Données projet'!$B$62,AI28+AH29-AQ28)))</f>
        <v>61.199999999999989</v>
      </c>
      <c r="AJ29" s="14">
        <f>AI29*VLOOKUP('Données projet'!$B$10,Paramètres!$A$1:$I$88,3,0)*VLOOKUP('Données projet'!$B$10,Paramètres!$A$1:$I$88,5,0)</f>
        <v>58.237919999999995</v>
      </c>
      <c r="AK29" s="14">
        <f t="shared" si="35"/>
        <v>16.72198997753117</v>
      </c>
      <c r="AL29" s="22">
        <f t="shared" si="4"/>
        <v>130.55517654420012</v>
      </c>
      <c r="AM29" s="62">
        <f t="shared" si="5"/>
        <v>418.99962098864455</v>
      </c>
      <c r="AN29" s="62">
        <f ca="1">AVERAGE(OFFSET($AM$3,0,0,'Données projet'!$E$10+1,1))-AVERAGE(OFFSET($H$3,0,0,'Données projet'!$E$10+1,1))</f>
        <v>370.04285308422544</v>
      </c>
      <c r="AO29" s="62">
        <f t="shared" si="36"/>
        <v>218.53758068502731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>
        <f>VLOOKUP(A29,'Données projet'!$A$87:$I$107,2,0)</f>
        <v>178.755</v>
      </c>
      <c r="BB29" s="13">
        <f>VLOOKUP(A29,'Données projet'!$A$87:$I$107,9,0)</f>
        <v>17.093500000000006</v>
      </c>
      <c r="BC29" s="13">
        <f t="array" ref="BC29">INDEX(BB:BB,MIN(IF(ISNUMBER(BB29:BB225),ROW(BB29:BB225),"")))</f>
        <v>17.093500000000006</v>
      </c>
      <c r="BD29" s="13">
        <f>IF('Données projet'!$A$88&gt;35,BD28+BC29-BL28,IF(A29&lt;'Données projet'!$A$88,$BA$205^A29,IF(A29='Données projet'!$A$88,'Données projet'!$B$88,BD28+BC29-BL28)))</f>
        <v>178.755</v>
      </c>
      <c r="BE29" s="14">
        <f>BD29*VLOOKUP('Données projet'!$B$11,Paramètres!$A$1:$I$88,3,0)*VLOOKUP('Données projet'!$B$11,Paramètres!$A$1:$I$88,5,0)</f>
        <v>106.89549000000001</v>
      </c>
      <c r="BF29" s="14">
        <f t="shared" si="37"/>
        <v>28.59832354097454</v>
      </c>
      <c r="BG29" s="22">
        <f t="shared" si="7"/>
        <v>235.98505858386397</v>
      </c>
      <c r="BH29" s="62">
        <f t="shared" si="8"/>
        <v>524.42950302830843</v>
      </c>
      <c r="BI29" s="62">
        <f ca="1">AVERAGE(OFFSET($BH$3,0,0,'Données projet'!$E$11+1,1))-AVERAGE(OFFSET($H$3,0,0,'Données projet'!$E$11+1,1))</f>
        <v>215.43249078216331</v>
      </c>
      <c r="BJ29" s="62">
        <f t="shared" si="38"/>
        <v>363.02009369315232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7.4371890231816531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21.200178522836939</v>
      </c>
      <c r="BS29" s="24">
        <f t="shared" si="9"/>
        <v>28.637367546018591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projet'!$B$9,Paramètres!$A$1:$I$88,3,0)*VLOOKUP('Données projet'!$B$9,Paramètres!$A$1:$I$88,5,0)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443.16183437358302</v>
      </c>
      <c r="S30" s="62">
        <f ca="1">AVERAGE(OFFSET($R$3,0,0,'Données projet'!$E$9+1,1))-AVERAGE(OFFSET($H$3,0,0,'Données projet'!$E$9+1,1))</f>
        <v>430.21146937947236</v>
      </c>
      <c r="T30" s="62">
        <f t="shared" si="34"/>
        <v>231.36959598460686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6.2</v>
      </c>
      <c r="AI30" s="14">
        <f>IF('Données projet'!$A$62&gt;35,AI29+AH30-AQ29,IF(A30&lt;'Données projet'!$A$62,$AF$205^A30,IF(A30='Données projet'!$A$62,'Données projet'!$B$62,AI29+AH30-AQ29)))</f>
        <v>67.399999999999991</v>
      </c>
      <c r="AJ30" s="14">
        <f>AI30*VLOOKUP('Données projet'!$B$10,Paramètres!$A$1:$I$88,3,0)*VLOOKUP('Données projet'!$B$10,Paramètres!$A$1:$I$88,5,0)</f>
        <v>64.137839999999997</v>
      </c>
      <c r="AK30" s="14">
        <f t="shared" si="35"/>
        <v>18.210349741051775</v>
      </c>
      <c r="AL30" s="22">
        <f t="shared" si="4"/>
        <v>143.4230971323318</v>
      </c>
      <c r="AM30" s="62">
        <f t="shared" si="5"/>
        <v>433.08976379899849</v>
      </c>
      <c r="AN30" s="62">
        <f ca="1">AVERAGE(OFFSET($AM$3,0,0,'Données projet'!$E$10+1,1))-AVERAGE(OFFSET($H$3,0,0,'Données projet'!$E$10+1,1))</f>
        <v>370.04285308422544</v>
      </c>
      <c r="AO30" s="62">
        <f t="shared" si="36"/>
        <v>218.53758068502731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>
        <f>VLOOKUP(A30,'Données projet'!$A$87:$I$107,2,0)</f>
        <v>195.90799999999999</v>
      </c>
      <c r="BB30" s="13">
        <f>VLOOKUP(A30,'Données projet'!$A$87:$I$107,9,0)</f>
        <v>17.152999999999992</v>
      </c>
      <c r="BC30" s="13">
        <f t="array" ref="BC30">INDEX(BB:BB,MIN(IF(ISNUMBER(BB30:BB226),ROW(BB30:BB226),"")))</f>
        <v>17.152999999999992</v>
      </c>
      <c r="BD30" s="13">
        <f>IF('Données projet'!$A$88&gt;35,BD29+BC30-BL29,IF(A30&lt;'Données projet'!$A$88,$BA$205^A30,IF(A30='Données projet'!$A$88,'Données projet'!$B$88,BD29+BC30-BL29)))</f>
        <v>195.90799999999999</v>
      </c>
      <c r="BE30" s="14">
        <f>BD30*VLOOKUP('Données projet'!$B$11,Paramètres!$A$1:$I$88,3,0)*VLOOKUP('Données projet'!$B$11,Paramètres!$A$1:$I$88,5,0)</f>
        <v>117.15298399999999</v>
      </c>
      <c r="BF30" s="14">
        <f t="shared" si="37"/>
        <v>31.010054486958655</v>
      </c>
      <c r="BG30" s="22">
        <f t="shared" si="7"/>
        <v>258.0506253647863</v>
      </c>
      <c r="BH30" s="62">
        <f t="shared" si="8"/>
        <v>547.71729203145298</v>
      </c>
      <c r="BI30" s="62">
        <f ca="1">AVERAGE(OFFSET($BH$3,0,0,'Données projet'!$E$11+1,1))-AVERAGE(OFFSET($H$3,0,0,'Données projet'!$E$11+1,1))</f>
        <v>215.43249078216331</v>
      </c>
      <c r="BJ30" s="62">
        <f t="shared" si="38"/>
        <v>363.02009369315232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7.2913502826744487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14.990789995863405</v>
      </c>
      <c r="BS30" s="24">
        <f t="shared" si="9"/>
        <v>22.282140278537852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projet'!$B$9,Paramètres!$A$1:$I$88,3,0)*VLOOKUP('Données projet'!$B$9,Paramètres!$A$1:$I$88,5,0)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458.14591643983221</v>
      </c>
      <c r="S31" s="62">
        <f ca="1">AVERAGE(OFFSET($R$3,0,0,'Données projet'!$E$9+1,1))-AVERAGE(OFFSET($H$3,0,0,'Données projet'!$E$9+1,1))</f>
        <v>430.21146937947236</v>
      </c>
      <c r="T31" s="62">
        <f t="shared" si="34"/>
        <v>231.36959598460686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6.2</v>
      </c>
      <c r="AI31" s="14">
        <f>IF('Données projet'!$A$62&gt;35,AI30+AH31-AQ30,IF(A31&lt;'Données projet'!$A$62,$AF$205^A31,IF(A31='Données projet'!$A$62,'Données projet'!$B$62,AI30+AH31-AQ30)))</f>
        <v>73.599999999999994</v>
      </c>
      <c r="AJ31" s="14">
        <f>AI31*VLOOKUP('Données projet'!$B$10,Paramètres!$A$1:$I$88,3,0)*VLOOKUP('Données projet'!$B$10,Paramètres!$A$1:$I$88,5,0)</f>
        <v>70.037759999999992</v>
      </c>
      <c r="AK31" s="14">
        <f t="shared" si="35"/>
        <v>19.682834415874893</v>
      </c>
      <c r="AL31" s="22">
        <f t="shared" si="4"/>
        <v>156.26336860764874</v>
      </c>
      <c r="AM31" s="62">
        <f t="shared" si="5"/>
        <v>447.15225749653757</v>
      </c>
      <c r="AN31" s="62">
        <f ca="1">AVERAGE(OFFSET($AM$3,0,0,'Données projet'!$E$10+1,1))-AVERAGE(OFFSET($H$3,0,0,'Données projet'!$E$10+1,1))</f>
        <v>370.04285308422544</v>
      </c>
      <c r="AO31" s="62">
        <f t="shared" si="36"/>
        <v>218.53758068502731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>
        <f>VLOOKUP(A31,'Données projet'!$A$87:$I$107,2,0)</f>
        <v>213.4265</v>
      </c>
      <c r="BB31" s="13">
        <f>VLOOKUP(A31,'Données projet'!$A$87:$I$107,9,0)</f>
        <v>17.518500000000017</v>
      </c>
      <c r="BC31" s="13">
        <f t="array" ref="BC31">INDEX(BB:BB,MIN(IF(ISNUMBER(BB31:BB227),ROW(BB31:BB227),"")))</f>
        <v>17.518500000000017</v>
      </c>
      <c r="BD31" s="13">
        <f>IF('Données projet'!$A$88&gt;35,BD30+BC31-BL30,IF(A31&lt;'Données projet'!$A$88,$BA$205^A31,IF(A31='Données projet'!$A$88,'Données projet'!$B$88,BD30+BC31-BL30)))</f>
        <v>213.4265</v>
      </c>
      <c r="BE31" s="14">
        <f>BD31*VLOOKUP('Données projet'!$B$11,Paramètres!$A$1:$I$88,3,0)*VLOOKUP('Données projet'!$B$11,Paramètres!$A$1:$I$88,5,0)</f>
        <v>127.62904700000001</v>
      </c>
      <c r="BF31" s="14">
        <f t="shared" si="37"/>
        <v>33.447916194046705</v>
      </c>
      <c r="BG31" s="22">
        <f t="shared" si="7"/>
        <v>280.5423775629647</v>
      </c>
      <c r="BH31" s="62">
        <f t="shared" si="8"/>
        <v>571.43126645185362</v>
      </c>
      <c r="BI31" s="62">
        <f ca="1">AVERAGE(OFFSET($BH$3,0,0,'Données projet'!$E$11+1,1))-AVERAGE(OFFSET($H$3,0,0,'Données projet'!$E$11+1,1))</f>
        <v>215.43249078216331</v>
      </c>
      <c r="BJ31" s="62">
        <f t="shared" si="38"/>
        <v>363.02009369315232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7.1483713509157427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10.600089261418471</v>
      </c>
      <c r="BS31" s="24">
        <f t="shared" si="9"/>
        <v>17.748460612334213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projet'!$B$9,Paramètres!$A$1:$I$88,3,0)*VLOOKUP('Données projet'!$B$9,Paramètres!$A$1:$I$88,5,0)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473.10328796969736</v>
      </c>
      <c r="S32" s="62">
        <f ca="1">AVERAGE(OFFSET($R$3,0,0,'Données projet'!$E$9+1,1))-AVERAGE(OFFSET($H$3,0,0,'Données projet'!$E$9+1,1))</f>
        <v>430.21146937947236</v>
      </c>
      <c r="T32" s="62">
        <f t="shared" si="34"/>
        <v>231.36959598460686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6.2</v>
      </c>
      <c r="AI32" s="14">
        <f>IF('Données projet'!$A$62&gt;35,AI31+AH32-AQ31,IF(A32&lt;'Données projet'!$A$62,$AF$205^A32,IF(A32='Données projet'!$A$62,'Données projet'!$B$62,AI31+AH32-AQ31)))</f>
        <v>79.8</v>
      </c>
      <c r="AJ32" s="14">
        <f>AI32*VLOOKUP('Données projet'!$B$10,Paramètres!$A$1:$I$88,3,0)*VLOOKUP('Données projet'!$B$10,Paramètres!$A$1:$I$88,5,0)</f>
        <v>75.93768</v>
      </c>
      <c r="AK32" s="14">
        <f t="shared" si="35"/>
        <v>21.140933347504248</v>
      </c>
      <c r="AL32" s="22">
        <f t="shared" si="4"/>
        <v>169.07858491356987</v>
      </c>
      <c r="AM32" s="62">
        <f t="shared" si="5"/>
        <v>461.18969602468098</v>
      </c>
      <c r="AN32" s="62">
        <f ca="1">AVERAGE(OFFSET($AM$3,0,0,'Données projet'!$E$10+1,1))-AVERAGE(OFFSET($H$3,0,0,'Données projet'!$E$10+1,1))</f>
        <v>370.04285308422544</v>
      </c>
      <c r="AO32" s="62">
        <f t="shared" si="36"/>
        <v>218.53758068502731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>
        <f>VLOOKUP(A32,'Données projet'!$A$87:$I$107,2,0)</f>
        <v>231.29350000000002</v>
      </c>
      <c r="BB32" s="13">
        <f>VLOOKUP(A32,'Données projet'!$A$87:$I$107,9,0)</f>
        <v>17.867000000000019</v>
      </c>
      <c r="BC32" s="13">
        <f t="array" ref="BC32">INDEX(BB:BB,MIN(IF(ISNUMBER(BB32:BB228),ROW(BB32:BB228),"")))</f>
        <v>17.867000000000019</v>
      </c>
      <c r="BD32" s="13">
        <f>IF('Données projet'!$A$88&gt;35,BD31+BC32-BL31,IF(A32&lt;'Données projet'!$A$88,$BA$205^A32,IF(A32='Données projet'!$A$88,'Données projet'!$B$88,BD31+BC32-BL31)))</f>
        <v>231.29350000000002</v>
      </c>
      <c r="BE32" s="14">
        <f>BD32*VLOOKUP('Données projet'!$B$11,Paramètres!$A$1:$I$88,3,0)*VLOOKUP('Données projet'!$B$11,Paramètres!$A$1:$I$88,5,0)</f>
        <v>138.31351300000003</v>
      </c>
      <c r="BF32" s="14">
        <f t="shared" si="37"/>
        <v>35.910382914607332</v>
      </c>
      <c r="BG32" s="22">
        <f t="shared" si="7"/>
        <v>303.43995205127447</v>
      </c>
      <c r="BH32" s="62">
        <f t="shared" si="8"/>
        <v>595.55106316238562</v>
      </c>
      <c r="BI32" s="62">
        <f ca="1">AVERAGE(OFFSET($BH$3,0,0,'Données projet'!$E$11+1,1))-AVERAGE(OFFSET($H$3,0,0,'Données projet'!$E$11+1,1))</f>
        <v>215.43249078216331</v>
      </c>
      <c r="BJ32" s="62">
        <f t="shared" si="38"/>
        <v>363.02009369315232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7.0081961488002875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7.4953949979317036</v>
      </c>
      <c r="BS32" s="24">
        <f t="shared" si="9"/>
        <v>14.503591146731992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projet'!$B$9,Paramètres!$A$1:$I$88,3,0)*VLOOKUP('Données projet'!$B$9,Paramètres!$A$1:$I$88,5,0)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488.03626265127355</v>
      </c>
      <c r="S33" s="62">
        <f ca="1">AVERAGE(OFFSET($R$3,0,0,'Données projet'!$E$9+1,1))-AVERAGE(OFFSET($H$3,0,0,'Données projet'!$E$9+1,1))</f>
        <v>430.21146937947236</v>
      </c>
      <c r="T33" s="62">
        <f t="shared" si="34"/>
        <v>231.36959598460686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86</v>
      </c>
      <c r="AG33" s="13">
        <f>VLOOKUP(A33,'Données projet'!$A$61:$I$81,9,0)</f>
        <v>6.2</v>
      </c>
      <c r="AH33" s="13">
        <f t="array" ref="AH33">INDEX(AG:AG,MIN(IF(ISNUMBER(AG33:AG229),ROW(AG33:AG229),"")))</f>
        <v>6.2</v>
      </c>
      <c r="AI33" s="14">
        <f>IF('Données projet'!$A$62&gt;35,AI32+AH33-AQ32,IF(A33&lt;'Données projet'!$A$62,$AF$205^A33,IF(A33='Données projet'!$A$62,'Données projet'!$B$62,AI32+AH33-AQ32)))</f>
        <v>86</v>
      </c>
      <c r="AJ33" s="14">
        <f>AI33*VLOOKUP('Données projet'!$B$10,Paramètres!$A$1:$I$88,3,0)*VLOOKUP('Données projet'!$B$10,Paramètres!$A$1:$I$88,5,0)</f>
        <v>81.837600000000009</v>
      </c>
      <c r="AK33" s="14">
        <f t="shared" si="35"/>
        <v>22.585891302408051</v>
      </c>
      <c r="AL33" s="22">
        <f t="shared" si="4"/>
        <v>181.87091401836071</v>
      </c>
      <c r="AM33" s="62">
        <f t="shared" si="5"/>
        <v>475.20424735169399</v>
      </c>
      <c r="AN33" s="62">
        <f ca="1">AVERAGE(OFFSET($AM$3,0,0,'Données projet'!$E$10+1,1))-AVERAGE(OFFSET($H$3,0,0,'Données projet'!$E$10+1,1))</f>
        <v>370.04285308422544</v>
      </c>
      <c r="AO33" s="62">
        <f t="shared" si="36"/>
        <v>218.53758068502731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249.203</v>
      </c>
      <c r="BB33" s="13">
        <f>VLOOKUP(A33,'Données projet'!$A$87:$I$107,9,0)</f>
        <v>17.90949999999998</v>
      </c>
      <c r="BC33" s="13">
        <f t="array" ref="BC33">INDEX(BB:BB,MIN(IF(ISNUMBER(BB33:BB229),ROW(BB33:BB229),"")))</f>
        <v>17.90949999999998</v>
      </c>
      <c r="BD33" s="13">
        <f>IF('Données projet'!$A$88&gt;35,BD32+BC33-BL32,IF(A33&lt;'Données projet'!$A$88,$BA$205^A33,IF(A33='Données projet'!$A$88,'Données projet'!$B$88,BD32+BC33-BL32)))</f>
        <v>249.203</v>
      </c>
      <c r="BE33" s="14">
        <f>BD33*VLOOKUP('Données projet'!$B$11,Paramètres!$A$1:$I$88,3,0)*VLOOKUP('Données projet'!$B$11,Paramètres!$A$1:$I$88,5,0)</f>
        <v>149.023394</v>
      </c>
      <c r="BF33" s="14">
        <f t="shared" si="37"/>
        <v>38.356564101331521</v>
      </c>
      <c r="BG33" s="22">
        <f t="shared" si="7"/>
        <v>326.35342702648569</v>
      </c>
      <c r="BH33" s="62">
        <f t="shared" si="8"/>
        <v>619.686760359819</v>
      </c>
      <c r="BI33" s="62">
        <f ca="1">AVERAGE(OFFSET($BH$3,0,0,'Données projet'!$E$11+1,1))-AVERAGE(OFFSET($H$3,0,0,'Données projet'!$E$11+1,1))</f>
        <v>215.43249078216331</v>
      </c>
      <c r="BJ33" s="62">
        <f t="shared" si="38"/>
        <v>363.02009369315232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63.631</v>
      </c>
      <c r="BM33" s="17">
        <f>IF(ISNA(VLOOKUP(A33,'Données projet'!$A$87:$I$107,5,0)),0%,VLOOKUP(A33,'Données projet'!$A$87:$I$107,5,0)*VLOOKUP('Données projet'!$B$11,Paramètres!$A$1:$I$88,7,0))</f>
        <v>0.27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0.4</v>
      </c>
      <c r="BP33" s="23">
        <f>EXP(-LN(2)/35)*BP32+(1-EXP(-LN(2)/35))/(LN(2)/35)*BL33*BM33*VLOOKUP('Données projet'!$B$11,Paramètres!$A$1:$I$88,3,0)*0.475*44/12</f>
        <v>20.499708864533176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22.533226169787685</v>
      </c>
      <c r="BS33" s="24">
        <f t="shared" si="9"/>
        <v>43.032935034320857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105</v>
      </c>
      <c r="O34" s="14">
        <f>N34*VLOOKUP('Données projet'!$B$9,Paramètres!$A$1:$I$88,3,0)*VLOOKUP('Données projet'!$B$9,Paramètres!$A$1:$I$88,5,0)</f>
        <v>95.004000000000005</v>
      </c>
      <c r="P34" s="14">
        <f t="shared" si="33"/>
        <v>25.768242550600785</v>
      </c>
      <c r="Q34" s="22">
        <f t="shared" si="2"/>
        <v>210.34498910896306</v>
      </c>
      <c r="R34" s="62">
        <f t="shared" si="0"/>
        <v>503.67832244229635</v>
      </c>
      <c r="S34" s="62">
        <f ca="1">AVERAGE(OFFSET($R$3,0,0,'Données projet'!$E$9+1,1))-AVERAGE(OFFSET($H$3,0,0,'Données projet'!$E$9+1,1))</f>
        <v>430.21146937947236</v>
      </c>
      <c r="T34" s="62">
        <f t="shared" si="34"/>
        <v>231.36959598460686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6.2</v>
      </c>
      <c r="AI34" s="14">
        <f>IF('Données projet'!$A$62&gt;35,AI33+AH34-AQ33,IF(A34&lt;'Données projet'!$A$62,$AF$205^A34,IF(A34='Données projet'!$A$62,'Données projet'!$B$62,AI33+AH34-AQ33)))</f>
        <v>92.2</v>
      </c>
      <c r="AJ34" s="14">
        <f>AI34*VLOOKUP('Données projet'!$B$10,Paramètres!$A$1:$I$88,3,0)*VLOOKUP('Données projet'!$B$10,Paramètres!$A$1:$I$88,5,0)</f>
        <v>87.737520000000004</v>
      </c>
      <c r="AK34" s="14">
        <f t="shared" si="35"/>
        <v>24.018763396344436</v>
      </c>
      <c r="AL34" s="22">
        <f t="shared" si="4"/>
        <v>194.64219358196658</v>
      </c>
      <c r="AM34" s="62">
        <f t="shared" si="5"/>
        <v>487.97552691529989</v>
      </c>
      <c r="AN34" s="62">
        <f ca="1">AVERAGE(OFFSET($AM$3,0,0,'Données projet'!$E$10+1,1))-AVERAGE(OFFSET($H$3,0,0,'Données projet'!$E$10+1,1))</f>
        <v>370.04285308422544</v>
      </c>
      <c r="AO34" s="62">
        <f t="shared" si="36"/>
        <v>218.53758068502731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14.609375</v>
      </c>
      <c r="BD34" s="13">
        <f>IF('Données projet'!$A$88&gt;35,BD33+BC34-BL33,IF(A34&lt;'Données projet'!$A$88,$BA$205^A34,IF(A34='Données projet'!$A$88,'Données projet'!$B$88,BD33+BC34-BL33)))</f>
        <v>200.18137499999997</v>
      </c>
      <c r="BE34" s="14">
        <f>BD34*VLOOKUP('Données projet'!$B$11,Paramètres!$A$1:$I$88,3,0)*VLOOKUP('Données projet'!$B$11,Paramètres!$A$1:$I$88,5,0)</f>
        <v>119.70846224999998</v>
      </c>
      <c r="BF34" s="14">
        <f t="shared" si="37"/>
        <v>31.606993278420472</v>
      </c>
      <c r="BG34" s="22">
        <f t="shared" si="7"/>
        <v>263.5410850453323</v>
      </c>
      <c r="BH34" s="62">
        <f t="shared" si="8"/>
        <v>556.87441837866561</v>
      </c>
      <c r="BI34" s="62">
        <f ca="1">AVERAGE(OFFSET($BH$3,0,0,'Données projet'!$E$11+1,1))-AVERAGE(OFFSET($H$3,0,0,'Données projet'!$E$11+1,1))</f>
        <v>215.43249078216331</v>
      </c>
      <c r="BJ34" s="62">
        <f t="shared" si="38"/>
        <v>363.02009369315232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20.097722077287461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15.933397026667048</v>
      </c>
      <c r="BS34" s="24">
        <f t="shared" si="9"/>
        <v>36.031119103954509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113</v>
      </c>
      <c r="O35" s="14">
        <f>N35*VLOOKUP('Données projet'!$B$9,Paramètres!$A$1:$I$88,3,0)*VLOOKUP('Données projet'!$B$9,Paramètres!$A$1:$I$88,5,0)</f>
        <v>102.24239999999999</v>
      </c>
      <c r="P35" s="14">
        <f t="shared" si="33"/>
        <v>27.495526976991481</v>
      </c>
      <c r="Q35" s="22">
        <f t="shared" ref="Q35:Q66" si="53">(O35+P35)*0.475*44/12</f>
        <v>225.96022281826015</v>
      </c>
      <c r="R35" s="62">
        <f t="shared" si="0"/>
        <v>519.29355615159352</v>
      </c>
      <c r="S35" s="62">
        <f ca="1">AVERAGE(OFFSET($R$3,0,0,'Données projet'!$E$9+1,1))-AVERAGE(OFFSET($H$3,0,0,'Données projet'!$E$9+1,1))</f>
        <v>430.21146937947236</v>
      </c>
      <c r="T35" s="62">
        <f t="shared" si="34"/>
        <v>231.36959598460686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6.2</v>
      </c>
      <c r="AI35" s="14">
        <f>IF('Données projet'!$A$62&gt;35,AI34+AH35-AQ34,IF(A35&lt;'Données projet'!$A$62,$AF$205^A35,IF(A35='Données projet'!$A$62,'Données projet'!$B$62,AI34+AH35-AQ34)))</f>
        <v>98.4</v>
      </c>
      <c r="AJ35" s="14">
        <f>AI35*VLOOKUP('Données projet'!$B$10,Paramètres!$A$1:$I$88,3,0)*VLOOKUP('Données projet'!$B$10,Paramètres!$A$1:$I$88,5,0)</f>
        <v>93.637439999999998</v>
      </c>
      <c r="AK35" s="14">
        <f t="shared" si="35"/>
        <v>25.440454812880304</v>
      </c>
      <c r="AL35" s="22">
        <f t="shared" si="4"/>
        <v>207.39400013243321</v>
      </c>
      <c r="AM35" s="62">
        <f t="shared" si="5"/>
        <v>500.72733346576649</v>
      </c>
      <c r="AN35" s="62">
        <f ca="1">AVERAGE(OFFSET($AM$3,0,0,'Données projet'!$E$10+1,1))-AVERAGE(OFFSET($H$3,0,0,'Données projet'!$E$10+1,1))</f>
        <v>370.04285308422544</v>
      </c>
      <c r="AO35" s="62">
        <f t="shared" si="36"/>
        <v>218.53758068502731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14.609375</v>
      </c>
      <c r="BD35" s="13">
        <f>IF('Données projet'!$A$88&gt;35,BD34+BC35-BL34,IF(A35&lt;'Données projet'!$A$88,$BA$205^A35,IF(A35='Données projet'!$A$88,'Données projet'!$B$88,BD34+BC35-BL34)))</f>
        <v>214.79074999999997</v>
      </c>
      <c r="BE35" s="14">
        <f>BD35*VLOOKUP('Données projet'!$B$11,Paramètres!$A$1:$I$88,3,0)*VLOOKUP('Données projet'!$B$11,Paramètres!$A$1:$I$88,5,0)</f>
        <v>128.44486849999998</v>
      </c>
      <c r="BF35" s="14">
        <f t="shared" si="37"/>
        <v>33.636762798166089</v>
      </c>
      <c r="BG35" s="22">
        <f t="shared" si="7"/>
        <v>282.29217451097259</v>
      </c>
      <c r="BH35" s="62">
        <f t="shared" si="8"/>
        <v>575.62550784430596</v>
      </c>
      <c r="BI35" s="62">
        <f ca="1">AVERAGE(OFFSET($BH$3,0,0,'Données projet'!$E$11+1,1))-AVERAGE(OFFSET($H$3,0,0,'Données projet'!$E$11+1,1))</f>
        <v>215.43249078216331</v>
      </c>
      <c r="BJ35" s="62">
        <f t="shared" si="38"/>
        <v>363.02009369315232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19.703618005751906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11.266613084893844</v>
      </c>
      <c r="BS35" s="24">
        <f t="shared" si="9"/>
        <v>30.970231090645751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projet'!$B$9,Paramètres!$A$1:$I$88,3,0)*VLOOKUP('Données projet'!$B$9,Paramètres!$A$1:$I$88,5,0)</f>
        <v>109.48079999999999</v>
      </c>
      <c r="P36" s="14">
        <f t="shared" si="33"/>
        <v>29.208623339903898</v>
      </c>
      <c r="Q36" s="22">
        <f t="shared" si="53"/>
        <v>241.5507456503326</v>
      </c>
      <c r="R36" s="62">
        <f t="shared" si="0"/>
        <v>534.88407898366586</v>
      </c>
      <c r="S36" s="62">
        <f ca="1">AVERAGE(OFFSET($R$3,0,0,'Données projet'!$E$9+1,1))-AVERAGE(OFFSET($H$3,0,0,'Données projet'!$E$9+1,1))</f>
        <v>430.21146937947236</v>
      </c>
      <c r="T36" s="62">
        <f t="shared" si="34"/>
        <v>231.36959598460686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6.2</v>
      </c>
      <c r="AI36" s="14">
        <f>IF('Données projet'!$A$62&gt;35,AI35+AH36-AQ35,IF(A36&lt;'Données projet'!$A$62,$AF$205^A36,IF(A36='Données projet'!$A$62,'Données projet'!$B$62,AI35+AH36-AQ35)))</f>
        <v>104.60000000000001</v>
      </c>
      <c r="AJ36" s="14">
        <f>AI36*VLOOKUP('Données projet'!$B$10,Paramètres!$A$1:$I$88,3,0)*VLOOKUP('Données projet'!$B$10,Paramètres!$A$1:$I$88,5,0)</f>
        <v>99.537360000000007</v>
      </c>
      <c r="AK36" s="14">
        <f t="shared" si="35"/>
        <v>26.851750219979348</v>
      </c>
      <c r="AL36" s="22">
        <f t="shared" si="4"/>
        <v>220.12770029979734</v>
      </c>
      <c r="AM36" s="62">
        <f t="shared" si="5"/>
        <v>513.46103363313068</v>
      </c>
      <c r="AN36" s="62">
        <f ca="1">AVERAGE(OFFSET($AM$3,0,0,'Données projet'!$E$10+1,1))-AVERAGE(OFFSET($H$3,0,0,'Données projet'!$E$10+1,1))</f>
        <v>370.04285308422544</v>
      </c>
      <c r="AO36" s="62">
        <f t="shared" si="36"/>
        <v>218.53758068502731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14.609375</v>
      </c>
      <c r="BD36" s="13">
        <f>IF('Données projet'!$A$88&gt;35,BD35+BC36-BL35,IF(A36&lt;'Données projet'!$A$88,$BA$205^A36,IF(A36='Données projet'!$A$88,'Données projet'!$B$88,BD35+BC36-BL35)))</f>
        <v>229.40012499999997</v>
      </c>
      <c r="BE36" s="14">
        <f>BD36*VLOOKUP('Données projet'!$B$11,Paramètres!$A$1:$I$88,3,0)*VLOOKUP('Données projet'!$B$11,Paramètres!$A$1:$I$88,5,0)</f>
        <v>137.18127475</v>
      </c>
      <c r="BF36" s="14">
        <f t="shared" si="37"/>
        <v>35.650512734959328</v>
      </c>
      <c r="BG36" s="22">
        <f t="shared" si="7"/>
        <v>301.01536320297083</v>
      </c>
      <c r="BH36" s="62">
        <f t="shared" si="8"/>
        <v>594.34869653630415</v>
      </c>
      <c r="BI36" s="62">
        <f ca="1">AVERAGE(OFFSET($BH$3,0,0,'Données projet'!$E$11+1,1))-AVERAGE(OFFSET($H$3,0,0,'Données projet'!$E$11+1,1))</f>
        <v>215.43249078216331</v>
      </c>
      <c r="BJ36" s="62">
        <f t="shared" si="38"/>
        <v>363.02009369315232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19.317242074679413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7.9666985133335251</v>
      </c>
      <c r="BS36" s="24">
        <f t="shared" si="9"/>
        <v>27.283940588012939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129</v>
      </c>
      <c r="O37" s="14">
        <f>N37*VLOOKUP('Données projet'!$B$9,Paramètres!$A$1:$I$88,3,0)*VLOOKUP('Données projet'!$B$9,Paramètres!$A$1:$I$88,5,0)</f>
        <v>116.71919999999999</v>
      </c>
      <c r="P37" s="14">
        <f t="shared" si="33"/>
        <v>30.908576435525887</v>
      </c>
      <c r="Q37" s="22">
        <f t="shared" si="53"/>
        <v>257.1183772918742</v>
      </c>
      <c r="R37" s="62">
        <f t="shared" si="0"/>
        <v>550.45171062520751</v>
      </c>
      <c r="S37" s="62">
        <f ca="1">AVERAGE(OFFSET($R$3,0,0,'Données projet'!$E$9+1,1))-AVERAGE(OFFSET($H$3,0,0,'Données projet'!$E$9+1,1))</f>
        <v>430.21146937947236</v>
      </c>
      <c r="T37" s="62">
        <f t="shared" si="34"/>
        <v>231.36959598460686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6.2</v>
      </c>
      <c r="AI37" s="14">
        <f>IF('Données projet'!$A$62&gt;35,AI36+AH37-AQ36,IF(A37&lt;'Données projet'!$A$62,$AF$205^A37,IF(A37='Données projet'!$A$62,'Données projet'!$B$62,AI36+AH37-AQ36)))</f>
        <v>110.80000000000001</v>
      </c>
      <c r="AJ37" s="14">
        <f>AI37*VLOOKUP('Données projet'!$B$10,Paramètres!$A$1:$I$88,3,0)*VLOOKUP('Données projet'!$B$10,Paramètres!$A$1:$I$88,5,0)</f>
        <v>105.43728000000002</v>
      </c>
      <c r="AK37" s="14">
        <f t="shared" si="35"/>
        <v>28.253336010681878</v>
      </c>
      <c r="AL37" s="22">
        <f t="shared" si="4"/>
        <v>232.84448955193758</v>
      </c>
      <c r="AM37" s="62">
        <f t="shared" si="5"/>
        <v>526.17782288527087</v>
      </c>
      <c r="AN37" s="62">
        <f ca="1">AVERAGE(OFFSET($AM$3,0,0,'Données projet'!$E$10+1,1))-AVERAGE(OFFSET($H$3,0,0,'Données projet'!$E$10+1,1))</f>
        <v>370.04285308422544</v>
      </c>
      <c r="AO37" s="62">
        <f t="shared" si="36"/>
        <v>218.53758068502731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14.609375</v>
      </c>
      <c r="BD37" s="13">
        <f>IF('Données projet'!$A$88&gt;35,BD36+BC37-BL36,IF(A37&lt;'Données projet'!$A$88,$BA$205^A37,IF(A37='Données projet'!$A$88,'Données projet'!$B$88,BD36+BC37-BL36)))</f>
        <v>244.00949999999997</v>
      </c>
      <c r="BE37" s="14">
        <f>BD37*VLOOKUP('Données projet'!$B$11,Paramètres!$A$1:$I$88,3,0)*VLOOKUP('Données projet'!$B$11,Paramètres!$A$1:$I$88,5,0)</f>
        <v>145.91768099999999</v>
      </c>
      <c r="BF37" s="14">
        <f t="shared" si="37"/>
        <v>37.649379423727893</v>
      </c>
      <c r="BG37" s="22">
        <f t="shared" si="7"/>
        <v>319.71263023799264</v>
      </c>
      <c r="BH37" s="62">
        <f t="shared" si="8"/>
        <v>613.04596357132596</v>
      </c>
      <c r="BI37" s="62">
        <f ca="1">AVERAGE(OFFSET($BH$3,0,0,'Données projet'!$E$11+1,1))-AVERAGE(OFFSET($H$3,0,0,'Données projet'!$E$11+1,1))</f>
        <v>215.43249078216331</v>
      </c>
      <c r="BJ37" s="62">
        <f t="shared" si="38"/>
        <v>363.02009369315232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18.938442739949206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5.6333065424469231</v>
      </c>
      <c r="BS37" s="24">
        <f t="shared" si="9"/>
        <v>24.57174928239613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projet'!$B$9,Paramètres!$A$1:$I$88,3,0)*VLOOKUP('Données projet'!$B$9,Paramètres!$A$1:$I$88,5,0)</f>
        <v>123.9576</v>
      </c>
      <c r="P38" s="14">
        <f t="shared" si="33"/>
        <v>32.59629414926458</v>
      </c>
      <c r="Q38" s="22">
        <f t="shared" si="53"/>
        <v>272.6646989766358</v>
      </c>
      <c r="R38" s="62">
        <f t="shared" si="0"/>
        <v>565.99803230996918</v>
      </c>
      <c r="S38" s="62">
        <f ca="1">AVERAGE(OFFSET($R$3,0,0,'Données projet'!$E$9+1,1))-AVERAGE(OFFSET($H$3,0,0,'Données projet'!$E$9+1,1))</f>
        <v>430.21146937947236</v>
      </c>
      <c r="T38" s="62">
        <f t="shared" si="34"/>
        <v>231.36959598460686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117</v>
      </c>
      <c r="AG38" s="13">
        <f>VLOOKUP(A38,'Données projet'!$A$61:$I$81,9,0)</f>
        <v>6.2</v>
      </c>
      <c r="AH38" s="13">
        <f t="array" ref="AH38">INDEX(AG:AG,MIN(IF(ISNUMBER(AG38:AG234),ROW(AG38:AG234),"")))</f>
        <v>6.2</v>
      </c>
      <c r="AI38" s="14">
        <f>IF('Données projet'!$A$62&gt;35,AI37+AH38-AQ37,IF(A38&lt;'Données projet'!$A$62,$AF$205^A38,IF(A38='Données projet'!$A$62,'Données projet'!$B$62,AI37+AH38-AQ37)))</f>
        <v>117.00000000000001</v>
      </c>
      <c r="AJ38" s="14">
        <f>AI38*VLOOKUP('Données projet'!$B$10,Paramètres!$A$1:$I$88,3,0)*VLOOKUP('Données projet'!$B$10,Paramètres!$A$1:$I$88,5,0)</f>
        <v>111.33720000000001</v>
      </c>
      <c r="AK38" s="14">
        <f t="shared" si="35"/>
        <v>29.645817422905342</v>
      </c>
      <c r="AL38" s="22">
        <f t="shared" si="4"/>
        <v>245.54542201156013</v>
      </c>
      <c r="AM38" s="62">
        <f t="shared" si="5"/>
        <v>538.87875534489342</v>
      </c>
      <c r="AN38" s="62">
        <f ca="1">AVERAGE(OFFSET($AM$3,0,0,'Données projet'!$E$10+1,1))-AVERAGE(OFFSET($H$3,0,0,'Données projet'!$E$10+1,1))</f>
        <v>370.04285308422544</v>
      </c>
      <c r="AO38" s="62">
        <f t="shared" si="36"/>
        <v>218.53758068502731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23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14.609375</v>
      </c>
      <c r="BD38" s="13">
        <f>IF('Données projet'!$A$88&gt;35,BD37+BC38-BL37,IF(A38&lt;'Données projet'!$A$88,$BA$205^A38,IF(A38='Données projet'!$A$88,'Données projet'!$B$88,BD37+BC38-BL37)))</f>
        <v>258.618875</v>
      </c>
      <c r="BE38" s="14">
        <f>BD38*VLOOKUP('Données projet'!$B$11,Paramètres!$A$1:$I$88,3,0)*VLOOKUP('Données projet'!$B$11,Paramètres!$A$1:$I$88,5,0)</f>
        <v>154.65408725</v>
      </c>
      <c r="BF38" s="14">
        <f t="shared" si="37"/>
        <v>39.634355442176712</v>
      </c>
      <c r="BG38" s="22">
        <f t="shared" si="7"/>
        <v>338.38570435554112</v>
      </c>
      <c r="BH38" s="62">
        <f t="shared" si="8"/>
        <v>631.71903768887444</v>
      </c>
      <c r="BI38" s="62">
        <f ca="1">AVERAGE(OFFSET($BH$3,0,0,'Données projet'!$E$11+1,1))-AVERAGE(OFFSET($H$3,0,0,'Données projet'!$E$11+1,1))</f>
        <v>215.43249078216331</v>
      </c>
      <c r="BJ38" s="62">
        <f t="shared" si="38"/>
        <v>363.02009369315232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18.567071429128276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3.9833492566667634</v>
      </c>
      <c r="BS38" s="24">
        <f t="shared" si="9"/>
        <v>22.550420685795039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projet'!$B$9,Paramètres!$A$1:$I$88,3,0)*VLOOKUP('Données projet'!$B$9,Paramètres!$A$1:$I$88,5,0)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430.21146937947236</v>
      </c>
      <c r="T39" s="62">
        <f t="shared" si="34"/>
        <v>231.36959598460686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6.2</v>
      </c>
      <c r="AI39" s="14">
        <f>IF('Données projet'!$A$62&gt;35,AI38+AH39-AQ38,IF(A39&lt;'Données projet'!$A$62,$AF$205^A39,IF(A39='Données projet'!$A$62,'Données projet'!$B$62,AI38+AH39-AQ38)))</f>
        <v>100.20000000000002</v>
      </c>
      <c r="AJ39" s="14">
        <f>AI39*VLOOKUP('Données projet'!$B$10,Paramètres!$A$1:$I$88,3,0)*VLOOKUP('Données projet'!$B$10,Paramètres!$A$1:$I$88,5,0)</f>
        <v>95.350320000000011</v>
      </c>
      <c r="AK39" s="14">
        <f t="shared" si="35"/>
        <v>25.851224601628289</v>
      </c>
      <c r="AL39" s="22">
        <f t="shared" si="4"/>
        <v>211.09269018116927</v>
      </c>
      <c r="AM39" s="62">
        <f t="shared" si="5"/>
        <v>504.42602351450262</v>
      </c>
      <c r="AN39" s="62">
        <f ca="1">AVERAGE(OFFSET($AM$3,0,0,'Données projet'!$E$10+1,1))-AVERAGE(OFFSET($H$3,0,0,'Données projet'!$E$10+1,1))</f>
        <v>370.04285308422544</v>
      </c>
      <c r="AO39" s="62">
        <f t="shared" si="36"/>
        <v>218.53758068502731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0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14.609375</v>
      </c>
      <c r="BD39" s="13">
        <f>IF('Données projet'!$A$88&gt;35,BD38+BC39-BL38,IF(A39&lt;'Données projet'!$A$88,$BA$205^A39,IF(A39='Données projet'!$A$88,'Données projet'!$B$88,BD38+BC39-BL38)))</f>
        <v>273.22825</v>
      </c>
      <c r="BE39" s="14">
        <f>BD39*VLOOKUP('Données projet'!$B$11,Paramètres!$A$1:$I$88,3,0)*VLOOKUP('Données projet'!$B$11,Paramètres!$A$1:$I$88,5,0)</f>
        <v>163.39049350000002</v>
      </c>
      <c r="BF39" s="14">
        <f t="shared" si="37"/>
        <v>41.606314892770513</v>
      </c>
      <c r="BG39" s="22">
        <f t="shared" si="7"/>
        <v>357.03610795074201</v>
      </c>
      <c r="BH39" s="62">
        <f t="shared" si="8"/>
        <v>650.36944128407526</v>
      </c>
      <c r="BI39" s="62">
        <f ca="1">AVERAGE(OFFSET($BH$3,0,0,'Données projet'!$E$11+1,1))-AVERAGE(OFFSET($H$3,0,0,'Données projet'!$E$11+1,1))</f>
        <v>215.43249078216331</v>
      </c>
      <c r="BJ39" s="62">
        <f t="shared" si="38"/>
        <v>363.02009369315232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18.202982483198412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2.816653271223462</v>
      </c>
      <c r="BS39" s="24">
        <f t="shared" si="9"/>
        <v>21.019635754421873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projet'!$B$9,Paramètres!$A$1:$I$88,3,0)*VLOOKUP('Données projet'!$B$9,Paramètres!$A$1:$I$88,5,0)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430.21146937947236</v>
      </c>
      <c r="T40" s="62">
        <f t="shared" si="34"/>
        <v>231.36959598460686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6.2</v>
      </c>
      <c r="AI40" s="14">
        <f>IF('Données projet'!$A$62&gt;35,AI39+AH40-AQ39,IF(A40&lt;'Données projet'!$A$62,$AF$205^A40,IF(A40='Données projet'!$A$62,'Données projet'!$B$62,AI39+AH40-AQ39)))</f>
        <v>106.40000000000002</v>
      </c>
      <c r="AJ40" s="14">
        <f>AI40*VLOOKUP('Données projet'!$B$10,Paramètres!$A$1:$I$88,3,0)*VLOOKUP('Données projet'!$B$10,Paramètres!$A$1:$I$88,5,0)</f>
        <v>101.25024000000002</v>
      </c>
      <c r="AK40" s="14">
        <f t="shared" si="35"/>
        <v>27.25963426043629</v>
      </c>
      <c r="AL40" s="22">
        <f t="shared" si="4"/>
        <v>223.82136433692654</v>
      </c>
      <c r="AM40" s="62">
        <f t="shared" si="5"/>
        <v>517.15469767025979</v>
      </c>
      <c r="AN40" s="62">
        <f ca="1">AVERAGE(OFFSET($AM$3,0,0,'Données projet'!$E$10+1,1))-AVERAGE(OFFSET($H$3,0,0,'Données projet'!$E$10+1,1))</f>
        <v>370.04285308422544</v>
      </c>
      <c r="AO40" s="62">
        <f t="shared" si="36"/>
        <v>218.53758068502731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0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14.609375</v>
      </c>
      <c r="BD40" s="13">
        <f>IF('Données projet'!$A$88&gt;35,BD39+BC40-BL39,IF(A40&lt;'Données projet'!$A$88,$BA$205^A40,IF(A40='Données projet'!$A$88,'Données projet'!$B$88,BD39+BC40-BL39)))</f>
        <v>287.837625</v>
      </c>
      <c r="BE40" s="14">
        <f>BD40*VLOOKUP('Données projet'!$B$11,Paramètres!$A$1:$I$88,3,0)*VLOOKUP('Données projet'!$B$11,Paramètres!$A$1:$I$88,5,0)</f>
        <v>172.12689975000004</v>
      </c>
      <c r="BF40" s="14">
        <f t="shared" si="37"/>
        <v>43.566033122993176</v>
      </c>
      <c r="BG40" s="22">
        <f t="shared" si="7"/>
        <v>375.66519142046315</v>
      </c>
      <c r="BH40" s="62">
        <f t="shared" si="8"/>
        <v>668.99852475379646</v>
      </c>
      <c r="BI40" s="62">
        <f ca="1">AVERAGE(OFFSET($BH$3,0,0,'Données projet'!$E$11+1,1))-AVERAGE(OFFSET($H$3,0,0,'Données projet'!$E$11+1,1))</f>
        <v>215.43249078216331</v>
      </c>
      <c r="BJ40" s="62">
        <f t="shared" si="38"/>
        <v>363.02009369315232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17.846033099425902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1.9916746283333819</v>
      </c>
      <c r="BS40" s="24">
        <f t="shared" si="9"/>
        <v>19.837707727759284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projet'!$B$9,Paramètres!$A$1:$I$88,3,0)*VLOOKUP('Données projet'!$B$9,Paramètres!$A$1:$I$88,5,0)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533.32608479725729</v>
      </c>
      <c r="S41" s="62">
        <f ca="1">AVERAGE(OFFSET($R$3,0,0,'Données projet'!$E$9+1,1))-AVERAGE(OFFSET($H$3,0,0,'Données projet'!$E$9+1,1))</f>
        <v>430.21146937947236</v>
      </c>
      <c r="T41" s="62">
        <f t="shared" si="34"/>
        <v>231.36959598460686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6.2</v>
      </c>
      <c r="AI41" s="14">
        <f>IF('Données projet'!$A$62&gt;35,AI40+AH41-AQ40,IF(A41&lt;'Données projet'!$A$62,$AF$205^A41,IF(A41='Données projet'!$A$62,'Données projet'!$B$62,AI40+AH41-AQ40)))</f>
        <v>112.60000000000002</v>
      </c>
      <c r="AJ41" s="14">
        <f>AI41*VLOOKUP('Données projet'!$B$10,Paramètres!$A$1:$I$88,3,0)*VLOOKUP('Données projet'!$B$10,Paramètres!$A$1:$I$88,5,0)</f>
        <v>107.15016000000001</v>
      </c>
      <c r="AK41" s="14">
        <f t="shared" si="35"/>
        <v>28.658517723314343</v>
      </c>
      <c r="AL41" s="22">
        <f t="shared" si="4"/>
        <v>236.53344703477251</v>
      </c>
      <c r="AM41" s="62">
        <f t="shared" si="5"/>
        <v>529.86678036810576</v>
      </c>
      <c r="AN41" s="62">
        <f ca="1">AVERAGE(OFFSET($AM$3,0,0,'Données projet'!$E$10+1,1))-AVERAGE(OFFSET($H$3,0,0,'Données projet'!$E$10+1,1))</f>
        <v>370.04285308422544</v>
      </c>
      <c r="AO41" s="62">
        <f t="shared" si="36"/>
        <v>218.53758068502731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0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14.609375</v>
      </c>
      <c r="BD41" s="13">
        <f>IF('Données projet'!$A$88&gt;35,BD40+BC41-BL40,IF(A41&lt;'Données projet'!$A$88,$BA$205^A41,IF(A41='Données projet'!$A$88,'Données projet'!$B$88,BD40+BC41-BL40)))</f>
        <v>302.447</v>
      </c>
      <c r="BE41" s="14">
        <f>BD41*VLOOKUP('Données projet'!$B$11,Paramètres!$A$1:$I$88,3,0)*VLOOKUP('Données projet'!$B$11,Paramètres!$A$1:$I$88,5,0)</f>
        <v>180.86330599999999</v>
      </c>
      <c r="BF41" s="14">
        <f t="shared" si="37"/>
        <v>45.514202328055717</v>
      </c>
      <c r="BG41" s="22">
        <f t="shared" si="7"/>
        <v>394.2741603380303</v>
      </c>
      <c r="BH41" s="62">
        <f t="shared" si="8"/>
        <v>687.60749367136361</v>
      </c>
      <c r="BI41" s="62">
        <f ca="1">AVERAGE(OFFSET($BH$3,0,0,'Données projet'!$E$11+1,1))-AVERAGE(OFFSET($H$3,0,0,'Données projet'!$E$11+1,1))</f>
        <v>215.43249078216331</v>
      </c>
      <c r="BJ41" s="62">
        <f t="shared" si="38"/>
        <v>363.02009369315232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17.496083275351545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1.4083266356117312</v>
      </c>
      <c r="BS41" s="24">
        <f t="shared" si="9"/>
        <v>18.904409910963277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projet'!$B$9,Paramètres!$A$1:$I$88,3,0)*VLOOKUP('Données projet'!$B$9,Paramètres!$A$1:$I$88,5,0)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430.21146937947236</v>
      </c>
      <c r="T42" s="62">
        <f t="shared" si="34"/>
        <v>231.36959598460686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6.2</v>
      </c>
      <c r="AI42" s="14">
        <f>IF('Données projet'!$A$62&gt;35,AI41+AH42-AQ41,IF(A42&lt;'Données projet'!$A$62,$AF$205^A42,IF(A42='Données projet'!$A$62,'Données projet'!$B$62,AI41+AH42-AQ41)))</f>
        <v>118.80000000000003</v>
      </c>
      <c r="AJ42" s="14">
        <f>AI42*VLOOKUP('Données projet'!$B$10,Paramètres!$A$1:$I$88,3,0)*VLOOKUP('Données projet'!$B$10,Paramètres!$A$1:$I$88,5,0)</f>
        <v>113.05008000000004</v>
      </c>
      <c r="AK42" s="14">
        <f t="shared" si="35"/>
        <v>30.048459312649666</v>
      </c>
      <c r="AL42" s="22">
        <f t="shared" si="4"/>
        <v>249.22995596953157</v>
      </c>
      <c r="AM42" s="62">
        <f t="shared" si="5"/>
        <v>542.56328930286486</v>
      </c>
      <c r="AN42" s="62">
        <f ca="1">AVERAGE(OFFSET($AM$3,0,0,'Données projet'!$E$10+1,1))-AVERAGE(OFFSET($H$3,0,0,'Données projet'!$E$10+1,1))</f>
        <v>370.04285308422544</v>
      </c>
      <c r="AO42" s="62">
        <f t="shared" si="36"/>
        <v>218.53758068502731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0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14.609375</v>
      </c>
      <c r="BD42" s="13">
        <f>IF('Données projet'!$A$88&gt;35,BD41+BC42-BL41,IF(A42&lt;'Données projet'!$A$88,$BA$205^A42,IF(A42='Données projet'!$A$88,'Données projet'!$B$88,BD41+BC42-BL41)))</f>
        <v>317.056375</v>
      </c>
      <c r="BE42" s="14">
        <f>BD42*VLOOKUP('Données projet'!$B$11,Paramètres!$A$1:$I$88,3,0)*VLOOKUP('Données projet'!$B$11,Paramètres!$A$1:$I$88,5,0)</f>
        <v>189.59971225000001</v>
      </c>
      <c r="BF42" s="14">
        <f t="shared" si="37"/>
        <v>47.451444053430613</v>
      </c>
      <c r="BG42" s="22">
        <f t="shared" si="7"/>
        <v>412.86409722847498</v>
      </c>
      <c r="BH42" s="62">
        <f t="shared" si="8"/>
        <v>706.19743056180823</v>
      </c>
      <c r="BI42" s="62">
        <f ca="1">AVERAGE(OFFSET($BH$3,0,0,'Données projet'!$E$11+1,1))-AVERAGE(OFFSET($H$3,0,0,'Données projet'!$E$11+1,1))</f>
        <v>215.43249078216331</v>
      </c>
      <c r="BJ42" s="62">
        <f t="shared" si="38"/>
        <v>363.02009369315232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17.152995753878969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0.99583731416669119</v>
      </c>
      <c r="BS42" s="24">
        <f t="shared" si="9"/>
        <v>18.148833068045661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projet'!$B$9,Paramètres!$A$1:$I$88,3,0)*VLOOKUP('Données projet'!$B$9,Paramètres!$A$1:$I$88,5,0)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430.21146937947236</v>
      </c>
      <c r="T43" s="62">
        <f t="shared" si="34"/>
        <v>231.36959598460686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125</v>
      </c>
      <c r="AG43" s="13">
        <f>VLOOKUP(A43,'Données projet'!$A$61:$I$81,9,0)</f>
        <v>6.2</v>
      </c>
      <c r="AH43" s="13">
        <f t="array" ref="AH43">INDEX(AG:AG,MIN(IF(ISNUMBER(AG43:AG239),ROW(AG43:AG239),"")))</f>
        <v>6.2</v>
      </c>
      <c r="AI43" s="14">
        <f>IF('Données projet'!$A$62&gt;35,AI42+AH43-AQ42,IF(A43&lt;'Données projet'!$A$62,$AF$205^A43,IF(A43='Données projet'!$A$62,'Données projet'!$B$62,AI42+AH43-AQ42)))</f>
        <v>125.00000000000003</v>
      </c>
      <c r="AJ43" s="14">
        <f>AI43*VLOOKUP('Données projet'!$B$10,Paramètres!$A$1:$I$88,3,0)*VLOOKUP('Données projet'!$B$10,Paramètres!$A$1:$I$88,5,0)</f>
        <v>118.95000000000003</v>
      </c>
      <c r="AK43" s="14">
        <f t="shared" si="35"/>
        <v>31.429978916194532</v>
      </c>
      <c r="AL43" s="22">
        <f t="shared" si="4"/>
        <v>261.9117966123722</v>
      </c>
      <c r="AM43" s="62">
        <f t="shared" si="5"/>
        <v>555.24512994570546</v>
      </c>
      <c r="AN43" s="62">
        <f ca="1">AVERAGE(OFFSET($AM$3,0,0,'Données projet'!$E$10+1,1))-AVERAGE(OFFSET($H$3,0,0,'Données projet'!$E$10+1,1))</f>
        <v>370.04285308422544</v>
      </c>
      <c r="AO43" s="62">
        <f t="shared" si="36"/>
        <v>218.53758068502731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0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14.609375</v>
      </c>
      <c r="BD43" s="13">
        <f>IF('Données projet'!$A$88&gt;35,BD42+BC43-BL42,IF(A43&lt;'Données projet'!$A$88,$BA$205^A43,IF(A43='Données projet'!$A$88,'Données projet'!$B$88,BD42+BC43-BL42)))</f>
        <v>331.66575</v>
      </c>
      <c r="BE43" s="14">
        <f>BD43*VLOOKUP('Données projet'!$B$11,Paramètres!$A$1:$I$88,3,0)*VLOOKUP('Données projet'!$B$11,Paramètres!$A$1:$I$88,5,0)</f>
        <v>198.33611850000003</v>
      </c>
      <c r="BF43" s="14">
        <f t="shared" si="37"/>
        <v>49.37831932783029</v>
      </c>
      <c r="BG43" s="22">
        <f t="shared" si="7"/>
        <v>431.43597921680447</v>
      </c>
      <c r="BH43" s="62">
        <f t="shared" si="8"/>
        <v>724.76931255013778</v>
      </c>
      <c r="BI43" s="62">
        <f ca="1">AVERAGE(OFFSET($BH$3,0,0,'Données projet'!$E$11+1,1))-AVERAGE(OFFSET($H$3,0,0,'Données projet'!$E$11+1,1))</f>
        <v>215.43249078216331</v>
      </c>
      <c r="BJ43" s="62">
        <f t="shared" si="38"/>
        <v>363.02009369315232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16.816635969439748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0.70416331780586572</v>
      </c>
      <c r="BS43" s="24">
        <f t="shared" si="9"/>
        <v>17.520799287245612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145.40000000000003</v>
      </c>
      <c r="O44" s="14">
        <f>N44*VLOOKUP('Données projet'!$B$9,Paramètres!$A$1:$I$88,3,0)*VLOOKUP('Données projet'!$B$9,Paramètres!$A$1:$I$88,5,0)</f>
        <v>131.55792000000002</v>
      </c>
      <c r="P44" s="14">
        <f t="shared" si="33"/>
        <v>34.3560989338864</v>
      </c>
      <c r="Q44" s="22">
        <f t="shared" si="53"/>
        <v>288.96691630985219</v>
      </c>
      <c r="R44" s="62">
        <f t="shared" si="0"/>
        <v>582.30024964318545</v>
      </c>
      <c r="S44" s="62">
        <f ca="1">AVERAGE(OFFSET($R$3,0,0,'Données projet'!$E$9+1,1))-AVERAGE(OFFSET($H$3,0,0,'Données projet'!$E$9+1,1))</f>
        <v>430.21146937947236</v>
      </c>
      <c r="T44" s="62">
        <f t="shared" si="34"/>
        <v>231.36959598460686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6.2</v>
      </c>
      <c r="AI44" s="14">
        <f>IF('Données projet'!$A$62&gt;35,AI43+AH44-AQ43,IF(A44&lt;'Données projet'!$A$62,$AF$205^A44,IF(A44='Données projet'!$A$62,'Données projet'!$B$62,AI43+AH44-AQ43)))</f>
        <v>131.20000000000002</v>
      </c>
      <c r="AJ44" s="14">
        <f>AI44*VLOOKUP('Données projet'!$B$10,Paramètres!$A$1:$I$88,3,0)*VLOOKUP('Données projet'!$B$10,Paramètres!$A$1:$I$88,5,0)</f>
        <v>124.84992000000003</v>
      </c>
      <c r="AK44" s="14">
        <f t="shared" si="35"/>
        <v>32.803541935396296</v>
      </c>
      <c r="AL44" s="22">
        <f t="shared" si="4"/>
        <v>274.5797795374819</v>
      </c>
      <c r="AM44" s="62">
        <f t="shared" si="5"/>
        <v>567.91311287081521</v>
      </c>
      <c r="AN44" s="62">
        <f ca="1">AVERAGE(OFFSET($AM$3,0,0,'Données projet'!$E$10+1,1))-AVERAGE(OFFSET($H$3,0,0,'Données projet'!$E$10+1,1))</f>
        <v>370.04285308422544</v>
      </c>
      <c r="AO44" s="62">
        <f t="shared" si="36"/>
        <v>218.53758068502731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0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14.609375</v>
      </c>
      <c r="BD44" s="13">
        <f>IF('Données projet'!$A$88&gt;35,BD43+BC44-BL43,IF(A44&lt;'Données projet'!$A$88,$BA$205^A44,IF(A44='Données projet'!$A$88,'Données projet'!$B$88,BD43+BC44-BL43)))</f>
        <v>346.275125</v>
      </c>
      <c r="BE44" s="14">
        <f>BD44*VLOOKUP('Données projet'!$B$11,Paramètres!$A$1:$I$88,3,0)*VLOOKUP('Données projet'!$B$11,Paramètres!$A$1:$I$88,5,0)</f>
        <v>207.07252475000001</v>
      </c>
      <c r="BF44" s="14">
        <f t="shared" si="37"/>
        <v>51.295336960414225</v>
      </c>
      <c r="BG44" s="22">
        <f t="shared" si="7"/>
        <v>449.99069247897137</v>
      </c>
      <c r="BH44" s="62">
        <f t="shared" si="8"/>
        <v>743.32402581230463</v>
      </c>
      <c r="BI44" s="62">
        <f ca="1">AVERAGE(OFFSET($BH$3,0,0,'Données projet'!$E$11+1,1))-AVERAGE(OFFSET($H$3,0,0,'Données projet'!$E$11+1,1))</f>
        <v>215.43249078216331</v>
      </c>
      <c r="BJ44" s="62">
        <f t="shared" si="38"/>
        <v>363.02009369315232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16.486871995214166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0.49791865708334565</v>
      </c>
      <c r="BS44" s="24">
        <f t="shared" si="9"/>
        <v>16.984790652297512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153.80000000000004</v>
      </c>
      <c r="O45" s="14">
        <f>N45*VLOOKUP('Données projet'!$B$9,Paramètres!$A$1:$I$88,3,0)*VLOOKUP('Données projet'!$B$9,Paramètres!$A$1:$I$88,5,0)</f>
        <v>139.15824000000003</v>
      </c>
      <c r="P45" s="14">
        <f t="shared" si="33"/>
        <v>36.104102468715482</v>
      </c>
      <c r="Q45" s="22">
        <f t="shared" si="53"/>
        <v>305.24857979967953</v>
      </c>
      <c r="R45" s="62">
        <f t="shared" si="0"/>
        <v>598.5819131330129</v>
      </c>
      <c r="S45" s="62">
        <f ca="1">AVERAGE(OFFSET($R$3,0,0,'Données projet'!$E$9+1,1))-AVERAGE(OFFSET($H$3,0,0,'Données projet'!$E$9+1,1))</f>
        <v>430.21146937947236</v>
      </c>
      <c r="T45" s="62">
        <f t="shared" si="34"/>
        <v>231.36959598460686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6.2</v>
      </c>
      <c r="AI45" s="14">
        <f>IF('Données projet'!$A$62&gt;35,AI44+AH45-AQ44,IF(A45&lt;'Données projet'!$A$62,$AF$205^A45,IF(A45='Données projet'!$A$62,'Données projet'!$B$62,AI44+AH45-AQ44)))</f>
        <v>137.4</v>
      </c>
      <c r="AJ45" s="14">
        <f>AI45*VLOOKUP('Données projet'!$B$10,Paramètres!$A$1:$I$88,3,0)*VLOOKUP('Données projet'!$B$10,Paramètres!$A$1:$I$88,5,0)</f>
        <v>130.74984000000001</v>
      </c>
      <c r="AK45" s="14">
        <f t="shared" si="35"/>
        <v>34.169567299991897</v>
      </c>
      <c r="AL45" s="22">
        <f t="shared" si="4"/>
        <v>287.23463438081922</v>
      </c>
      <c r="AM45" s="62">
        <f t="shared" si="5"/>
        <v>580.56796771415247</v>
      </c>
      <c r="AN45" s="62">
        <f ca="1">AVERAGE(OFFSET($AM$3,0,0,'Données projet'!$E$10+1,1))-AVERAGE(OFFSET($H$3,0,0,'Données projet'!$E$10+1,1))</f>
        <v>370.04285308422544</v>
      </c>
      <c r="AO45" s="62">
        <f t="shared" si="36"/>
        <v>218.53758068502731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0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360.8845</v>
      </c>
      <c r="BB45" s="13">
        <f>VLOOKUP(A45,'Données projet'!$A$87:$I$107,9,0)</f>
        <v>14.609375</v>
      </c>
      <c r="BC45" s="13">
        <f t="array" ref="BC45">INDEX(BB:BB,MIN(IF(ISNUMBER(BB45:BB241),ROW(BB45:BB241),"")))</f>
        <v>14.609375</v>
      </c>
      <c r="BD45" s="13">
        <f>IF('Données projet'!$A$88&gt;35,BD44+BC45-BL44,IF(A45&lt;'Données projet'!$A$88,$BA$205^A45,IF(A45='Données projet'!$A$88,'Données projet'!$B$88,BD44+BC45-BL44)))</f>
        <v>360.8845</v>
      </c>
      <c r="BE45" s="14">
        <f>BD45*VLOOKUP('Données projet'!$B$11,Paramètres!$A$1:$I$88,3,0)*VLOOKUP('Données projet'!$B$11,Paramètres!$A$1:$I$88,5,0)</f>
        <v>215.80893100000003</v>
      </c>
      <c r="BF45" s="14">
        <f t="shared" si="37"/>
        <v>53.202960398285519</v>
      </c>
      <c r="BG45" s="22">
        <f t="shared" si="7"/>
        <v>468.52904418534735</v>
      </c>
      <c r="BH45" s="62">
        <f t="shared" si="8"/>
        <v>761.86237751868066</v>
      </c>
      <c r="BI45" s="62">
        <f ca="1">AVERAGE(OFFSET($BH$3,0,0,'Données projet'!$E$11+1,1))-AVERAGE(OFFSET($H$3,0,0,'Données projet'!$E$11+1,1))</f>
        <v>215.43249078216331</v>
      </c>
      <c r="BJ45" s="62">
        <f t="shared" si="38"/>
        <v>363.02009369315232</v>
      </c>
      <c r="BK45" s="16">
        <f>IF(ISNA(VLOOKUP(A45,'Données projet'!$A$87:$I$107,3,0)),0,VLOOKUP(A45,'Données projet'!$A$87:$I$107,3,0))</f>
        <v>5</v>
      </c>
      <c r="BL45" s="16">
        <f>IF(ISNA(VLOOKUP(A45,'Données projet'!$A$87:$I$107,4,0)),0,VLOOKUP(A45,'Données projet'!$A$87:$I$107,4,0))</f>
        <v>360.8845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16.163574491386985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0.35208165890293291</v>
      </c>
      <c r="BS45" s="24">
        <f t="shared" si="9"/>
        <v>16.515656150289917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162.20000000000005</v>
      </c>
      <c r="O46" s="14">
        <f>N46*VLOOKUP('Données projet'!$B$9,Paramètres!$A$1:$I$88,3,0)*VLOOKUP('Données projet'!$B$9,Paramètres!$A$1:$I$88,5,0)</f>
        <v>146.75856000000005</v>
      </c>
      <c r="P46" s="14">
        <f t="shared" si="33"/>
        <v>37.841022770456242</v>
      </c>
      <c r="Q46" s="22">
        <f t="shared" si="53"/>
        <v>321.51093999187805</v>
      </c>
      <c r="R46" s="62">
        <f t="shared" si="0"/>
        <v>614.84427332521136</v>
      </c>
      <c r="S46" s="62">
        <f ca="1">AVERAGE(OFFSET($R$3,0,0,'Données projet'!$E$9+1,1))-AVERAGE(OFFSET($H$3,0,0,'Données projet'!$E$9+1,1))</f>
        <v>430.21146937947236</v>
      </c>
      <c r="T46" s="62">
        <f t="shared" si="34"/>
        <v>231.36959598460686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6.2</v>
      </c>
      <c r="AI46" s="14">
        <f>IF('Données projet'!$A$62&gt;35,AI45+AH46-AQ45,IF(A46&lt;'Données projet'!$A$62,$AF$205^A46,IF(A46='Données projet'!$A$62,'Données projet'!$B$62,AI45+AH46-AQ45)))</f>
        <v>143.6</v>
      </c>
      <c r="AJ46" s="14">
        <f>AI46*VLOOKUP('Données projet'!$B$10,Paramètres!$A$1:$I$88,3,0)*VLOOKUP('Données projet'!$B$10,Paramètres!$A$1:$I$88,5,0)</f>
        <v>136.64975999999999</v>
      </c>
      <c r="AK46" s="14">
        <f t="shared" si="35"/>
        <v>35.528433995130584</v>
      </c>
      <c r="AL46" s="22">
        <f t="shared" si="4"/>
        <v>299.87702120818574</v>
      </c>
      <c r="AM46" s="62">
        <f t="shared" si="5"/>
        <v>593.21035454151911</v>
      </c>
      <c r="AN46" s="62">
        <f ca="1">AVERAGE(OFFSET($AM$3,0,0,'Données projet'!$E$10+1,1))-AVERAGE(OFFSET($H$3,0,0,'Données projet'!$E$10+1,1))</f>
        <v>370.04285308422544</v>
      </c>
      <c r="AO46" s="62">
        <f t="shared" si="36"/>
        <v>218.53758068502731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0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projet'!$B$11,Paramètres!$A$1:$I$88,3,0)*VLOOKUP('Données projet'!$B$11,Paramètres!$A$1:$I$88,5,0)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215.43249078216331</v>
      </c>
      <c r="BJ46" s="62">
        <f t="shared" si="38"/>
        <v>363.02009369315232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15.846616654417849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0.24895932854167285</v>
      </c>
      <c r="BS46" s="24">
        <f t="shared" si="9"/>
        <v>16.09557598295952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170.60000000000005</v>
      </c>
      <c r="O47" s="14">
        <f>N47*VLOOKUP('Données projet'!$B$9,Paramètres!$A$1:$I$88,3,0)*VLOOKUP('Données projet'!$B$9,Paramètres!$A$1:$I$88,5,0)</f>
        <v>154.35888000000003</v>
      </c>
      <c r="P47" s="14">
        <f t="shared" si="33"/>
        <v>39.567499286120309</v>
      </c>
      <c r="Q47" s="22">
        <f t="shared" si="53"/>
        <v>337.75511058999291</v>
      </c>
      <c r="R47" s="62">
        <f t="shared" si="0"/>
        <v>631.08844392332617</v>
      </c>
      <c r="S47" s="62">
        <f ca="1">AVERAGE(OFFSET($R$3,0,0,'Données projet'!$E$9+1,1))-AVERAGE(OFFSET($H$3,0,0,'Données projet'!$E$9+1,1))</f>
        <v>430.21146937947236</v>
      </c>
      <c r="T47" s="62">
        <f t="shared" si="34"/>
        <v>231.36959598460686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6.2</v>
      </c>
      <c r="AI47" s="14">
        <f>IF('Données projet'!$A$62&gt;35,AI46+AH47-AQ46,IF(A47&lt;'Données projet'!$A$62,$AF$205^A47,IF(A47='Données projet'!$A$62,'Données projet'!$B$62,AI46+AH47-AQ46)))</f>
        <v>149.79999999999998</v>
      </c>
      <c r="AJ47" s="14">
        <f>AI47*VLOOKUP('Données projet'!$B$10,Paramètres!$A$1:$I$88,3,0)*VLOOKUP('Données projet'!$B$10,Paramètres!$A$1:$I$88,5,0)</f>
        <v>142.54968</v>
      </c>
      <c r="AK47" s="14">
        <f t="shared" si="35"/>
        <v>36.880486429449853</v>
      </c>
      <c r="AL47" s="22">
        <f t="shared" si="4"/>
        <v>312.50753986462513</v>
      </c>
      <c r="AM47" s="62">
        <f t="shared" si="5"/>
        <v>605.84087319795844</v>
      </c>
      <c r="AN47" s="62">
        <f ca="1">AVERAGE(OFFSET($AM$3,0,0,'Données projet'!$E$10+1,1))-AVERAGE(OFFSET($H$3,0,0,'Données projet'!$E$10+1,1))</f>
        <v>370.04285308422544</v>
      </c>
      <c r="AO47" s="62">
        <f t="shared" si="36"/>
        <v>218.53758068502731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0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projet'!$B$11,Paramètres!$A$1:$I$88,3,0)*VLOOKUP('Données projet'!$B$11,Paramètres!$A$1:$I$88,5,0)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215.43249078216331</v>
      </c>
      <c r="BJ47" s="62">
        <f t="shared" si="38"/>
        <v>363.02009369315232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15.535874167306487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0.17604082945146649</v>
      </c>
      <c r="BS47" s="24">
        <f t="shared" si="9"/>
        <v>15.711914996757953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179.00000000000006</v>
      </c>
      <c r="O48" s="14">
        <f>N48*VLOOKUP('Données projet'!$B$9,Paramètres!$A$1:$I$88,3,0)*VLOOKUP('Données projet'!$B$9,Paramètres!$A$1:$I$88,5,0)</f>
        <v>161.95920000000004</v>
      </c>
      <c r="P48" s="14">
        <f t="shared" si="33"/>
        <v>41.284104935125725</v>
      </c>
      <c r="Q48" s="22">
        <f t="shared" si="53"/>
        <v>353.9820894286774</v>
      </c>
      <c r="R48" s="62">
        <f t="shared" si="0"/>
        <v>647.31542276201071</v>
      </c>
      <c r="S48" s="62">
        <f ca="1">AVERAGE(OFFSET($R$3,0,0,'Données projet'!$E$9+1,1))-AVERAGE(OFFSET($H$3,0,0,'Données projet'!$E$9+1,1))</f>
        <v>430.21146937947236</v>
      </c>
      <c r="T48" s="62">
        <f t="shared" si="34"/>
        <v>231.36959598460686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156</v>
      </c>
      <c r="AG48" s="13">
        <f>VLOOKUP(A48,'Données projet'!$A$61:$I$81,9,0)</f>
        <v>6.2</v>
      </c>
      <c r="AH48" s="13">
        <f t="array" ref="AH48">INDEX(AG:AG,MIN(IF(ISNUMBER(AG48:AG244),ROW(AG48:AG244),"")))</f>
        <v>6.2</v>
      </c>
      <c r="AI48" s="14">
        <f>IF('Données projet'!$A$62&gt;35,AI47+AH48-AQ47,IF(A48&lt;'Données projet'!$A$62,$AF$205^A48,IF(A48='Données projet'!$A$62,'Données projet'!$B$62,AI47+AH48-AQ47)))</f>
        <v>155.99999999999997</v>
      </c>
      <c r="AJ48" s="14">
        <f>AI48*VLOOKUP('Données projet'!$B$10,Paramètres!$A$1:$I$88,3,0)*VLOOKUP('Données projet'!$B$10,Paramètres!$A$1:$I$88,5,0)</f>
        <v>148.44959999999998</v>
      </c>
      <c r="AK48" s="14">
        <f t="shared" si="35"/>
        <v>38.226038889407498</v>
      </c>
      <c r="AL48" s="22">
        <f t="shared" si="4"/>
        <v>325.1267377323847</v>
      </c>
      <c r="AM48" s="62">
        <f t="shared" si="5"/>
        <v>618.46007106571801</v>
      </c>
      <c r="AN48" s="62">
        <f ca="1">AVERAGE(OFFSET($AM$3,0,0,'Données projet'!$E$10+1,1))-AVERAGE(OFFSET($H$3,0,0,'Données projet'!$E$10+1,1))</f>
        <v>370.04285308422544</v>
      </c>
      <c r="AO48" s="62">
        <f t="shared" si="36"/>
        <v>218.53758068502731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27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0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projet'!$B$11,Paramètres!$A$1:$I$88,3,0)*VLOOKUP('Données projet'!$B$11,Paramètres!$A$1:$I$88,5,0)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215.43249078216331</v>
      </c>
      <c r="BJ48" s="62">
        <f t="shared" si="38"/>
        <v>363.02009369315232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15.231225150833176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0.12447966427083645</v>
      </c>
      <c r="BS48" s="24">
        <f t="shared" si="9"/>
        <v>15.355704815104012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projet'!$B$9,Paramètres!$A$1:$I$88,3,0)*VLOOKUP('Données projet'!$B$9,Paramètres!$A$1:$I$88,5,0)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581.91234573782231</v>
      </c>
      <c r="S49" s="62">
        <f ca="1">AVERAGE(OFFSET($R$3,0,0,'Données projet'!$E$9+1,1))-AVERAGE(OFFSET($H$3,0,0,'Données projet'!$E$9+1,1))</f>
        <v>430.21146937947236</v>
      </c>
      <c r="T49" s="62">
        <f t="shared" si="34"/>
        <v>231.36959598460686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</v>
      </c>
      <c r="AI49" s="14">
        <f>IF('Données projet'!$A$62&gt;35,AI48+AH49-AQ48,IF(A49&lt;'Données projet'!$A$62,$AF$205^A49,IF(A49='Données projet'!$A$62,'Données projet'!$B$62,AI48+AH49-AQ48)))</f>
        <v>134.99999999999997</v>
      </c>
      <c r="AJ49" s="14">
        <f>AI49*VLOOKUP('Données projet'!$B$10,Paramètres!$A$1:$I$88,3,0)*VLOOKUP('Données projet'!$B$10,Paramètres!$A$1:$I$88,5,0)</f>
        <v>128.46599999999998</v>
      </c>
      <c r="AK49" s="14">
        <f t="shared" si="35"/>
        <v>33.64165246545825</v>
      </c>
      <c r="AL49" s="22">
        <f t="shared" si="4"/>
        <v>282.33749471067301</v>
      </c>
      <c r="AM49" s="62">
        <f t="shared" si="5"/>
        <v>575.67082804400638</v>
      </c>
      <c r="AN49" s="62">
        <f ca="1">AVERAGE(OFFSET($AM$3,0,0,'Données projet'!$E$10+1,1))-AVERAGE(OFFSET($H$3,0,0,'Données projet'!$E$10+1,1))</f>
        <v>370.04285308422544</v>
      </c>
      <c r="AO49" s="62">
        <f t="shared" si="36"/>
        <v>218.53758068502731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0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projet'!$B$11,Paramètres!$A$1:$I$88,3,0)*VLOOKUP('Données projet'!$B$11,Paramètres!$A$1:$I$88,5,0)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215.43249078216331</v>
      </c>
      <c r="BJ49" s="62">
        <f t="shared" si="38"/>
        <v>363.02009369315232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14.932550115755355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8.8020414725733256E-2</v>
      </c>
      <c r="BS49" s="24">
        <f t="shared" si="9"/>
        <v>15.020570530481088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projet'!$B$9,Paramètres!$A$1:$I$88,3,0)*VLOOKUP('Données projet'!$B$9,Paramètres!$A$1:$I$88,5,0)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597.80704287706749</v>
      </c>
      <c r="S50" s="62">
        <f ca="1">AVERAGE(OFFSET($R$3,0,0,'Données projet'!$E$9+1,1))-AVERAGE(OFFSET($H$3,0,0,'Données projet'!$E$9+1,1))</f>
        <v>430.21146937947236</v>
      </c>
      <c r="T50" s="62">
        <f t="shared" si="34"/>
        <v>231.36959598460686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</v>
      </c>
      <c r="AI50" s="14">
        <f>IF('Données projet'!$A$62&gt;35,AI49+AH50-AQ49,IF(A50&lt;'Données projet'!$A$62,$AF$205^A50,IF(A50='Données projet'!$A$62,'Données projet'!$B$62,AI49+AH50-AQ49)))</f>
        <v>140.99999999999997</v>
      </c>
      <c r="AJ50" s="14">
        <f>AI50*VLOOKUP('Données projet'!$B$10,Paramètres!$A$1:$I$88,3,0)*VLOOKUP('Données projet'!$B$10,Paramètres!$A$1:$I$88,5,0)</f>
        <v>134.17559999999997</v>
      </c>
      <c r="AK50" s="14">
        <f t="shared" si="35"/>
        <v>34.959435402722733</v>
      </c>
      <c r="AL50" s="22">
        <f t="shared" si="4"/>
        <v>294.5768533264087</v>
      </c>
      <c r="AM50" s="62">
        <f t="shared" si="5"/>
        <v>587.91018665974207</v>
      </c>
      <c r="AN50" s="62">
        <f ca="1">AVERAGE(OFFSET($AM$3,0,0,'Données projet'!$E$10+1,1))-AVERAGE(OFFSET($H$3,0,0,'Données projet'!$E$10+1,1))</f>
        <v>370.04285308422544</v>
      </c>
      <c r="AO50" s="62">
        <f t="shared" si="36"/>
        <v>218.53758068502731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0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projet'!$B$11,Paramètres!$A$1:$I$88,3,0)*VLOOKUP('Données projet'!$B$11,Paramètres!$A$1:$I$88,5,0)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215.43249078216331</v>
      </c>
      <c r="BJ50" s="62">
        <f t="shared" si="38"/>
        <v>363.02009369315232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14.639731915941626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6.2239832135418234E-2</v>
      </c>
      <c r="BS50" s="24">
        <f t="shared" si="9"/>
        <v>14.701971748077044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projet'!$B$9,Paramètres!$A$1:$I$88,3,0)*VLOOKUP('Données projet'!$B$9,Paramètres!$A$1:$I$88,5,0)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613.68329187962263</v>
      </c>
      <c r="S51" s="62">
        <f ca="1">AVERAGE(OFFSET($R$3,0,0,'Données projet'!$E$9+1,1))-AVERAGE(OFFSET($H$3,0,0,'Données projet'!$E$9+1,1))</f>
        <v>430.21146937947236</v>
      </c>
      <c r="T51" s="62">
        <f t="shared" si="34"/>
        <v>231.36959598460686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</v>
      </c>
      <c r="AI51" s="14">
        <f>IF('Données projet'!$A$62&gt;35,AI50+AH51-AQ50,IF(A51&lt;'Données projet'!$A$62,$AF$205^A51,IF(A51='Données projet'!$A$62,'Données projet'!$B$62,AI50+AH51-AQ50)))</f>
        <v>146.99999999999997</v>
      </c>
      <c r="AJ51" s="14">
        <f>AI51*VLOOKUP('Données projet'!$B$10,Paramètres!$A$1:$I$88,3,0)*VLOOKUP('Données projet'!$B$10,Paramètres!$A$1:$I$88,5,0)</f>
        <v>139.8852</v>
      </c>
      <c r="AK51" s="14">
        <f t="shared" si="35"/>
        <v>36.2707051716027</v>
      </c>
      <c r="AL51" s="22">
        <f t="shared" si="4"/>
        <v>306.80486817387464</v>
      </c>
      <c r="AM51" s="62">
        <f t="shared" si="5"/>
        <v>600.1382015072079</v>
      </c>
      <c r="AN51" s="62">
        <f ca="1">AVERAGE(OFFSET($AM$3,0,0,'Données projet'!$E$10+1,1))-AVERAGE(OFFSET($H$3,0,0,'Données projet'!$E$10+1,1))</f>
        <v>370.04285308422544</v>
      </c>
      <c r="AO51" s="62">
        <f t="shared" si="36"/>
        <v>218.53758068502731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0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projet'!$B$11,Paramètres!$A$1:$I$88,3,0)*VLOOKUP('Données projet'!$B$11,Paramètres!$A$1:$I$88,5,0)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215.43249078216331</v>
      </c>
      <c r="BJ51" s="62">
        <f t="shared" si="38"/>
        <v>363.02009369315232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14.352655702424778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4.4010207362866635E-2</v>
      </c>
      <c r="BS51" s="24">
        <f t="shared" si="9"/>
        <v>14.396665909787645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projet'!$B$9,Paramètres!$A$1:$I$88,3,0)*VLOOKUP('Données projet'!$B$9,Paramètres!$A$1:$I$88,5,0)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629.54213565092948</v>
      </c>
      <c r="S52" s="62">
        <f ca="1">AVERAGE(OFFSET($R$3,0,0,'Données projet'!$E$9+1,1))-AVERAGE(OFFSET($H$3,0,0,'Données projet'!$E$9+1,1))</f>
        <v>430.21146937947236</v>
      </c>
      <c r="T52" s="62">
        <f t="shared" si="34"/>
        <v>231.36959598460686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</v>
      </c>
      <c r="AI52" s="14">
        <f>IF('Données projet'!$A$62&gt;35,AI51+AH52-AQ51,IF(A52&lt;'Données projet'!$A$62,$AF$205^A52,IF(A52='Données projet'!$A$62,'Données projet'!$B$62,AI51+AH52-AQ51)))</f>
        <v>152.99999999999997</v>
      </c>
      <c r="AJ52" s="14">
        <f>AI52*VLOOKUP('Données projet'!$B$10,Paramètres!$A$1:$I$88,3,0)*VLOOKUP('Données projet'!$B$10,Paramètres!$A$1:$I$88,5,0)</f>
        <v>145.59479999999999</v>
      </c>
      <c r="AK52" s="14">
        <f t="shared" si="35"/>
        <v>37.575758023691719</v>
      </c>
      <c r="AL52" s="22">
        <f t="shared" si="4"/>
        <v>319.02205522459639</v>
      </c>
      <c r="AM52" s="62">
        <f t="shared" si="5"/>
        <v>612.3553885579297</v>
      </c>
      <c r="AN52" s="62">
        <f ca="1">AVERAGE(OFFSET($AM$3,0,0,'Données projet'!$E$10+1,1))-AVERAGE(OFFSET($H$3,0,0,'Données projet'!$E$10+1,1))</f>
        <v>370.04285308422544</v>
      </c>
      <c r="AO52" s="62">
        <f t="shared" si="36"/>
        <v>218.53758068502731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0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projet'!$B$11,Paramètres!$A$1:$I$88,3,0)*VLOOKUP('Données projet'!$B$11,Paramètres!$A$1:$I$88,5,0)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215.43249078216331</v>
      </c>
      <c r="BJ52" s="62">
        <f t="shared" si="38"/>
        <v>363.02009369315232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14.071208878355796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3.1119916067709124E-2</v>
      </c>
      <c r="BS52" s="24">
        <f t="shared" si="9"/>
        <v>14.102328794423505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projet'!$B$9,Paramètres!$A$1:$I$88,3,0)*VLOOKUP('Données projet'!$B$9,Paramètres!$A$1:$I$88,5,0)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645.38451067704386</v>
      </c>
      <c r="S53" s="62">
        <f ca="1">AVERAGE(OFFSET($R$3,0,0,'Données projet'!$E$9+1,1))-AVERAGE(OFFSET($H$3,0,0,'Données projet'!$E$9+1,1))</f>
        <v>430.21146937947236</v>
      </c>
      <c r="T53" s="62">
        <f t="shared" si="34"/>
        <v>231.36959598460686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159</v>
      </c>
      <c r="AG53" s="13">
        <f>VLOOKUP(A53,'Données projet'!$A$61:$I$81,9,0)</f>
        <v>6</v>
      </c>
      <c r="AH53" s="13">
        <f t="array" ref="AH53">INDEX(AG:AG,MIN(IF(ISNUMBER(AG53:AG249),ROW(AG53:AG249),"")))</f>
        <v>6</v>
      </c>
      <c r="AI53" s="14">
        <f>IF('Données projet'!$A$62&gt;35,AI52+AH53-AQ52,IF(A53&lt;'Données projet'!$A$62,$AF$205^A53,IF(A53='Données projet'!$A$62,'Données projet'!$B$62,AI52+AH53-AQ52)))</f>
        <v>158.99999999999997</v>
      </c>
      <c r="AJ53" s="14">
        <f>AI53*VLOOKUP('Données projet'!$B$10,Paramètres!$A$1:$I$88,3,0)*VLOOKUP('Données projet'!$B$10,Paramètres!$A$1:$I$88,5,0)</f>
        <v>151.30439999999999</v>
      </c>
      <c r="AK53" s="14">
        <f t="shared" si="35"/>
        <v>38.874865659640861</v>
      </c>
      <c r="AL53" s="22">
        <f t="shared" si="4"/>
        <v>331.22888769054117</v>
      </c>
      <c r="AM53" s="62">
        <f t="shared" si="5"/>
        <v>624.56222102387449</v>
      </c>
      <c r="AN53" s="62">
        <f ca="1">AVERAGE(OFFSET($AM$3,0,0,'Données projet'!$E$10+1,1))-AVERAGE(OFFSET($H$3,0,0,'Données projet'!$E$10+1,1))</f>
        <v>370.04285308422544</v>
      </c>
      <c r="AO53" s="62">
        <f t="shared" si="36"/>
        <v>218.53758068502731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0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projet'!$B$11,Paramètres!$A$1:$I$88,3,0)*VLOOKUP('Données projet'!$B$11,Paramètres!$A$1:$I$88,5,0)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215.43249078216331</v>
      </c>
      <c r="BJ53" s="62">
        <f t="shared" si="38"/>
        <v>363.02009369315232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13.795281054841194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2.2005103681433321E-2</v>
      </c>
      <c r="BS53" s="24">
        <f t="shared" si="9"/>
        <v>13.817286158522627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186</v>
      </c>
      <c r="O54" s="14">
        <f>N54*VLOOKUP('Données projet'!$B$9,Paramètres!$A$1:$I$88,3,0)*VLOOKUP('Données projet'!$B$9,Paramètres!$A$1:$I$88,5,0)</f>
        <v>168.2928</v>
      </c>
      <c r="P54" s="14">
        <f t="shared" si="33"/>
        <v>42.707443263135104</v>
      </c>
      <c r="Q54" s="22">
        <f t="shared" si="53"/>
        <v>367.49209034996028</v>
      </c>
      <c r="R54" s="62">
        <f t="shared" si="0"/>
        <v>660.82542368329359</v>
      </c>
      <c r="S54" s="62">
        <f ca="1">AVERAGE(OFFSET($R$3,0,0,'Données projet'!$E$9+1,1))-AVERAGE(OFFSET($H$3,0,0,'Données projet'!$E$9+1,1))</f>
        <v>430.21146937947236</v>
      </c>
      <c r="T54" s="62">
        <f t="shared" si="34"/>
        <v>231.36959598460686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164.59999999999997</v>
      </c>
      <c r="AJ54" s="14">
        <f>AI54*VLOOKUP('Données projet'!$B$10,Paramètres!$A$1:$I$88,3,0)*VLOOKUP('Données projet'!$B$10,Paramètres!$A$1:$I$88,5,0)</f>
        <v>156.63335999999998</v>
      </c>
      <c r="AK54" s="14">
        <f t="shared" si="35"/>
        <v>40.0822230758424</v>
      </c>
      <c r="AL54" s="22">
        <f t="shared" si="4"/>
        <v>342.61297385709213</v>
      </c>
      <c r="AM54" s="62">
        <f t="shared" si="5"/>
        <v>635.94630719042539</v>
      </c>
      <c r="AN54" s="62">
        <f ca="1">AVERAGE(OFFSET($AM$3,0,0,'Données projet'!$E$10+1,1))-AVERAGE(OFFSET($H$3,0,0,'Données projet'!$E$10+1,1))</f>
        <v>370.04285308422544</v>
      </c>
      <c r="AO54" s="62">
        <f t="shared" si="36"/>
        <v>218.53758068502731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0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projet'!$B$11,Paramètres!$A$1:$I$88,3,0)*VLOOKUP('Données projet'!$B$11,Paramètres!$A$1:$I$88,5,0)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215.43249078216331</v>
      </c>
      <c r="BJ54" s="62">
        <f t="shared" si="38"/>
        <v>363.02009369315232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13.524764007646359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1.5559958033854564E-2</v>
      </c>
      <c r="BS54" s="24">
        <f t="shared" si="9"/>
        <v>13.540323965680214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194</v>
      </c>
      <c r="O55" s="14">
        <f>N55*VLOOKUP('Données projet'!$B$9,Paramètres!$A$1:$I$88,3,0)*VLOOKUP('Données projet'!$B$9,Paramètres!$A$1:$I$88,5,0)</f>
        <v>175.53120000000001</v>
      </c>
      <c r="P55" s="14">
        <f t="shared" si="33"/>
        <v>44.326510481422488</v>
      </c>
      <c r="Q55" s="22">
        <f t="shared" si="53"/>
        <v>382.9188457551441</v>
      </c>
      <c r="R55" s="62">
        <f t="shared" si="0"/>
        <v>676.25217908847742</v>
      </c>
      <c r="S55" s="62">
        <f ca="1">AVERAGE(OFFSET($R$3,0,0,'Données projet'!$E$9+1,1))-AVERAGE(OFFSET($H$3,0,0,'Données projet'!$E$9+1,1))</f>
        <v>430.21146937947236</v>
      </c>
      <c r="T55" s="62">
        <f t="shared" si="34"/>
        <v>231.36959598460686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170.19999999999996</v>
      </c>
      <c r="AJ55" s="14">
        <f>AI55*VLOOKUP('Données projet'!$B$10,Paramètres!$A$1:$I$88,3,0)*VLOOKUP('Données projet'!$B$10,Paramètres!$A$1:$I$88,5,0)</f>
        <v>161.96231999999998</v>
      </c>
      <c r="AK55" s="14">
        <f t="shared" si="35"/>
        <v>41.284807662812497</v>
      </c>
      <c r="AL55" s="22">
        <f t="shared" si="4"/>
        <v>353.98874734606505</v>
      </c>
      <c r="AM55" s="62">
        <f t="shared" si="5"/>
        <v>647.32208067939837</v>
      </c>
      <c r="AN55" s="62">
        <f ca="1">AVERAGE(OFFSET($AM$3,0,0,'Données projet'!$E$10+1,1))-AVERAGE(OFFSET($H$3,0,0,'Données projet'!$E$10+1,1))</f>
        <v>370.04285308422544</v>
      </c>
      <c r="AO55" s="62">
        <f t="shared" si="36"/>
        <v>218.53758068502731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0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projet'!$B$11,Paramètres!$A$1:$I$88,3,0)*VLOOKUP('Données projet'!$B$11,Paramètres!$A$1:$I$88,5,0)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215.43249078216331</v>
      </c>
      <c r="BJ55" s="62">
        <f t="shared" si="38"/>
        <v>363.02009369315232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13.259551634747909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1.1002551840716662E-2</v>
      </c>
      <c r="BS55" s="24">
        <f t="shared" si="9"/>
        <v>13.270554186588626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202</v>
      </c>
      <c r="O56" s="14">
        <f>N56*VLOOKUP('Données projet'!$B$9,Paramètres!$A$1:$I$88,3,0)*VLOOKUP('Données projet'!$B$9,Paramètres!$A$1:$I$88,5,0)</f>
        <v>182.7696</v>
      </c>
      <c r="P56" s="14">
        <f t="shared" si="33"/>
        <v>45.937822477650357</v>
      </c>
      <c r="Q56" s="22">
        <f t="shared" si="53"/>
        <v>398.33209414857441</v>
      </c>
      <c r="R56" s="62">
        <f t="shared" si="0"/>
        <v>691.66542748190773</v>
      </c>
      <c r="S56" s="62">
        <f ca="1">AVERAGE(OFFSET($R$3,0,0,'Données projet'!$E$9+1,1))-AVERAGE(OFFSET($H$3,0,0,'Données projet'!$E$9+1,1))</f>
        <v>430.21146937947236</v>
      </c>
      <c r="T56" s="62">
        <f t="shared" si="34"/>
        <v>231.36959598460686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175.79999999999995</v>
      </c>
      <c r="AJ56" s="14">
        <f>AI56*VLOOKUP('Données projet'!$B$10,Paramètres!$A$1:$I$88,3,0)*VLOOKUP('Données projet'!$B$10,Paramètres!$A$1:$I$88,5,0)</f>
        <v>167.29127999999997</v>
      </c>
      <c r="AK56" s="14">
        <f t="shared" si="35"/>
        <v>42.482794466464185</v>
      </c>
      <c r="AL56" s="22">
        <f t="shared" si="4"/>
        <v>365.35651302909173</v>
      </c>
      <c r="AM56" s="62">
        <f t="shared" si="5"/>
        <v>658.68984636242499</v>
      </c>
      <c r="AN56" s="62">
        <f ca="1">AVERAGE(OFFSET($AM$3,0,0,'Données projet'!$E$10+1,1))-AVERAGE(OFFSET($H$3,0,0,'Données projet'!$E$10+1,1))</f>
        <v>370.04285308422544</v>
      </c>
      <c r="AO56" s="62">
        <f t="shared" si="36"/>
        <v>218.53758068502731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0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projet'!$B$11,Paramètres!$A$1:$I$88,3,0)*VLOOKUP('Données projet'!$B$11,Paramètres!$A$1:$I$88,5,0)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215.43249078216331</v>
      </c>
      <c r="BJ56" s="62">
        <f t="shared" si="38"/>
        <v>363.02009369315232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12.999539914718422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7.7799790169272827E-3</v>
      </c>
      <c r="BS56" s="24">
        <f t="shared" si="9"/>
        <v>13.00731989373535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210</v>
      </c>
      <c r="O57" s="14">
        <f>N57*VLOOKUP('Données projet'!$B$9,Paramètres!$A$1:$I$88,3,0)*VLOOKUP('Données projet'!$B$9,Paramètres!$A$1:$I$88,5,0)</f>
        <v>190.00800000000001</v>
      </c>
      <c r="P57" s="14">
        <f t="shared" si="33"/>
        <v>47.541721533308163</v>
      </c>
      <c r="Q57" s="22">
        <f t="shared" si="53"/>
        <v>413.73243167051174</v>
      </c>
      <c r="R57" s="62">
        <f t="shared" si="0"/>
        <v>707.06576500384506</v>
      </c>
      <c r="S57" s="62">
        <f ca="1">AVERAGE(OFFSET($R$3,0,0,'Données projet'!$E$9+1,1))-AVERAGE(OFFSET($H$3,0,0,'Données projet'!$E$9+1,1))</f>
        <v>430.21146937947236</v>
      </c>
      <c r="T57" s="62">
        <f t="shared" si="34"/>
        <v>231.36959598460686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181.39999999999995</v>
      </c>
      <c r="AJ57" s="14">
        <f>AI57*VLOOKUP('Données projet'!$B$10,Paramètres!$A$1:$I$88,3,0)*VLOOKUP('Données projet'!$B$10,Paramètres!$A$1:$I$88,5,0)</f>
        <v>172.62023999999997</v>
      </c>
      <c r="AK57" s="14">
        <f t="shared" si="35"/>
        <v>43.676346747508411</v>
      </c>
      <c r="AL57" s="22">
        <f t="shared" si="4"/>
        <v>376.71655525191045</v>
      </c>
      <c r="AM57" s="62">
        <f t="shared" si="5"/>
        <v>670.04988858524371</v>
      </c>
      <c r="AN57" s="62">
        <f ca="1">AVERAGE(OFFSET($AM$3,0,0,'Données projet'!$E$10+1,1))-AVERAGE(OFFSET($H$3,0,0,'Données projet'!$E$10+1,1))</f>
        <v>370.04285308422544</v>
      </c>
      <c r="AO57" s="62">
        <f t="shared" si="36"/>
        <v>218.53758068502731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0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projet'!$B$11,Paramètres!$A$1:$I$88,3,0)*VLOOKUP('Données projet'!$B$11,Paramètres!$A$1:$I$88,5,0)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215.43249078216331</v>
      </c>
      <c r="BJ57" s="62">
        <f t="shared" si="38"/>
        <v>363.02009369315232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12.744626865927225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5.501275920358332E-3</v>
      </c>
      <c r="BS57" s="24">
        <f t="shared" si="9"/>
        <v>12.750128141847584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218</v>
      </c>
      <c r="O58" s="14">
        <f>N58*VLOOKUP('Données projet'!$B$9,Paramètres!$A$1:$I$88,3,0)*VLOOKUP('Données projet'!$B$9,Paramètres!$A$1:$I$88,5,0)</f>
        <v>197.24639999999999</v>
      </c>
      <c r="P58" s="14">
        <f t="shared" si="33"/>
        <v>49.138522374247202</v>
      </c>
      <c r="Q58" s="22">
        <f t="shared" si="53"/>
        <v>429.12040646848055</v>
      </c>
      <c r="R58" s="62">
        <f t="shared" si="0"/>
        <v>722.45373980181387</v>
      </c>
      <c r="S58" s="62">
        <f ca="1">AVERAGE(OFFSET($R$3,0,0,'Données projet'!$E$9+1,1))-AVERAGE(OFFSET($H$3,0,0,'Données projet'!$E$9+1,1))</f>
        <v>430.21146937947236</v>
      </c>
      <c r="T58" s="62">
        <f t="shared" si="34"/>
        <v>231.36959598460686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187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186.99999999999994</v>
      </c>
      <c r="AJ58" s="14">
        <f>AI58*VLOOKUP('Données projet'!$B$10,Paramètres!$A$1:$I$88,3,0)*VLOOKUP('Données projet'!$B$10,Paramètres!$A$1:$I$88,5,0)</f>
        <v>177.94919999999996</v>
      </c>
      <c r="AK58" s="14">
        <f t="shared" si="35"/>
        <v>44.865617113963715</v>
      </c>
      <c r="AL58" s="22">
        <f t="shared" si="4"/>
        <v>388.06913980682003</v>
      </c>
      <c r="AM58" s="62">
        <f t="shared" si="5"/>
        <v>681.40247314015335</v>
      </c>
      <c r="AN58" s="62">
        <f ca="1">AVERAGE(OFFSET($AM$3,0,0,'Données projet'!$E$10+1,1))-AVERAGE(OFFSET($H$3,0,0,'Données projet'!$E$10+1,1))</f>
        <v>370.04285308422544</v>
      </c>
      <c r="AO58" s="62">
        <f t="shared" si="36"/>
        <v>218.53758068502731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0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projet'!$B$11,Paramètres!$A$1:$I$88,3,0)*VLOOKUP('Données projet'!$B$11,Paramètres!$A$1:$I$88,5,0)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215.43249078216331</v>
      </c>
      <c r="BJ58" s="62">
        <f t="shared" si="38"/>
        <v>363.02009369315232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12.494712506541216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3.8899895084636422E-3</v>
      </c>
      <c r="BS58" s="24">
        <f t="shared" si="9"/>
        <v>12.49860249604968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projet'!$B$9,Paramètres!$A$1:$I$88,3,0)*VLOOKUP('Données projet'!$B$9,Paramètres!$A$1:$I$88,5,0)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656.19466748139871</v>
      </c>
      <c r="S59" s="62">
        <f ca="1">AVERAGE(OFFSET($R$3,0,0,'Données projet'!$E$9+1,1))-AVERAGE(OFFSET($H$3,0,0,'Données projet'!$E$9+1,1))</f>
        <v>430.21146937947236</v>
      </c>
      <c r="T59" s="62">
        <f t="shared" si="34"/>
        <v>231.36959598460686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5.4</v>
      </c>
      <c r="AI59" s="14">
        <f>IF('Données projet'!$A$62&gt;35,AI58+AH59-AQ58,IF(A59&lt;'Données projet'!$A$62,$AF$205^A59,IF(A59='Données projet'!$A$62,'Données projet'!$B$62,AI58+AH59-AQ58)))</f>
        <v>164.39999999999995</v>
      </c>
      <c r="AJ59" s="14">
        <f>AI59*VLOOKUP('Données projet'!$B$10,Paramètres!$A$1:$I$88,3,0)*VLOOKUP('Données projet'!$B$10,Paramètres!$A$1:$I$88,5,0)</f>
        <v>156.44303999999994</v>
      </c>
      <c r="AK59" s="14">
        <f t="shared" si="35"/>
        <v>40.039186431858795</v>
      </c>
      <c r="AL59" s="22">
        <f t="shared" si="4"/>
        <v>342.20654436882069</v>
      </c>
      <c r="AM59" s="62">
        <f t="shared" si="5"/>
        <v>635.53987770215394</v>
      </c>
      <c r="AN59" s="62">
        <f ca="1">AVERAGE(OFFSET($AM$3,0,0,'Données projet'!$E$10+1,1))-AVERAGE(OFFSET($H$3,0,0,'Données projet'!$E$10+1,1))</f>
        <v>370.04285308422544</v>
      </c>
      <c r="AO59" s="62">
        <f t="shared" si="36"/>
        <v>218.53758068502731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0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projet'!$B$11,Paramètres!$A$1:$I$88,3,0)*VLOOKUP('Données projet'!$B$11,Paramètres!$A$1:$I$88,5,0)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215.43249078216331</v>
      </c>
      <c r="BJ59" s="62">
        <f t="shared" si="38"/>
        <v>363.02009369315232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12.249698815310058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2.7506379601791664E-3</v>
      </c>
      <c r="BS59" s="24">
        <f t="shared" si="9"/>
        <v>12.252449453270238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projet'!$B$9,Paramètres!$A$1:$I$88,3,0)*VLOOKUP('Données projet'!$B$9,Paramètres!$A$1:$I$88,5,0)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670.85438320142657</v>
      </c>
      <c r="S60" s="62">
        <f ca="1">AVERAGE(OFFSET($R$3,0,0,'Données projet'!$E$9+1,1))-AVERAGE(OFFSET($H$3,0,0,'Données projet'!$E$9+1,1))</f>
        <v>430.21146937947236</v>
      </c>
      <c r="T60" s="62">
        <f t="shared" si="34"/>
        <v>231.36959598460686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5.4</v>
      </c>
      <c r="AI60" s="14">
        <f>IF('Données projet'!$A$62&gt;35,AI59+AH60-AQ59,IF(A60&lt;'Données projet'!$A$62,$AF$205^A60,IF(A60='Données projet'!$A$62,'Données projet'!$B$62,AI59+AH60-AQ59)))</f>
        <v>169.79999999999995</v>
      </c>
      <c r="AJ60" s="14">
        <f>AI60*VLOOKUP('Données projet'!$B$10,Paramètres!$A$1:$I$88,3,0)*VLOOKUP('Données projet'!$B$10,Paramètres!$A$1:$I$88,5,0)</f>
        <v>161.58167999999998</v>
      </c>
      <c r="AK60" s="14">
        <f t="shared" si="35"/>
        <v>41.199063244334916</v>
      </c>
      <c r="AL60" s="22">
        <f t="shared" si="4"/>
        <v>353.17646115054987</v>
      </c>
      <c r="AM60" s="62">
        <f t="shared" si="5"/>
        <v>646.50979448388318</v>
      </c>
      <c r="AN60" s="62">
        <f ca="1">AVERAGE(OFFSET($AM$3,0,0,'Données projet'!$E$10+1,1))-AVERAGE(OFFSET($H$3,0,0,'Données projet'!$E$10+1,1))</f>
        <v>370.04285308422544</v>
      </c>
      <c r="AO60" s="62">
        <f t="shared" si="36"/>
        <v>218.53758068502731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0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projet'!$B$11,Paramètres!$A$1:$I$88,3,0)*VLOOKUP('Données projet'!$B$11,Paramètres!$A$1:$I$88,5,0)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215.43249078216331</v>
      </c>
      <c r="BJ60" s="62">
        <f t="shared" si="38"/>
        <v>363.02009369315232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12.009489693120349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1.9449947542318213E-3</v>
      </c>
      <c r="BS60" s="24">
        <f t="shared" si="9"/>
        <v>12.01143468787458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projet'!$B$9,Paramètres!$A$1:$I$88,3,0)*VLOOKUP('Données projet'!$B$9,Paramètres!$A$1:$I$88,5,0)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685.50170967350618</v>
      </c>
      <c r="S61" s="62">
        <f ca="1">AVERAGE(OFFSET($R$3,0,0,'Données projet'!$E$9+1,1))-AVERAGE(OFFSET($H$3,0,0,'Données projet'!$E$9+1,1))</f>
        <v>430.21146937947236</v>
      </c>
      <c r="T61" s="62">
        <f t="shared" si="34"/>
        <v>231.36959598460686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5.4</v>
      </c>
      <c r="AI61" s="14">
        <f>IF('Données projet'!$A$62&gt;35,AI60+AH61-AQ60,IF(A61&lt;'Données projet'!$A$62,$AF$205^A61,IF(A61='Données projet'!$A$62,'Données projet'!$B$62,AI60+AH61-AQ60)))</f>
        <v>175.19999999999996</v>
      </c>
      <c r="AJ61" s="14">
        <f>AI61*VLOOKUP('Données projet'!$B$10,Paramètres!$A$1:$I$88,3,0)*VLOOKUP('Données projet'!$B$10,Paramètres!$A$1:$I$88,5,0)</f>
        <v>166.72031999999996</v>
      </c>
      <c r="AK61" s="14">
        <f t="shared" si="35"/>
        <v>42.354653637142938</v>
      </c>
      <c r="AL61" s="22">
        <f t="shared" si="4"/>
        <v>364.13891241802389</v>
      </c>
      <c r="AM61" s="62">
        <f t="shared" si="5"/>
        <v>657.47224575135715</v>
      </c>
      <c r="AN61" s="62">
        <f ca="1">AVERAGE(OFFSET($AM$3,0,0,'Données projet'!$E$10+1,1))-AVERAGE(OFFSET($H$3,0,0,'Données projet'!$E$10+1,1))</f>
        <v>370.04285308422544</v>
      </c>
      <c r="AO61" s="62">
        <f t="shared" si="36"/>
        <v>218.53758068502731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0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projet'!$B$11,Paramètres!$A$1:$I$88,3,0)*VLOOKUP('Données projet'!$B$11,Paramètres!$A$1:$I$88,5,0)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215.43249078216331</v>
      </c>
      <c r="BJ61" s="62">
        <f t="shared" si="38"/>
        <v>363.02009369315232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11.773990925303682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1.3753189800895834E-3</v>
      </c>
      <c r="BS61" s="24">
        <f t="shared" si="9"/>
        <v>11.775366244283772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projet'!$B$9,Paramètres!$A$1:$I$88,3,0)*VLOOKUP('Données projet'!$B$9,Paramètres!$A$1:$I$88,5,0)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700.13717474882014</v>
      </c>
      <c r="S62" s="62">
        <f ca="1">AVERAGE(OFFSET($R$3,0,0,'Données projet'!$E$9+1,1))-AVERAGE(OFFSET($H$3,0,0,'Données projet'!$E$9+1,1))</f>
        <v>430.21146937947236</v>
      </c>
      <c r="T62" s="62">
        <f t="shared" si="34"/>
        <v>231.36959598460686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5.4</v>
      </c>
      <c r="AI62" s="14">
        <f>IF('Données projet'!$A$62&gt;35,AI61+AH62-AQ61,IF(A62&lt;'Données projet'!$A$62,$AF$205^A62,IF(A62='Données projet'!$A$62,'Données projet'!$B$62,AI61+AH62-AQ61)))</f>
        <v>180.59999999999997</v>
      </c>
      <c r="AJ62" s="14">
        <f>AI62*VLOOKUP('Données projet'!$B$10,Paramètres!$A$1:$I$88,3,0)*VLOOKUP('Données projet'!$B$10,Paramètres!$A$1:$I$88,5,0)</f>
        <v>171.85895999999997</v>
      </c>
      <c r="AK62" s="14">
        <f t="shared" si="35"/>
        <v>43.506104887264392</v>
      </c>
      <c r="AL62" s="22">
        <f t="shared" si="4"/>
        <v>375.0941546786521</v>
      </c>
      <c r="AM62" s="62">
        <f t="shared" si="5"/>
        <v>668.42748801198536</v>
      </c>
      <c r="AN62" s="62">
        <f ca="1">AVERAGE(OFFSET($AM$3,0,0,'Données projet'!$E$10+1,1))-AVERAGE(OFFSET($H$3,0,0,'Données projet'!$E$10+1,1))</f>
        <v>370.04285308422544</v>
      </c>
      <c r="AO62" s="62">
        <f t="shared" si="36"/>
        <v>218.53758068502731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0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projet'!$B$11,Paramètres!$A$1:$I$88,3,0)*VLOOKUP('Données projet'!$B$11,Paramètres!$A$1:$I$88,5,0)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215.43249078216331</v>
      </c>
      <c r="BJ62" s="62">
        <f t="shared" si="38"/>
        <v>363.02009369315232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11.543110144683835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9.7249737711591088E-4</v>
      </c>
      <c r="BS62" s="24">
        <f t="shared" si="9"/>
        <v>11.544082642060951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projet'!$B$9,Paramètres!$A$1:$I$88,3,0)*VLOOKUP('Données projet'!$B$9,Paramètres!$A$1:$I$88,5,0)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714.76126520309413</v>
      </c>
      <c r="S63" s="62">
        <f ca="1">AVERAGE(OFFSET($R$3,0,0,'Données projet'!$E$9+1,1))-AVERAGE(OFFSET($H$3,0,0,'Données projet'!$E$9+1,1))</f>
        <v>430.21146937947236</v>
      </c>
      <c r="T63" s="62">
        <f t="shared" si="34"/>
        <v>231.36959598460686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186</v>
      </c>
      <c r="AG63" s="13">
        <f>VLOOKUP(A63,'Données projet'!$A$61:$I$81,9,0)</f>
        <v>5.4</v>
      </c>
      <c r="AH63" s="13">
        <f t="array" ref="AH63">INDEX(AG:AG,MIN(IF(ISNUMBER(AG63:AG259),ROW(AG63:AG259),"")))</f>
        <v>5.4</v>
      </c>
      <c r="AI63" s="14">
        <f>IF('Données projet'!$A$62&gt;35,AI62+AH63-AQ62,IF(A63&lt;'Données projet'!$A$62,$AF$205^A63,IF(A63='Données projet'!$A$62,'Données projet'!$B$62,AI62+AH63-AQ62)))</f>
        <v>185.99999999999997</v>
      </c>
      <c r="AJ63" s="14">
        <f>AI63*VLOOKUP('Données projet'!$B$10,Paramètres!$A$1:$I$88,3,0)*VLOOKUP('Données projet'!$B$10,Paramètres!$A$1:$I$88,5,0)</f>
        <v>176.99759999999998</v>
      </c>
      <c r="AK63" s="14">
        <f t="shared" si="35"/>
        <v>44.653554963834047</v>
      </c>
      <c r="AL63" s="22">
        <f t="shared" si="4"/>
        <v>386.04242822867758</v>
      </c>
      <c r="AM63" s="62">
        <f t="shared" si="5"/>
        <v>679.37576156201089</v>
      </c>
      <c r="AN63" s="62">
        <f ca="1">AVERAGE(OFFSET($AM$3,0,0,'Données projet'!$E$10+1,1))-AVERAGE(OFFSET($H$3,0,0,'Données projet'!$E$10+1,1))</f>
        <v>370.04285308422544</v>
      </c>
      <c r="AO63" s="62">
        <f t="shared" si="36"/>
        <v>218.53758068502731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0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projet'!$B$11,Paramètres!$A$1:$I$88,3,0)*VLOOKUP('Données projet'!$B$11,Paramètres!$A$1:$I$88,5,0)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215.43249078216331</v>
      </c>
      <c r="BJ63" s="62">
        <f t="shared" si="38"/>
        <v>363.02009369315232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11.316756795348571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6.8765949004479182E-4</v>
      </c>
      <c r="BS63" s="24">
        <f t="shared" si="9"/>
        <v>11.317444454838615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221.19999999999996</v>
      </c>
      <c r="O64" s="14">
        <f>N64*VLOOKUP('Données projet'!$B$9,Paramètres!$A$1:$I$88,3,0)*VLOOKUP('Données projet'!$B$9,Paramètres!$A$1:$I$88,5,0)</f>
        <v>200.14175999999995</v>
      </c>
      <c r="P64" s="14">
        <f t="shared" si="33"/>
        <v>49.775320997880847</v>
      </c>
      <c r="Q64" s="22">
        <f t="shared" si="53"/>
        <v>435.27224940464231</v>
      </c>
      <c r="R64" s="62">
        <f t="shared" si="0"/>
        <v>728.60558273797562</v>
      </c>
      <c r="S64" s="62">
        <f ca="1">AVERAGE(OFFSET($R$3,0,0,'Données projet'!$E$9+1,1))-AVERAGE(OFFSET($H$3,0,0,'Données projet'!$E$9+1,1))</f>
        <v>430.21146937947236</v>
      </c>
      <c r="T64" s="62">
        <f t="shared" si="34"/>
        <v>231.36959598460686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</v>
      </c>
      <c r="AI64" s="14">
        <f>IF('Données projet'!$A$62&gt;35,AI63+AH64-AQ63,IF(A64&lt;'Données projet'!$A$62,$AF$205^A64,IF(A64='Données projet'!$A$62,'Données projet'!$B$62,AI63+AH64-AQ63)))</f>
        <v>190.99999999999997</v>
      </c>
      <c r="AJ64" s="14">
        <f>AI64*VLOOKUP('Données projet'!$B$10,Paramètres!$A$1:$I$88,3,0)*VLOOKUP('Données projet'!$B$10,Paramètres!$A$1:$I$88,5,0)</f>
        <v>181.75559999999996</v>
      </c>
      <c r="AK64" s="14">
        <f t="shared" si="35"/>
        <v>45.712553906843745</v>
      </c>
      <c r="AL64" s="22">
        <f t="shared" si="4"/>
        <v>396.17370138775277</v>
      </c>
      <c r="AM64" s="62">
        <f t="shared" si="5"/>
        <v>689.50703472108603</v>
      </c>
      <c r="AN64" s="62">
        <f ca="1">AVERAGE(OFFSET($AM$3,0,0,'Données projet'!$E$10+1,1))-AVERAGE(OFFSET($H$3,0,0,'Données projet'!$E$10+1,1))</f>
        <v>370.04285308422544</v>
      </c>
      <c r="AO64" s="62">
        <f t="shared" si="36"/>
        <v>218.53758068502731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0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projet'!$B$11,Paramètres!$A$1:$I$88,3,0)*VLOOKUP('Données projet'!$B$11,Paramètres!$A$1:$I$88,5,0)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215.43249078216331</v>
      </c>
      <c r="BJ64" s="62">
        <f t="shared" si="38"/>
        <v>363.02009369315232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11.094842097131862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4.862486885579555E-4</v>
      </c>
      <c r="BS64" s="24">
        <f t="shared" si="9"/>
        <v>11.09532834582042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228.39999999999995</v>
      </c>
      <c r="O65" s="14">
        <f>N65*VLOOKUP('Données projet'!$B$9,Paramètres!$A$1:$I$88,3,0)*VLOOKUP('Données projet'!$B$9,Paramètres!$A$1:$I$88,5,0)</f>
        <v>206.65631999999994</v>
      </c>
      <c r="P65" s="14">
        <f t="shared" si="33"/>
        <v>51.20422634371338</v>
      </c>
      <c r="Q65" s="22">
        <f t="shared" si="53"/>
        <v>449.10711821530072</v>
      </c>
      <c r="R65" s="62">
        <f t="shared" si="0"/>
        <v>742.44045154863397</v>
      </c>
      <c r="S65" s="62">
        <f ca="1">AVERAGE(OFFSET($R$3,0,0,'Données projet'!$E$9+1,1))-AVERAGE(OFFSET($H$3,0,0,'Données projet'!$E$9+1,1))</f>
        <v>430.21146937947236</v>
      </c>
      <c r="T65" s="62">
        <f t="shared" si="34"/>
        <v>231.36959598460686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</v>
      </c>
      <c r="AI65" s="14">
        <f>IF('Données projet'!$A$62&gt;35,AI64+AH65-AQ64,IF(A65&lt;'Données projet'!$A$62,$AF$205^A65,IF(A65='Données projet'!$A$62,'Données projet'!$B$62,AI64+AH65-AQ64)))</f>
        <v>195.99999999999997</v>
      </c>
      <c r="AJ65" s="14">
        <f>AI65*VLOOKUP('Données projet'!$B$10,Paramètres!$A$1:$I$88,3,0)*VLOOKUP('Données projet'!$B$10,Paramètres!$A$1:$I$88,5,0)</f>
        <v>186.51359999999997</v>
      </c>
      <c r="AK65" s="14">
        <f t="shared" si="35"/>
        <v>46.76833047499894</v>
      </c>
      <c r="AL65" s="22">
        <f t="shared" si="4"/>
        <v>406.29936224395647</v>
      </c>
      <c r="AM65" s="62">
        <f t="shared" si="5"/>
        <v>699.63269557728972</v>
      </c>
      <c r="AN65" s="62">
        <f ca="1">AVERAGE(OFFSET($AM$3,0,0,'Données projet'!$E$10+1,1))-AVERAGE(OFFSET($H$3,0,0,'Données projet'!$E$10+1,1))</f>
        <v>370.04285308422544</v>
      </c>
      <c r="AO65" s="62">
        <f t="shared" si="36"/>
        <v>218.53758068502731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0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projet'!$B$11,Paramètres!$A$1:$I$88,3,0)*VLOOKUP('Données projet'!$B$11,Paramètres!$A$1:$I$88,5,0)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215.43249078216331</v>
      </c>
      <c r="BJ65" s="62">
        <f t="shared" si="38"/>
        <v>363.02009369315232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10.877279010792581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3.4382974502239597E-4</v>
      </c>
      <c r="BS65" s="24">
        <f t="shared" si="9"/>
        <v>10.877622840537603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235.59999999999994</v>
      </c>
      <c r="O66" s="14">
        <f>N66*VLOOKUP('Données projet'!$B$9,Paramètres!$A$1:$I$88,3,0)*VLOOKUP('Données projet'!$B$9,Paramètres!$A$1:$I$88,5,0)</f>
        <v>213.17087999999995</v>
      </c>
      <c r="P66" s="14">
        <f t="shared" si="33"/>
        <v>52.627897224631596</v>
      </c>
      <c r="Q66" s="22">
        <f t="shared" si="53"/>
        <v>462.93287033289988</v>
      </c>
      <c r="R66" s="62">
        <f t="shared" si="0"/>
        <v>756.2662036662332</v>
      </c>
      <c r="S66" s="62">
        <f ca="1">AVERAGE(OFFSET($R$3,0,0,'Données projet'!$E$9+1,1))-AVERAGE(OFFSET($H$3,0,0,'Données projet'!$E$9+1,1))</f>
        <v>430.21146937947236</v>
      </c>
      <c r="T66" s="62">
        <f t="shared" si="34"/>
        <v>231.36959598460686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</v>
      </c>
      <c r="AI66" s="14">
        <f>IF('Données projet'!$A$62&gt;35,AI65+AH66-AQ65,IF(A66&lt;'Données projet'!$A$62,$AF$205^A66,IF(A66='Données projet'!$A$62,'Données projet'!$B$62,AI65+AH66-AQ65)))</f>
        <v>200.99999999999997</v>
      </c>
      <c r="AJ66" s="14">
        <f>AI66*VLOOKUP('Données projet'!$B$10,Paramètres!$A$1:$I$88,3,0)*VLOOKUP('Données projet'!$B$10,Paramètres!$A$1:$I$88,5,0)</f>
        <v>191.27159999999998</v>
      </c>
      <c r="AK66" s="14">
        <f t="shared" si="35"/>
        <v>47.820976324217895</v>
      </c>
      <c r="AL66" s="22">
        <f t="shared" si="4"/>
        <v>416.41957043134607</v>
      </c>
      <c r="AM66" s="62">
        <f t="shared" si="5"/>
        <v>709.75290376467933</v>
      </c>
      <c r="AN66" s="62">
        <f ca="1">AVERAGE(OFFSET($AM$3,0,0,'Données projet'!$E$10+1,1))-AVERAGE(OFFSET($H$3,0,0,'Données projet'!$E$10+1,1))</f>
        <v>370.04285308422544</v>
      </c>
      <c r="AO66" s="62">
        <f t="shared" si="36"/>
        <v>218.53758068502731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0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projet'!$B$11,Paramètres!$A$1:$I$88,3,0)*VLOOKUP('Données projet'!$B$11,Paramètres!$A$1:$I$88,5,0)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215.43249078216331</v>
      </c>
      <c r="BJ66" s="62">
        <f t="shared" si="38"/>
        <v>363.02009369315232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10.663982203876033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2.431243442789778E-4</v>
      </c>
      <c r="BS66" s="24">
        <f t="shared" si="9"/>
        <v>10.664225328220311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242.79999999999993</v>
      </c>
      <c r="O67" s="14">
        <f>N67*VLOOKUP('Données projet'!$B$9,Paramètres!$A$1:$I$88,3,0)*VLOOKUP('Données projet'!$B$9,Paramètres!$A$1:$I$88,5,0)</f>
        <v>219.68543999999994</v>
      </c>
      <c r="P67" s="14">
        <f t="shared" si="33"/>
        <v>54.046511966469559</v>
      </c>
      <c r="Q67" s="22">
        <f t="shared" ref="Q67:Q98" si="54">(O67+P67)*0.475*44/12</f>
        <v>476.74981634160105</v>
      </c>
      <c r="R67" s="62">
        <f t="shared" ref="R67:R130" si="55">Q67+(I67+J67)*44/12</f>
        <v>770.08314967493436</v>
      </c>
      <c r="S67" s="62">
        <f ca="1">AVERAGE(OFFSET($R$3,0,0,'Données projet'!$E$9+1,1))-AVERAGE(OFFSET($H$3,0,0,'Données projet'!$E$9+1,1))</f>
        <v>430.21146937947236</v>
      </c>
      <c r="T67" s="62">
        <f t="shared" si="34"/>
        <v>231.36959598460686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</v>
      </c>
      <c r="AI67" s="14">
        <f>IF('Données projet'!$A$62&gt;35,AI66+AH67-AQ66,IF(A67&lt;'Données projet'!$A$62,$AF$205^A67,IF(A67='Données projet'!$A$62,'Données projet'!$B$62,AI66+AH67-AQ66)))</f>
        <v>205.99999999999997</v>
      </c>
      <c r="AJ67" s="14">
        <f>AI67*VLOOKUP('Données projet'!$B$10,Paramètres!$A$1:$I$88,3,0)*VLOOKUP('Données projet'!$B$10,Paramètres!$A$1:$I$88,5,0)</f>
        <v>196.02959999999999</v>
      </c>
      <c r="AK67" s="14">
        <f t="shared" si="35"/>
        <v>48.870578290511943</v>
      </c>
      <c r="AL67" s="22">
        <f t="shared" si="4"/>
        <v>426.53447718930823</v>
      </c>
      <c r="AM67" s="62">
        <f t="shared" si="5"/>
        <v>719.86781052264155</v>
      </c>
      <c r="AN67" s="62">
        <f ca="1">AVERAGE(OFFSET($AM$3,0,0,'Données projet'!$E$10+1,1))-AVERAGE(OFFSET($H$3,0,0,'Données projet'!$E$10+1,1))</f>
        <v>370.04285308422544</v>
      </c>
      <c r="AO67" s="62">
        <f t="shared" si="36"/>
        <v>218.53758068502731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0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projet'!$B$11,Paramètres!$A$1:$I$88,3,0)*VLOOKUP('Données projet'!$B$11,Paramètres!$A$1:$I$88,5,0)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215.43249078216331</v>
      </c>
      <c r="BJ67" s="62">
        <f t="shared" si="38"/>
        <v>363.02009369315232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10.454868017244914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1.7191487251119801E-4</v>
      </c>
      <c r="BS67" s="24">
        <f t="shared" si="9"/>
        <v>10.455039932117426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249.99999999999991</v>
      </c>
      <c r="O68" s="14">
        <f>N68*VLOOKUP('Données projet'!$B$9,Paramètres!$A$1:$I$88,3,0)*VLOOKUP('Données projet'!$B$9,Paramètres!$A$1:$I$88,5,0)</f>
        <v>226.19999999999993</v>
      </c>
      <c r="P68" s="14">
        <f t="shared" si="33"/>
        <v>55.460237717698107</v>
      </c>
      <c r="Q68" s="22">
        <f t="shared" si="54"/>
        <v>490.55824735832402</v>
      </c>
      <c r="R68" s="62">
        <f t="shared" si="55"/>
        <v>783.89158069165728</v>
      </c>
      <c r="S68" s="62">
        <f ca="1">AVERAGE(OFFSET($R$3,0,0,'Données projet'!$E$9+1,1))-AVERAGE(OFFSET($H$3,0,0,'Données projet'!$E$9+1,1))</f>
        <v>430.21146937947236</v>
      </c>
      <c r="T68" s="62">
        <f t="shared" si="34"/>
        <v>231.36959598460686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211</v>
      </c>
      <c r="AG68" s="13">
        <f>VLOOKUP(A68,'Données projet'!$A$61:$I$81,9,0)</f>
        <v>5</v>
      </c>
      <c r="AH68" s="13">
        <f t="array" ref="AH68">INDEX(AG:AG,MIN(IF(ISNUMBER(AG68:AG264),ROW(AG68:AG264),"")))</f>
        <v>5</v>
      </c>
      <c r="AI68" s="14">
        <f>IF('Données projet'!$A$62&gt;35,AI67+AH68-AQ67,IF(A68&lt;'Données projet'!$A$62,$AF$205^A68,IF(A68='Données projet'!$A$62,'Données projet'!$B$62,AI67+AH68-AQ67)))</f>
        <v>210.99999999999997</v>
      </c>
      <c r="AJ68" s="14">
        <f>AI68*VLOOKUP('Données projet'!$B$10,Paramètres!$A$1:$I$88,3,0)*VLOOKUP('Données projet'!$B$10,Paramètres!$A$1:$I$88,5,0)</f>
        <v>200.78759999999997</v>
      </c>
      <c r="AK68" s="14">
        <f t="shared" si="35"/>
        <v>49.917218754196632</v>
      </c>
      <c r="AL68" s="22">
        <f t="shared" ref="AL68:AL131" si="58">(AJ68+AK68)*0.475*44/12</f>
        <v>436.64422599689237</v>
      </c>
      <c r="AM68" s="62">
        <f t="shared" ref="AM68:AM131" si="59">AL68+(AD68+AE68)*44/12</f>
        <v>729.97755933022563</v>
      </c>
      <c r="AN68" s="62">
        <f ca="1">AVERAGE(OFFSET($AM$3,0,0,'Données projet'!$E$10+1,1))-AVERAGE(OFFSET($H$3,0,0,'Données projet'!$E$10+1,1))</f>
        <v>370.04285308422544</v>
      </c>
      <c r="AO68" s="62">
        <f t="shared" si="36"/>
        <v>218.53758068502731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0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projet'!$B$11,Paramètres!$A$1:$I$88,3,0)*VLOOKUP('Données projet'!$B$11,Paramètres!$A$1:$I$88,5,0)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215.43249078216331</v>
      </c>
      <c r="BJ68" s="62">
        <f t="shared" si="38"/>
        <v>363.02009369315232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10.249854432266572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1.2156217213948891E-4</v>
      </c>
      <c r="BS68" s="24">
        <f t="shared" ref="BS68:BS131" si="63">SUM(BP68:BR68)</f>
        <v>10.249975994438712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projet'!$B$9,Paramètres!$A$1:$I$88,3,0)*VLOOKUP('Données projet'!$B$9,Paramètres!$A$1:$I$88,5,0)</f>
        <v>194.3510399999999</v>
      </c>
      <c r="P69" s="14">
        <f t="shared" ref="P69:P132" si="87">EXP(-1.0587+0.8836*LN(O69)+0.284)</f>
        <v>48.500634729810116</v>
      </c>
      <c r="Q69" s="22">
        <f t="shared" si="54"/>
        <v>422.96666682108577</v>
      </c>
      <c r="R69" s="62">
        <f t="shared" si="55"/>
        <v>716.30000015441908</v>
      </c>
      <c r="S69" s="62">
        <f ca="1">AVERAGE(OFFSET($R$3,0,0,'Données projet'!$E$9+1,1))-AVERAGE(OFFSET($H$3,0,0,'Données projet'!$E$9+1,1))</f>
        <v>430.21146937947236</v>
      </c>
      <c r="T69" s="62">
        <f t="shared" ref="T69:T132" si="88">$T$3</f>
        <v>231.36959598460686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</v>
      </c>
      <c r="AI69" s="14">
        <f>IF('Données projet'!$A$62&gt;35,AI68+AH69-AQ68,IF(A69&lt;'Données projet'!$A$62,$AF$205^A69,IF(A69='Données projet'!$A$62,'Données projet'!$B$62,AI68+AH69-AQ68)))</f>
        <v>187.99999999999997</v>
      </c>
      <c r="AJ69" s="14">
        <f>AI69*VLOOKUP('Données projet'!$B$10,Paramètres!$A$1:$I$88,3,0)*VLOOKUP('Données projet'!$B$10,Paramètres!$A$1:$I$88,5,0)</f>
        <v>178.90079999999998</v>
      </c>
      <c r="AK69" s="14">
        <f t="shared" ref="AK69:AK132" si="89">EXP(-1.0587+0.8836*LN(AJ69)+0.284)</f>
        <v>45.077547304318657</v>
      </c>
      <c r="AL69" s="22">
        <f t="shared" si="58"/>
        <v>390.09562155502158</v>
      </c>
      <c r="AM69" s="62">
        <f t="shared" si="59"/>
        <v>683.42895488835484</v>
      </c>
      <c r="AN69" s="62">
        <f ca="1">AVERAGE(OFFSET($AM$3,0,0,'Données projet'!$E$10+1,1))-AVERAGE(OFFSET($H$3,0,0,'Données projet'!$E$10+1,1))</f>
        <v>370.04285308422544</v>
      </c>
      <c r="AO69" s="62">
        <f t="shared" ref="AO69:AO132" si="90">$AO$3</f>
        <v>218.53758068502731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0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projet'!$B$11,Paramètres!$A$1:$I$88,3,0)*VLOOKUP('Données projet'!$B$11,Paramètres!$A$1:$I$88,5,0)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215.43249078216331</v>
      </c>
      <c r="BJ69" s="62">
        <f t="shared" ref="BJ69:BJ132" si="92">$BJ$3</f>
        <v>363.02009369315232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10.048861038643714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8.5957436255599019E-5</v>
      </c>
      <c r="BS69" s="24">
        <f t="shared" si="63"/>
        <v>10.04894699607997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projet'!$B$9,Paramètres!$A$1:$I$88,3,0)*VLOOKUP('Données projet'!$B$9,Paramètres!$A$1:$I$88,5,0)</f>
        <v>200.50367999999992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729.37443127719189</v>
      </c>
      <c r="S70" s="62">
        <f ca="1">AVERAGE(OFFSET($R$3,0,0,'Données projet'!$E$9+1,1))-AVERAGE(OFFSET($H$3,0,0,'Données projet'!$E$9+1,1))</f>
        <v>430.21146937947236</v>
      </c>
      <c r="T70" s="62">
        <f t="shared" si="88"/>
        <v>231.36959598460686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</v>
      </c>
      <c r="AI70" s="14">
        <f>IF('Données projet'!$A$62&gt;35,AI69+AH70-AQ69,IF(A70&lt;'Données projet'!$A$62,$AF$205^A70,IF(A70='Données projet'!$A$62,'Données projet'!$B$62,AI69+AH70-AQ69)))</f>
        <v>192.99999999999997</v>
      </c>
      <c r="AJ70" s="14">
        <f>AI70*VLOOKUP('Données projet'!$B$10,Paramètres!$A$1:$I$88,3,0)*VLOOKUP('Données projet'!$B$10,Paramètres!$A$1:$I$88,5,0)</f>
        <v>183.65879999999996</v>
      </c>
      <c r="AK70" s="14">
        <f t="shared" si="89"/>
        <v>46.135245973879186</v>
      </c>
      <c r="AL70" s="22">
        <f t="shared" si="58"/>
        <v>400.22463007117284</v>
      </c>
      <c r="AM70" s="62">
        <f t="shared" si="59"/>
        <v>693.55796340450615</v>
      </c>
      <c r="AN70" s="62">
        <f ca="1">AVERAGE(OFFSET($AM$3,0,0,'Données projet'!$E$10+1,1))-AVERAGE(OFFSET($H$3,0,0,'Données projet'!$E$10+1,1))</f>
        <v>370.04285308422544</v>
      </c>
      <c r="AO70" s="62">
        <f t="shared" si="90"/>
        <v>218.53758068502731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0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projet'!$B$11,Paramètres!$A$1:$I$88,3,0)*VLOOKUP('Données projet'!$B$11,Paramètres!$A$1:$I$88,5,0)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215.43249078216331</v>
      </c>
      <c r="BJ70" s="62">
        <f t="shared" si="92"/>
        <v>363.02009369315232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9.8518090028759371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6.0781086069744464E-5</v>
      </c>
      <c r="BS70" s="24">
        <f t="shared" si="63"/>
        <v>9.8518697839620071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projet'!$B$9,Paramètres!$A$1:$I$88,3,0)*VLOOKUP('Données projet'!$B$9,Paramètres!$A$1:$I$88,5,0)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742.44045154863397</v>
      </c>
      <c r="S71" s="62">
        <f ca="1">AVERAGE(OFFSET($R$3,0,0,'Données projet'!$E$9+1,1))-AVERAGE(OFFSET($H$3,0,0,'Données projet'!$E$9+1,1))</f>
        <v>430.21146937947236</v>
      </c>
      <c r="T71" s="62">
        <f t="shared" si="88"/>
        <v>231.36959598460686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</v>
      </c>
      <c r="AI71" s="14">
        <f>IF('Données projet'!$A$62&gt;35,AI70+AH71-AQ70,IF(A71&lt;'Données projet'!$A$62,$AF$205^A71,IF(A71='Données projet'!$A$62,'Données projet'!$B$62,AI70+AH71-AQ70)))</f>
        <v>197.99999999999997</v>
      </c>
      <c r="AJ71" s="14">
        <f>AI71*VLOOKUP('Données projet'!$B$10,Paramètres!$A$1:$I$88,3,0)*VLOOKUP('Données projet'!$B$10,Paramètres!$A$1:$I$88,5,0)</f>
        <v>188.41679999999999</v>
      </c>
      <c r="AK71" s="14">
        <f t="shared" si="89"/>
        <v>47.189759534268674</v>
      </c>
      <c r="AL71" s="22">
        <f t="shared" si="58"/>
        <v>410.34809118885124</v>
      </c>
      <c r="AM71" s="62">
        <f t="shared" si="59"/>
        <v>703.68142452218456</v>
      </c>
      <c r="AN71" s="62">
        <f ca="1">AVERAGE(OFFSET($AM$3,0,0,'Données projet'!$E$10+1,1))-AVERAGE(OFFSET($H$3,0,0,'Données projet'!$E$10+1,1))</f>
        <v>370.04285308422544</v>
      </c>
      <c r="AO71" s="62">
        <f t="shared" si="90"/>
        <v>218.53758068502731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0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projet'!$B$11,Paramètres!$A$1:$I$88,3,0)*VLOOKUP('Données projet'!$B$11,Paramètres!$A$1:$I$88,5,0)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215.43249078216331</v>
      </c>
      <c r="BJ71" s="62">
        <f t="shared" si="92"/>
        <v>363.02009369315232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9.6586210373396906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4.2978718127799516E-5</v>
      </c>
      <c r="BS71" s="24">
        <f t="shared" si="63"/>
        <v>9.6586640160578181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projet'!$B$9,Paramètres!$A$1:$I$88,3,0)*VLOOKUP('Données projet'!$B$9,Paramètres!$A$1:$I$88,5,0)</f>
        <v>212.8089599999999</v>
      </c>
      <c r="P72" s="14">
        <f t="shared" si="87"/>
        <v>52.548938637485847</v>
      </c>
      <c r="Q72" s="22">
        <f t="shared" si="54"/>
        <v>462.16500679362093</v>
      </c>
      <c r="R72" s="62">
        <f t="shared" si="55"/>
        <v>755.49834012695419</v>
      </c>
      <c r="S72" s="62">
        <f ca="1">AVERAGE(OFFSET($R$3,0,0,'Données projet'!$E$9+1,1))-AVERAGE(OFFSET($H$3,0,0,'Données projet'!$E$9+1,1))</f>
        <v>430.21146937947236</v>
      </c>
      <c r="T72" s="62">
        <f t="shared" si="88"/>
        <v>231.36959598460686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</v>
      </c>
      <c r="AI72" s="14">
        <f>IF('Données projet'!$A$62&gt;35,AI71+AH72-AQ71,IF(A72&lt;'Données projet'!$A$62,$AF$205^A72,IF(A72='Données projet'!$A$62,'Données projet'!$B$62,AI71+AH72-AQ71)))</f>
        <v>202.99999999999997</v>
      </c>
      <c r="AJ72" s="14">
        <f>AI72*VLOOKUP('Données projet'!$B$10,Paramètres!$A$1:$I$88,3,0)*VLOOKUP('Données projet'!$B$10,Paramètres!$A$1:$I$88,5,0)</f>
        <v>193.17479999999998</v>
      </c>
      <c r="AK72" s="14">
        <f t="shared" si="89"/>
        <v>48.241177667270811</v>
      </c>
      <c r="AL72" s="22">
        <f t="shared" si="58"/>
        <v>420.46616110382996</v>
      </c>
      <c r="AM72" s="62">
        <f t="shared" si="59"/>
        <v>713.79949443716328</v>
      </c>
      <c r="AN72" s="62">
        <f ca="1">AVERAGE(OFFSET($AM$3,0,0,'Données projet'!$E$10+1,1))-AVERAGE(OFFSET($H$3,0,0,'Données projet'!$E$10+1,1))</f>
        <v>370.04285308422544</v>
      </c>
      <c r="AO72" s="62">
        <f t="shared" si="90"/>
        <v>218.53758068502731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0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projet'!$B$11,Paramètres!$A$1:$I$88,3,0)*VLOOKUP('Données projet'!$B$11,Paramètres!$A$1:$I$88,5,0)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215.43249078216331</v>
      </c>
      <c r="BJ72" s="62">
        <f t="shared" si="92"/>
        <v>363.02009369315232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9.4692213699745871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3.0390543034872239E-5</v>
      </c>
      <c r="BS72" s="24">
        <f t="shared" si="63"/>
        <v>9.4692517605176221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projet'!$B$9,Paramètres!$A$1:$I$88,3,0)*VLOOKUP('Données projet'!$B$9,Paramètres!$A$1:$I$88,5,0)</f>
        <v>218.96159999999995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768.54835911062366</v>
      </c>
      <c r="S73" s="62">
        <f ca="1">AVERAGE(OFFSET($R$3,0,0,'Données projet'!$E$9+1,1))-AVERAGE(OFFSET($H$3,0,0,'Données projet'!$E$9+1,1))</f>
        <v>430.21146937947236</v>
      </c>
      <c r="T73" s="62">
        <f t="shared" si="88"/>
        <v>231.36959598460686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208</v>
      </c>
      <c r="AG73" s="13">
        <f>VLOOKUP(A73,'Données projet'!$A$61:$I$81,9,0)</f>
        <v>5</v>
      </c>
      <c r="AH73" s="13">
        <f t="array" ref="AH73">INDEX(AG:AG,MIN(IF(ISNUMBER(AG73:AG269),ROW(AG73:AG269),"")))</f>
        <v>5</v>
      </c>
      <c r="AI73" s="14">
        <f>IF('Données projet'!$A$62&gt;35,AI72+AH73-AQ72,IF(A73&lt;'Données projet'!$A$62,$AF$205^A73,IF(A73='Données projet'!$A$62,'Données projet'!$B$62,AI72+AH73-AQ72)))</f>
        <v>207.99999999999997</v>
      </c>
      <c r="AJ73" s="14">
        <f>AI73*VLOOKUP('Données projet'!$B$10,Paramètres!$A$1:$I$88,3,0)*VLOOKUP('Données projet'!$B$10,Paramètres!$A$1:$I$88,5,0)</f>
        <v>197.93279999999999</v>
      </c>
      <c r="AK73" s="14">
        <f t="shared" si="89"/>
        <v>49.289585385002731</v>
      </c>
      <c r="AL73" s="22">
        <f t="shared" si="58"/>
        <v>430.57898787887979</v>
      </c>
      <c r="AM73" s="62">
        <f t="shared" si="59"/>
        <v>723.9123212122131</v>
      </c>
      <c r="AN73" s="62">
        <f ca="1">AVERAGE(OFFSET($AM$3,0,0,'Données projet'!$E$10+1,1))-AVERAGE(OFFSET($H$3,0,0,'Données projet'!$E$10+1,1))</f>
        <v>370.04285308422544</v>
      </c>
      <c r="AO73" s="62">
        <f t="shared" si="90"/>
        <v>218.53758068502731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0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projet'!$B$11,Paramètres!$A$1:$I$88,3,0)*VLOOKUP('Données projet'!$B$11,Paramètres!$A$1:$I$88,5,0)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215.43249078216331</v>
      </c>
      <c r="BJ73" s="62">
        <f t="shared" si="92"/>
        <v>363.02009369315232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9.2835357145641222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2.1489359063899761E-5</v>
      </c>
      <c r="BS73" s="24">
        <f t="shared" si="63"/>
        <v>9.283557203923186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projet'!$B$9,Paramètres!$A$1:$I$88,3,0)*VLOOKUP('Données projet'!$B$9,Paramètres!$A$1:$I$88,5,0)</f>
        <v>224.57135999999994</v>
      </c>
      <c r="P74" s="14">
        <f t="shared" si="87"/>
        <v>55.107255873104265</v>
      </c>
      <c r="Q74" s="22">
        <f t="shared" si="54"/>
        <v>487.10692264565643</v>
      </c>
      <c r="R74" s="62">
        <f t="shared" si="55"/>
        <v>780.44025597898974</v>
      </c>
      <c r="S74" s="62">
        <f ca="1">AVERAGE(OFFSET($R$3,0,0,'Données projet'!$E$9+1,1))-AVERAGE(OFFSET($H$3,0,0,'Données projet'!$E$9+1,1))</f>
        <v>430.21146937947236</v>
      </c>
      <c r="T74" s="62">
        <f t="shared" si="88"/>
        <v>231.36959598460686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212.79999999999998</v>
      </c>
      <c r="AJ74" s="14">
        <f>AI74*VLOOKUP('Données projet'!$B$10,Paramètres!$A$1:$I$88,3,0)*VLOOKUP('Données projet'!$B$10,Paramètres!$A$1:$I$88,5,0)</f>
        <v>202.50047999999998</v>
      </c>
      <c r="AK74" s="14">
        <f t="shared" si="89"/>
        <v>50.293299535837946</v>
      </c>
      <c r="AL74" s="22">
        <f t="shared" si="58"/>
        <v>440.28249935825102</v>
      </c>
      <c r="AM74" s="62">
        <f t="shared" si="59"/>
        <v>733.61583269158427</v>
      </c>
      <c r="AN74" s="62">
        <f ca="1">AVERAGE(OFFSET($AM$3,0,0,'Données projet'!$E$10+1,1))-AVERAGE(OFFSET($H$3,0,0,'Données projet'!$E$10+1,1))</f>
        <v>370.04285308422544</v>
      </c>
      <c r="AO74" s="62">
        <f t="shared" si="90"/>
        <v>218.53758068502731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0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projet'!$B$11,Paramètres!$A$1:$I$88,3,0)*VLOOKUP('Données projet'!$B$11,Paramètres!$A$1:$I$88,5,0)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215.43249078216331</v>
      </c>
      <c r="BJ74" s="62">
        <f t="shared" si="92"/>
        <v>363.02009369315232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9.1014912415991898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1.5195271517436121E-5</v>
      </c>
      <c r="BS74" s="24">
        <f t="shared" si="63"/>
        <v>9.1015064368707073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projet'!$B$9,Paramètres!$A$1:$I$88,3,0)*VLOOKUP('Données projet'!$B$9,Paramètres!$A$1:$I$88,5,0)</f>
        <v>230.18111999999991</v>
      </c>
      <c r="P75" s="14">
        <f t="shared" si="87"/>
        <v>56.321842115392933</v>
      </c>
      <c r="Q75" s="22">
        <f t="shared" si="54"/>
        <v>498.99265901764255</v>
      </c>
      <c r="R75" s="62">
        <f t="shared" si="55"/>
        <v>792.32599235097587</v>
      </c>
      <c r="S75" s="62">
        <f ca="1">AVERAGE(OFFSET($R$3,0,0,'Données projet'!$E$9+1,1))-AVERAGE(OFFSET($H$3,0,0,'Données projet'!$E$9+1,1))</f>
        <v>430.21146937947236</v>
      </c>
      <c r="T75" s="62">
        <f t="shared" si="88"/>
        <v>231.36959598460686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217.6</v>
      </c>
      <c r="AJ75" s="14">
        <f>AI75*VLOOKUP('Données projet'!$B$10,Paramètres!$A$1:$I$88,3,0)*VLOOKUP('Données projet'!$B$10,Paramètres!$A$1:$I$88,5,0)</f>
        <v>207.06815999999998</v>
      </c>
      <c r="AK75" s="14">
        <f t="shared" si="89"/>
        <v>51.294381591685067</v>
      </c>
      <c r="AL75" s="22">
        <f t="shared" si="58"/>
        <v>449.98142660551815</v>
      </c>
      <c r="AM75" s="62">
        <f t="shared" si="59"/>
        <v>743.31475993885147</v>
      </c>
      <c r="AN75" s="62">
        <f ca="1">AVERAGE(OFFSET($AM$3,0,0,'Données projet'!$E$10+1,1))-AVERAGE(OFFSET($H$3,0,0,'Données projet'!$E$10+1,1))</f>
        <v>370.04285308422544</v>
      </c>
      <c r="AO75" s="62">
        <f t="shared" si="90"/>
        <v>218.53758068502731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0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projet'!$B$11,Paramètres!$A$1:$I$88,3,0)*VLOOKUP('Données projet'!$B$11,Paramètres!$A$1:$I$88,5,0)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215.43249078216331</v>
      </c>
      <c r="BJ75" s="62">
        <f t="shared" si="92"/>
        <v>363.02009369315232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8.9230165497129352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1.0744679531949882E-5</v>
      </c>
      <c r="BS75" s="24">
        <f t="shared" si="63"/>
        <v>8.9230272943924671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projet'!$B$9,Paramètres!$A$1:$I$88,3,0)*VLOOKUP('Données projet'!$B$9,Paramètres!$A$1:$I$88,5,0)</f>
        <v>235.7908799999999</v>
      </c>
      <c r="P76" s="14">
        <f t="shared" si="87"/>
        <v>57.532987351107714</v>
      </c>
      <c r="Q76" s="22">
        <f t="shared" si="54"/>
        <v>510.87240230317911</v>
      </c>
      <c r="R76" s="62">
        <f t="shared" si="55"/>
        <v>804.20573563651237</v>
      </c>
      <c r="S76" s="62">
        <f ca="1">AVERAGE(OFFSET($R$3,0,0,'Données projet'!$E$9+1,1))-AVERAGE(OFFSET($H$3,0,0,'Données projet'!$E$9+1,1))</f>
        <v>430.21146937947236</v>
      </c>
      <c r="T76" s="62">
        <f t="shared" si="88"/>
        <v>231.36959598460686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222.4</v>
      </c>
      <c r="AJ76" s="14">
        <f>AI76*VLOOKUP('Données projet'!$B$10,Paramètres!$A$1:$I$88,3,0)*VLOOKUP('Données projet'!$B$10,Paramètres!$A$1:$I$88,5,0)</f>
        <v>211.63583999999997</v>
      </c>
      <c r="AK76" s="14">
        <f t="shared" si="89"/>
        <v>52.292896299216586</v>
      </c>
      <c r="AL76" s="22">
        <f t="shared" si="58"/>
        <v>459.67588238780218</v>
      </c>
      <c r="AM76" s="62">
        <f t="shared" si="59"/>
        <v>753.00921572113543</v>
      </c>
      <c r="AN76" s="62">
        <f ca="1">AVERAGE(OFFSET($AM$3,0,0,'Données projet'!$E$10+1,1))-AVERAGE(OFFSET($H$3,0,0,'Données projet'!$E$10+1,1))</f>
        <v>370.04285308422544</v>
      </c>
      <c r="AO76" s="62">
        <f t="shared" si="90"/>
        <v>218.53758068502731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0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projet'!$B$11,Paramètres!$A$1:$I$88,3,0)*VLOOKUP('Données projet'!$B$11,Paramètres!$A$1:$I$88,5,0)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215.43249078216331</v>
      </c>
      <c r="BJ76" s="62">
        <f t="shared" si="92"/>
        <v>363.02009369315232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8.7480416376757582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7.5976357587180622E-6</v>
      </c>
      <c r="BS76" s="24">
        <f t="shared" si="63"/>
        <v>8.748049235311516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projet'!$B$9,Paramètres!$A$1:$I$88,3,0)*VLOOKUP('Données projet'!$B$9,Paramètres!$A$1:$I$88,5,0)</f>
        <v>241.40063999999992</v>
      </c>
      <c r="P77" s="14">
        <f t="shared" si="87"/>
        <v>58.740782866262698</v>
      </c>
      <c r="Q77" s="22">
        <f t="shared" si="54"/>
        <v>522.74631149207403</v>
      </c>
      <c r="R77" s="62">
        <f t="shared" si="55"/>
        <v>816.07964482540729</v>
      </c>
      <c r="S77" s="62">
        <f ca="1">AVERAGE(OFFSET($R$3,0,0,'Données projet'!$E$9+1,1))-AVERAGE(OFFSET($H$3,0,0,'Données projet'!$E$9+1,1))</f>
        <v>430.21146937947236</v>
      </c>
      <c r="T77" s="62">
        <f t="shared" si="88"/>
        <v>231.36959598460686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227.20000000000002</v>
      </c>
      <c r="AJ77" s="14">
        <f>AI77*VLOOKUP('Données projet'!$B$10,Paramètres!$A$1:$I$88,3,0)*VLOOKUP('Données projet'!$B$10,Paramètres!$A$1:$I$88,5,0)</f>
        <v>216.20352000000003</v>
      </c>
      <c r="AK77" s="14">
        <f t="shared" si="89"/>
        <v>53.288905450648656</v>
      </c>
      <c r="AL77" s="22">
        <f t="shared" si="58"/>
        <v>469.36597432654645</v>
      </c>
      <c r="AM77" s="62">
        <f t="shared" si="59"/>
        <v>762.69930765987976</v>
      </c>
      <c r="AN77" s="62">
        <f ca="1">AVERAGE(OFFSET($AM$3,0,0,'Données projet'!$E$10+1,1))-AVERAGE(OFFSET($H$3,0,0,'Données projet'!$E$10+1,1))</f>
        <v>370.04285308422544</v>
      </c>
      <c r="AO77" s="62">
        <f t="shared" si="90"/>
        <v>218.53758068502731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0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projet'!$B$11,Paramètres!$A$1:$I$88,3,0)*VLOOKUP('Données projet'!$B$11,Paramètres!$A$1:$I$88,5,0)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215.43249078216331</v>
      </c>
      <c r="BJ77" s="62">
        <f t="shared" si="92"/>
        <v>363.02009369315232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8.576497876939472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5.3723397659749421E-6</v>
      </c>
      <c r="BS77" s="24">
        <f t="shared" si="63"/>
        <v>8.5765032492792379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projet'!$B$9,Paramètres!$A$1:$I$88,3,0)*VLOOKUP('Données projet'!$B$9,Paramètres!$A$1:$I$88,5,0)</f>
        <v>247.01039999999989</v>
      </c>
      <c r="P78" s="14">
        <f t="shared" si="87"/>
        <v>59.945315462121812</v>
      </c>
      <c r="Q78" s="22">
        <f t="shared" si="54"/>
        <v>534.61453776319524</v>
      </c>
      <c r="R78" s="62">
        <f t="shared" si="55"/>
        <v>827.94787109652862</v>
      </c>
      <c r="S78" s="62">
        <f ca="1">AVERAGE(OFFSET($R$3,0,0,'Données projet'!$E$9+1,1))-AVERAGE(OFFSET($H$3,0,0,'Données projet'!$E$9+1,1))</f>
        <v>430.21146937947236</v>
      </c>
      <c r="T78" s="62">
        <f t="shared" si="88"/>
        <v>231.36959598460686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232</v>
      </c>
      <c r="AG78" s="13">
        <f>VLOOKUP(A78,'Données projet'!$A$61:$I$81,9,0)</f>
        <v>4.8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232.00000000000003</v>
      </c>
      <c r="AJ78" s="14">
        <f>AI78*VLOOKUP('Données projet'!$B$10,Paramètres!$A$1:$I$88,3,0)*VLOOKUP('Données projet'!$B$10,Paramètres!$A$1:$I$88,5,0)</f>
        <v>220.77120000000002</v>
      </c>
      <c r="AK78" s="14">
        <f t="shared" si="89"/>
        <v>54.28246807807983</v>
      </c>
      <c r="AL78" s="22">
        <f t="shared" si="58"/>
        <v>479.05180523598898</v>
      </c>
      <c r="AM78" s="62">
        <f t="shared" si="59"/>
        <v>772.38513856932229</v>
      </c>
      <c r="AN78" s="62">
        <f ca="1">AVERAGE(OFFSET($AM$3,0,0,'Données projet'!$E$10+1,1))-AVERAGE(OFFSET($H$3,0,0,'Données projet'!$E$10+1,1))</f>
        <v>370.04285308422544</v>
      </c>
      <c r="AO78" s="62">
        <f t="shared" si="90"/>
        <v>218.53758068502731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0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projet'!$B$11,Paramètres!$A$1:$I$88,3,0)*VLOOKUP('Données projet'!$B$11,Paramètres!$A$1:$I$88,5,0)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215.43249078216331</v>
      </c>
      <c r="BJ78" s="62">
        <f t="shared" si="92"/>
        <v>363.02009369315232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8.4083179847198615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3.7988178793590315E-6</v>
      </c>
      <c r="BS78" s="24">
        <f t="shared" si="63"/>
        <v>8.4083217835377404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236.89999999999986</v>
      </c>
      <c r="O79" s="14">
        <f>N79*VLOOKUP('Données projet'!$B$9,Paramètres!$A$1:$I$88,3,0)*VLOOKUP('Données projet'!$B$9,Paramètres!$A$1:$I$88,5,0)</f>
        <v>214.34711999999985</v>
      </c>
      <c r="P79" s="14">
        <f t="shared" si="87"/>
        <v>52.884405030781778</v>
      </c>
      <c r="Q79" s="22">
        <f t="shared" si="54"/>
        <v>465.42823942861133</v>
      </c>
      <c r="R79" s="62">
        <f t="shared" si="55"/>
        <v>758.76157276194465</v>
      </c>
      <c r="S79" s="62">
        <f ca="1">AVERAGE(OFFSET($R$3,0,0,'Données projet'!$E$9+1,1))-AVERAGE(OFFSET($H$3,0,0,'Données projet'!$E$9+1,1))</f>
        <v>430.21146937947236</v>
      </c>
      <c r="T79" s="62">
        <f t="shared" si="88"/>
        <v>231.36959598460686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4.4000000000000004</v>
      </c>
      <c r="AI79" s="14">
        <f>IF('Données projet'!$A$62&gt;35,AI78+AH79-AQ78,IF(A79&lt;'Données projet'!$A$62,$AF$205^A79,IF(A79='Données projet'!$A$62,'Données projet'!$B$62,AI78+AH79-AQ78)))</f>
        <v>208.40000000000003</v>
      </c>
      <c r="AJ79" s="14">
        <f>AI79*VLOOKUP('Données projet'!$B$10,Paramètres!$A$1:$I$88,3,0)*VLOOKUP('Données projet'!$B$10,Paramètres!$A$1:$I$88,5,0)</f>
        <v>198.31344000000004</v>
      </c>
      <c r="AK79" s="14">
        <f t="shared" si="89"/>
        <v>49.373330397745256</v>
      </c>
      <c r="AL79" s="22">
        <f t="shared" si="58"/>
        <v>431.38779177607307</v>
      </c>
      <c r="AM79" s="62">
        <f t="shared" si="59"/>
        <v>724.72112510940633</v>
      </c>
      <c r="AN79" s="62">
        <f ca="1">AVERAGE(OFFSET($AM$3,0,0,'Données projet'!$E$10+1,1))-AVERAGE(OFFSET($H$3,0,0,'Données projet'!$E$10+1,1))</f>
        <v>370.04285308422544</v>
      </c>
      <c r="AO79" s="62">
        <f t="shared" si="90"/>
        <v>218.53758068502731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0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projet'!$B$11,Paramètres!$A$1:$I$88,3,0)*VLOOKUP('Données projet'!$B$11,Paramètres!$A$1:$I$88,5,0)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215.43249078216331</v>
      </c>
      <c r="BJ79" s="62">
        <f t="shared" si="92"/>
        <v>363.02009369315232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8.2434359976070724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2.6861698829874715E-6</v>
      </c>
      <c r="BS79" s="24">
        <f t="shared" si="63"/>
        <v>8.2434386837769562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242.79999999999987</v>
      </c>
      <c r="O80" s="14">
        <f>N80*VLOOKUP('Données projet'!$B$9,Paramètres!$A$1:$I$88,3,0)*VLOOKUP('Données projet'!$B$9,Paramètres!$A$1:$I$88,5,0)</f>
        <v>219.68543999999989</v>
      </c>
      <c r="P80" s="14">
        <f t="shared" si="87"/>
        <v>54.046511966469559</v>
      </c>
      <c r="Q80" s="22">
        <f t="shared" si="54"/>
        <v>476.74981634160099</v>
      </c>
      <c r="R80" s="62">
        <f t="shared" si="55"/>
        <v>770.08314967493425</v>
      </c>
      <c r="S80" s="62">
        <f ca="1">AVERAGE(OFFSET($R$3,0,0,'Données projet'!$E$9+1,1))-AVERAGE(OFFSET($H$3,0,0,'Données projet'!$E$9+1,1))</f>
        <v>430.21146937947236</v>
      </c>
      <c r="T80" s="62">
        <f t="shared" si="88"/>
        <v>231.36959598460686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4.4000000000000004</v>
      </c>
      <c r="AI80" s="14">
        <f>IF('Données projet'!$A$62&gt;35,AI79+AH80-AQ79,IF(A80&lt;'Données projet'!$A$62,$AF$205^A80,IF(A80='Données projet'!$A$62,'Données projet'!$B$62,AI79+AH80-AQ79)))</f>
        <v>212.80000000000004</v>
      </c>
      <c r="AJ80" s="14">
        <f>AI80*VLOOKUP('Données projet'!$B$10,Paramètres!$A$1:$I$88,3,0)*VLOOKUP('Données projet'!$B$10,Paramètres!$A$1:$I$88,5,0)</f>
        <v>202.50048000000004</v>
      </c>
      <c r="AK80" s="14">
        <f t="shared" si="89"/>
        <v>50.293299535837946</v>
      </c>
      <c r="AL80" s="22">
        <f t="shared" si="58"/>
        <v>440.28249935825107</v>
      </c>
      <c r="AM80" s="62">
        <f t="shared" si="59"/>
        <v>733.61583269158439</v>
      </c>
      <c r="AN80" s="62">
        <f ca="1">AVERAGE(OFFSET($AM$3,0,0,'Données projet'!$E$10+1,1))-AVERAGE(OFFSET($H$3,0,0,'Données projet'!$E$10+1,1))</f>
        <v>370.04285308422544</v>
      </c>
      <c r="AO80" s="62">
        <f t="shared" si="90"/>
        <v>218.53758068502731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0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projet'!$B$11,Paramètres!$A$1:$I$88,3,0)*VLOOKUP('Données projet'!$B$11,Paramètres!$A$1:$I$88,5,0)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215.43249078216331</v>
      </c>
      <c r="BJ80" s="62">
        <f t="shared" si="92"/>
        <v>363.02009369315232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8.0817872456934818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1.899408939679516E-6</v>
      </c>
      <c r="BS80" s="24">
        <f t="shared" si="63"/>
        <v>8.0817891451024213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248.69999999999987</v>
      </c>
      <c r="O81" s="14">
        <f>N81*VLOOKUP('Données projet'!$B$9,Paramètres!$A$1:$I$88,3,0)*VLOOKUP('Données projet'!$B$9,Paramètres!$A$1:$I$88,5,0)</f>
        <v>225.0237599999999</v>
      </c>
      <c r="P81" s="14">
        <f t="shared" si="87"/>
        <v>55.205336184590408</v>
      </c>
      <c r="Q81" s="22">
        <f t="shared" si="54"/>
        <v>488.06567585482804</v>
      </c>
      <c r="R81" s="62">
        <f t="shared" si="55"/>
        <v>781.39900918816136</v>
      </c>
      <c r="S81" s="62">
        <f ca="1">AVERAGE(OFFSET($R$3,0,0,'Données projet'!$E$9+1,1))-AVERAGE(OFFSET($H$3,0,0,'Données projet'!$E$9+1,1))</f>
        <v>430.21146937947236</v>
      </c>
      <c r="T81" s="62">
        <f t="shared" si="88"/>
        <v>231.36959598460686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4.4000000000000004</v>
      </c>
      <c r="AI81" s="14">
        <f>IF('Données projet'!$A$62&gt;35,AI80+AH81-AQ80,IF(A81&lt;'Données projet'!$A$62,$AF$205^A81,IF(A81='Données projet'!$A$62,'Données projet'!$B$62,AI80+AH81-AQ80)))</f>
        <v>217.20000000000005</v>
      </c>
      <c r="AJ81" s="14">
        <f>AI81*VLOOKUP('Données projet'!$B$10,Paramètres!$A$1:$I$88,3,0)*VLOOKUP('Données projet'!$B$10,Paramètres!$A$1:$I$88,5,0)</f>
        <v>206.68752000000003</v>
      </c>
      <c r="AK81" s="14">
        <f t="shared" si="89"/>
        <v>51.211057018402521</v>
      </c>
      <c r="AL81" s="22">
        <f t="shared" si="58"/>
        <v>449.17335497371772</v>
      </c>
      <c r="AM81" s="62">
        <f t="shared" si="59"/>
        <v>742.50668830705104</v>
      </c>
      <c r="AN81" s="62">
        <f ca="1">AVERAGE(OFFSET($AM$3,0,0,'Données projet'!$E$10+1,1))-AVERAGE(OFFSET($H$3,0,0,'Données projet'!$E$10+1,1))</f>
        <v>370.04285308422544</v>
      </c>
      <c r="AO81" s="62">
        <f t="shared" si="90"/>
        <v>218.53758068502731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0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projet'!$B$11,Paramètres!$A$1:$I$88,3,0)*VLOOKUP('Données projet'!$B$11,Paramètres!$A$1:$I$88,5,0)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215.43249078216331</v>
      </c>
      <c r="BJ81" s="62">
        <f t="shared" si="92"/>
        <v>363.02009369315232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7.9233083272089146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1.3430849414937359E-6</v>
      </c>
      <c r="BS81" s="24">
        <f t="shared" si="63"/>
        <v>7.9233096702938566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IF('Données projet'!$A$36&gt;35,N81+M82-V81,IF(A82&lt;'Données projet'!$A$36,$K$205^A82,IF(A82='Données projet'!$A$36,'Données projet'!$B$36,N81+M82-V81)))</f>
        <v>254.59999999999988</v>
      </c>
      <c r="O82" s="14">
        <f>N82*VLOOKUP('Données projet'!$B$9,Paramètres!$A$1:$I$88,3,0)*VLOOKUP('Données projet'!$B$9,Paramètres!$A$1:$I$88,5,0)</f>
        <v>230.36207999999988</v>
      </c>
      <c r="P82" s="14">
        <f t="shared" si="87"/>
        <v>56.360964523671768</v>
      </c>
      <c r="Q82" s="22">
        <f t="shared" si="54"/>
        <v>499.37596921206153</v>
      </c>
      <c r="R82" s="62">
        <f t="shared" si="55"/>
        <v>792.70930254539485</v>
      </c>
      <c r="S82" s="62">
        <f ca="1">AVERAGE(OFFSET($R$3,0,0,'Données projet'!$E$9+1,1))-AVERAGE(OFFSET($H$3,0,0,'Données projet'!$E$9+1,1))</f>
        <v>430.21146937947236</v>
      </c>
      <c r="T82" s="62">
        <f t="shared" si="88"/>
        <v>231.36959598460686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4.4000000000000004</v>
      </c>
      <c r="AI82" s="14">
        <f>IF('Données projet'!$A$62&gt;35,AI81+AH82-AQ81,IF(A82&lt;'Données projet'!$A$62,$AF$205^A82,IF(A82='Données projet'!$A$62,'Données projet'!$B$62,AI81+AH82-AQ81)))</f>
        <v>221.60000000000005</v>
      </c>
      <c r="AJ82" s="14">
        <f>AI82*VLOOKUP('Données projet'!$B$10,Paramètres!$A$1:$I$88,3,0)*VLOOKUP('Données projet'!$B$10,Paramètres!$A$1:$I$88,5,0)</f>
        <v>210.87456000000003</v>
      </c>
      <c r="AK82" s="14">
        <f t="shared" si="89"/>
        <v>52.12665281185464</v>
      </c>
      <c r="AL82" s="22">
        <f t="shared" si="58"/>
        <v>458.06044564731354</v>
      </c>
      <c r="AM82" s="62">
        <f t="shared" si="59"/>
        <v>751.39377898064686</v>
      </c>
      <c r="AN82" s="62">
        <f ca="1">AVERAGE(OFFSET($AM$3,0,0,'Données projet'!$E$10+1,1))-AVERAGE(OFFSET($H$3,0,0,'Données projet'!$E$10+1,1))</f>
        <v>370.04285308422544</v>
      </c>
      <c r="AO82" s="62">
        <f t="shared" si="90"/>
        <v>218.53758068502731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0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projet'!$B$11,Paramètres!$A$1:$I$88,3,0)*VLOOKUP('Données projet'!$B$11,Paramètres!$A$1:$I$88,5,0)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215.43249078216331</v>
      </c>
      <c r="BJ82" s="62">
        <f t="shared" si="92"/>
        <v>363.02009369315232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7.7679370836532335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9.497044698397582E-7</v>
      </c>
      <c r="BS82" s="24">
        <f t="shared" si="63"/>
        <v>7.7679380333577033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IF('Données projet'!$A$36&gt;35,N82+M83-V82,IF(A83&lt;'Données projet'!$A$36,$K$205^A83,IF(A83='Données projet'!$A$36,'Données projet'!$B$36,N82+M83-V82)))</f>
        <v>260.49999999999989</v>
      </c>
      <c r="O83" s="14">
        <f>N83*VLOOKUP('Données projet'!$B$9,Paramètres!$A$1:$I$88,3,0)*VLOOKUP('Données projet'!$B$9,Paramètres!$A$1:$I$88,5,0)</f>
        <v>235.70039999999989</v>
      </c>
      <c r="P83" s="14">
        <f t="shared" si="87"/>
        <v>57.513479567871634</v>
      </c>
      <c r="Q83" s="22">
        <f t="shared" si="54"/>
        <v>510.68084024737624</v>
      </c>
      <c r="R83" s="62">
        <f t="shared" si="55"/>
        <v>804.01417358070955</v>
      </c>
      <c r="S83" s="62">
        <f ca="1">AVERAGE(OFFSET($R$3,0,0,'Données projet'!$E$9+1,1))-AVERAGE(OFFSET($H$3,0,0,'Données projet'!$E$9+1,1))</f>
        <v>430.21146937947236</v>
      </c>
      <c r="T83" s="62">
        <f t="shared" si="88"/>
        <v>231.36959598460686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226</v>
      </c>
      <c r="AG83" s="13">
        <f>VLOOKUP(A83,'Données projet'!$A$61:$I$81,9,0)</f>
        <v>4.4000000000000004</v>
      </c>
      <c r="AH83" s="13">
        <f t="array" ref="AH83">INDEX(AG:AG,MIN(IF(ISNUMBER(AG83:AG279),ROW(AG83:AG279),"")))</f>
        <v>4.4000000000000004</v>
      </c>
      <c r="AI83" s="14">
        <f>IF('Données projet'!$A$62&gt;35,AI82+AH83-AQ82,IF(A83&lt;'Données projet'!$A$62,$AF$205^A83,IF(A83='Données projet'!$A$62,'Données projet'!$B$62,AI82+AH83-AQ82)))</f>
        <v>226.00000000000006</v>
      </c>
      <c r="AJ83" s="14">
        <f>AI83*VLOOKUP('Données projet'!$B$10,Paramètres!$A$1:$I$88,3,0)*VLOOKUP('Données projet'!$B$10,Paramètres!$A$1:$I$88,5,0)</f>
        <v>215.06160000000008</v>
      </c>
      <c r="AK83" s="14">
        <f t="shared" si="89"/>
        <v>53.040134784913185</v>
      </c>
      <c r="AL83" s="22">
        <f t="shared" si="58"/>
        <v>466.94385475039059</v>
      </c>
      <c r="AM83" s="62">
        <f t="shared" si="59"/>
        <v>760.2771880837239</v>
      </c>
      <c r="AN83" s="62">
        <f ca="1">AVERAGE(OFFSET($AM$3,0,0,'Données projet'!$E$10+1,1))-AVERAGE(OFFSET($H$3,0,0,'Données projet'!$E$10+1,1))</f>
        <v>370.04285308422544</v>
      </c>
      <c r="AO83" s="62">
        <f t="shared" si="90"/>
        <v>218.53758068502731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0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projet'!$B$11,Paramètres!$A$1:$I$88,3,0)*VLOOKUP('Données projet'!$B$11,Paramètres!$A$1:$I$88,5,0)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215.43249078216331</v>
      </c>
      <c r="BJ83" s="62">
        <f t="shared" si="92"/>
        <v>363.02009369315232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7.6156125754165789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6.7154247074686808E-7</v>
      </c>
      <c r="BS83" s="24">
        <f t="shared" si="63"/>
        <v>7.6156132469590494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5.9</v>
      </c>
      <c r="N84" s="14">
        <f>IF('Données projet'!$A$36&gt;35,N83+M84-V83,IF(A84&lt;'Données projet'!$A$36,$K$205^A84,IF(A84='Données projet'!$A$36,'Données projet'!$B$36,N83+M84-V83)))</f>
        <v>266.39999999999986</v>
      </c>
      <c r="O84" s="14">
        <f>N84*VLOOKUP('Données projet'!$B$9,Paramètres!$A$1:$I$88,3,0)*VLOOKUP('Données projet'!$B$9,Paramètres!$A$1:$I$88,5,0)</f>
        <v>241.03871999999987</v>
      </c>
      <c r="P84" s="14">
        <f t="shared" si="87"/>
        <v>58.66295994697046</v>
      </c>
      <c r="Q84" s="22">
        <f t="shared" si="54"/>
        <v>521.98042590763998</v>
      </c>
      <c r="R84" s="62">
        <f t="shared" si="55"/>
        <v>815.31375924097324</v>
      </c>
      <c r="S84" s="62">
        <f ca="1">AVERAGE(OFFSET($R$3,0,0,'Données projet'!$E$9+1,1))-AVERAGE(OFFSET($H$3,0,0,'Données projet'!$E$9+1,1))</f>
        <v>430.21146937947236</v>
      </c>
      <c r="T84" s="62">
        <f t="shared" si="88"/>
        <v>231.36959598460686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4.5999999999999996</v>
      </c>
      <c r="AI84" s="14">
        <f>IF('Données projet'!$A$62&gt;35,AI83+AH84-AQ83,IF(A84&lt;'Données projet'!$A$62,$AF$205^A84,IF(A84='Données projet'!$A$62,'Données projet'!$B$62,AI83+AH84-AQ83)))</f>
        <v>230.60000000000005</v>
      </c>
      <c r="AJ84" s="14">
        <f>AI84*VLOOKUP('Données projet'!$B$10,Paramètres!$A$1:$I$88,3,0)*VLOOKUP('Données projet'!$B$10,Paramètres!$A$1:$I$88,5,0)</f>
        <v>219.43896000000004</v>
      </c>
      <c r="AK84" s="14">
        <f t="shared" si="89"/>
        <v>53.992928333089367</v>
      </c>
      <c r="AL84" s="22">
        <f t="shared" si="58"/>
        <v>476.22720551346401</v>
      </c>
      <c r="AM84" s="62">
        <f t="shared" si="59"/>
        <v>769.56053884679727</v>
      </c>
      <c r="AN84" s="62">
        <f ca="1">AVERAGE(OFFSET($AM$3,0,0,'Données projet'!$E$10+1,1))-AVERAGE(OFFSET($H$3,0,0,'Données projet'!$E$10+1,1))</f>
        <v>370.04285308422544</v>
      </c>
      <c r="AO84" s="62">
        <f t="shared" si="90"/>
        <v>218.53758068502731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0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projet'!$B$11,Paramètres!$A$1:$I$88,3,0)*VLOOKUP('Données projet'!$B$11,Paramètres!$A$1:$I$88,5,0)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215.43249078216331</v>
      </c>
      <c r="BJ84" s="62">
        <f t="shared" si="92"/>
        <v>363.02009369315232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7.4662750578776684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4.7485223491987915E-7</v>
      </c>
      <c r="BS84" s="24">
        <f t="shared" si="63"/>
        <v>7.4662755327299033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5.9</v>
      </c>
      <c r="N85" s="14">
        <f>IF('Données projet'!$A$36&gt;35,N84+M85-V84,IF(A85&lt;'Données projet'!$A$36,$K$205^A85,IF(A85='Données projet'!$A$36,'Données projet'!$B$36,N84+M85-V84)))</f>
        <v>272.29999999999984</v>
      </c>
      <c r="O85" s="14">
        <f>N85*VLOOKUP('Données projet'!$B$9,Paramètres!$A$1:$I$88,3,0)*VLOOKUP('Données projet'!$B$9,Paramètres!$A$1:$I$88,5,0)</f>
        <v>246.37703999999982</v>
      </c>
      <c r="P85" s="14">
        <f t="shared" si="87"/>
        <v>59.809480609038189</v>
      </c>
      <c r="Q85" s="22">
        <f t="shared" si="54"/>
        <v>533.27485672740784</v>
      </c>
      <c r="R85" s="62">
        <f t="shared" si="55"/>
        <v>826.60819006074121</v>
      </c>
      <c r="S85" s="62">
        <f ca="1">AVERAGE(OFFSET($R$3,0,0,'Données projet'!$E$9+1,1))-AVERAGE(OFFSET($H$3,0,0,'Données projet'!$E$9+1,1))</f>
        <v>430.21146937947236</v>
      </c>
      <c r="T85" s="62">
        <f t="shared" si="88"/>
        <v>231.36959598460686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4.5999999999999996</v>
      </c>
      <c r="AI85" s="14">
        <f>IF('Données projet'!$A$62&gt;35,AI84+AH85-AQ84,IF(A85&lt;'Données projet'!$A$62,$AF$205^A85,IF(A85='Données projet'!$A$62,'Données projet'!$B$62,AI84+AH85-AQ84)))</f>
        <v>235.20000000000005</v>
      </c>
      <c r="AJ85" s="14">
        <f>AI85*VLOOKUP('Données projet'!$B$10,Paramètres!$A$1:$I$88,3,0)*VLOOKUP('Données projet'!$B$10,Paramètres!$A$1:$I$88,5,0)</f>
        <v>223.81632000000008</v>
      </c>
      <c r="AK85" s="14">
        <f t="shared" si="89"/>
        <v>54.94351196072666</v>
      </c>
      <c r="AL85" s="22">
        <f t="shared" si="58"/>
        <v>485.50670733159899</v>
      </c>
      <c r="AM85" s="62">
        <f t="shared" si="59"/>
        <v>778.8400406649323</v>
      </c>
      <c r="AN85" s="62">
        <f ca="1">AVERAGE(OFFSET($AM$3,0,0,'Données projet'!$E$10+1,1))-AVERAGE(OFFSET($H$3,0,0,'Données projet'!$E$10+1,1))</f>
        <v>370.04285308422544</v>
      </c>
      <c r="AO85" s="62">
        <f t="shared" si="90"/>
        <v>218.53758068502731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0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projet'!$B$11,Paramètres!$A$1:$I$88,3,0)*VLOOKUP('Données projet'!$B$11,Paramètres!$A$1:$I$88,5,0)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215.43249078216331</v>
      </c>
      <c r="BJ85" s="62">
        <f t="shared" si="92"/>
        <v>363.02009369315232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7.319865957970805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3.3577123537343409E-7</v>
      </c>
      <c r="BS85" s="24">
        <f t="shared" si="63"/>
        <v>7.3198662937420407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5.9</v>
      </c>
      <c r="N86" s="14">
        <f>IF('Données projet'!$A$36&gt;35,N85+M86-V85,IF(A86&lt;'Données projet'!$A$36,$K$205^A86,IF(A86='Données projet'!$A$36,'Données projet'!$B$36,N85+M86-V85)))</f>
        <v>278.19999999999982</v>
      </c>
      <c r="O86" s="14">
        <f>N86*VLOOKUP('Données projet'!$B$9,Paramètres!$A$1:$I$88,3,0)*VLOOKUP('Données projet'!$B$9,Paramètres!$A$1:$I$88,5,0)</f>
        <v>251.71535999999983</v>
      </c>
      <c r="P86" s="14">
        <f t="shared" si="87"/>
        <v>60.953113068801812</v>
      </c>
      <c r="Q86" s="22">
        <f t="shared" si="54"/>
        <v>544.5642572614961</v>
      </c>
      <c r="R86" s="62">
        <f t="shared" si="55"/>
        <v>837.89759059482935</v>
      </c>
      <c r="S86" s="62">
        <f ca="1">AVERAGE(OFFSET($R$3,0,0,'Données projet'!$E$9+1,1))-AVERAGE(OFFSET($H$3,0,0,'Données projet'!$E$9+1,1))</f>
        <v>430.21146937947236</v>
      </c>
      <c r="T86" s="62">
        <f t="shared" si="88"/>
        <v>231.36959598460686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4.5999999999999996</v>
      </c>
      <c r="AI86" s="14">
        <f>IF('Données projet'!$A$62&gt;35,AI85+AH86-AQ85,IF(A86&lt;'Données projet'!$A$62,$AF$205^A86,IF(A86='Données projet'!$A$62,'Données projet'!$B$62,AI85+AH86-AQ85)))</f>
        <v>239.80000000000004</v>
      </c>
      <c r="AJ86" s="14">
        <f>AI86*VLOOKUP('Données projet'!$B$10,Paramètres!$A$1:$I$88,3,0)*VLOOKUP('Données projet'!$B$10,Paramètres!$A$1:$I$88,5,0)</f>
        <v>228.19368000000003</v>
      </c>
      <c r="AK86" s="14">
        <f t="shared" si="89"/>
        <v>55.891933871330593</v>
      </c>
      <c r="AL86" s="22">
        <f t="shared" si="58"/>
        <v>494.7824441592341</v>
      </c>
      <c r="AM86" s="62">
        <f t="shared" si="59"/>
        <v>788.11577749256742</v>
      </c>
      <c r="AN86" s="62">
        <f ca="1">AVERAGE(OFFSET($AM$3,0,0,'Données projet'!$E$10+1,1))-AVERAGE(OFFSET($H$3,0,0,'Données projet'!$E$10+1,1))</f>
        <v>370.04285308422544</v>
      </c>
      <c r="AO86" s="62">
        <f t="shared" si="90"/>
        <v>218.53758068502731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0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projet'!$B$11,Paramètres!$A$1:$I$88,3,0)*VLOOKUP('Données projet'!$B$11,Paramètres!$A$1:$I$88,5,0)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215.43249078216331</v>
      </c>
      <c r="BJ86" s="62">
        <f t="shared" si="92"/>
        <v>363.02009369315232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7.1763278512123811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2.3742611745993963E-7</v>
      </c>
      <c r="BS86" s="24">
        <f t="shared" si="63"/>
        <v>7.176328088638499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5.9</v>
      </c>
      <c r="N87" s="14">
        <f>IF('Données projet'!$A$36&gt;35,N86+M87-V86,IF(A87&lt;'Données projet'!$A$36,$K$205^A87,IF(A87='Données projet'!$A$36,'Données projet'!$B$36,N86+M87-V86)))</f>
        <v>284.0999999999998</v>
      </c>
      <c r="O87" s="14">
        <f>N87*VLOOKUP('Données projet'!$B$9,Paramètres!$A$1:$I$88,3,0)*VLOOKUP('Données projet'!$B$9,Paramètres!$A$1:$I$88,5,0)</f>
        <v>257.05367999999982</v>
      </c>
      <c r="P87" s="14">
        <f t="shared" si="87"/>
        <v>62.093925634350327</v>
      </c>
      <c r="Q87" s="22">
        <f t="shared" si="54"/>
        <v>555.84874647982645</v>
      </c>
      <c r="R87" s="62">
        <f t="shared" si="55"/>
        <v>849.18207981315982</v>
      </c>
      <c r="S87" s="62">
        <f ca="1">AVERAGE(OFFSET($R$3,0,0,'Données projet'!$E$9+1,1))-AVERAGE(OFFSET($H$3,0,0,'Données projet'!$E$9+1,1))</f>
        <v>430.21146937947236</v>
      </c>
      <c r="T87" s="62">
        <f t="shared" si="88"/>
        <v>231.36959598460686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4.5999999999999996</v>
      </c>
      <c r="AI87" s="14">
        <f>IF('Données projet'!$A$62&gt;35,AI86+AH87-AQ86,IF(A87&lt;'Données projet'!$A$62,$AF$205^A87,IF(A87='Données projet'!$A$62,'Données projet'!$B$62,AI86+AH87-AQ86)))</f>
        <v>244.40000000000003</v>
      </c>
      <c r="AJ87" s="14">
        <f>AI87*VLOOKUP('Données projet'!$B$10,Paramètres!$A$1:$I$88,3,0)*VLOOKUP('Données projet'!$B$10,Paramètres!$A$1:$I$88,5,0)</f>
        <v>232.57104000000007</v>
      </c>
      <c r="AK87" s="14">
        <f t="shared" si="89"/>
        <v>56.838240313256705</v>
      </c>
      <c r="AL87" s="22">
        <f t="shared" si="58"/>
        <v>504.05449654558885</v>
      </c>
      <c r="AM87" s="62">
        <f t="shared" si="59"/>
        <v>797.38782987892216</v>
      </c>
      <c r="AN87" s="62">
        <f ca="1">AVERAGE(OFFSET($AM$3,0,0,'Données projet'!$E$10+1,1))-AVERAGE(OFFSET($H$3,0,0,'Données projet'!$E$10+1,1))</f>
        <v>370.04285308422544</v>
      </c>
      <c r="AO87" s="62">
        <f t="shared" si="90"/>
        <v>218.53758068502731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0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projet'!$B$11,Paramètres!$A$1:$I$88,3,0)*VLOOKUP('Données projet'!$B$11,Paramètres!$A$1:$I$88,5,0)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215.43249078216331</v>
      </c>
      <c r="BJ87" s="62">
        <f t="shared" si="92"/>
        <v>363.02009369315232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7.0356044391778898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1.6788561768671707E-7</v>
      </c>
      <c r="BS87" s="24">
        <f t="shared" si="63"/>
        <v>7.0356046070635072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5.9</v>
      </c>
      <c r="M88" s="13">
        <f t="array" ref="M88">INDEX(L:L,MIN(IF(ISNUMBER(L88:L284),ROW(L88:L284),"")))</f>
        <v>5.9</v>
      </c>
      <c r="N88" s="14">
        <f>IF('Données projet'!$A$36&gt;35,N87+M88-V87,IF(A88&lt;'Données projet'!$A$36,$K$205^A88,IF(A88='Données projet'!$A$36,'Données projet'!$B$36,N87+M88-V87)))</f>
        <v>289.99999999999977</v>
      </c>
      <c r="O88" s="14">
        <f>N88*VLOOKUP('Données projet'!$B$9,Paramètres!$A$1:$I$88,3,0)*VLOOKUP('Données projet'!$B$9,Paramètres!$A$1:$I$88,5,0)</f>
        <v>262.39199999999977</v>
      </c>
      <c r="P88" s="14">
        <f t="shared" si="87"/>
        <v>63.231983614474892</v>
      </c>
      <c r="Q88" s="22">
        <f t="shared" si="54"/>
        <v>567.12843812854328</v>
      </c>
      <c r="R88" s="62">
        <f t="shared" si="55"/>
        <v>860.46177146187665</v>
      </c>
      <c r="S88" s="62">
        <f ca="1">AVERAGE(OFFSET($R$3,0,0,'Données projet'!$E$9+1,1))-AVERAGE(OFFSET($H$3,0,0,'Données projet'!$E$9+1,1))</f>
        <v>430.21146937947236</v>
      </c>
      <c r="T88" s="62">
        <f t="shared" si="88"/>
        <v>231.36959598460686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249</v>
      </c>
      <c r="AG88" s="13">
        <f>VLOOKUP(A88,'Données projet'!$A$61:$I$81,9,0)</f>
        <v>4.5999999999999996</v>
      </c>
      <c r="AH88" s="13">
        <f t="array" ref="AH88">INDEX(AG:AG,MIN(IF(ISNUMBER(AG88:AG284),ROW(AG88:AG284),"")))</f>
        <v>4.5999999999999996</v>
      </c>
      <c r="AI88" s="14">
        <f>IF('Données projet'!$A$62&gt;35,AI87+AH88-AQ87,IF(A88&lt;'Données projet'!$A$62,$AF$205^A88,IF(A88='Données projet'!$A$62,'Données projet'!$B$62,AI87+AH88-AQ87)))</f>
        <v>249.00000000000003</v>
      </c>
      <c r="AJ88" s="14">
        <f>AI88*VLOOKUP('Données projet'!$B$10,Paramètres!$A$1:$I$88,3,0)*VLOOKUP('Données projet'!$B$10,Paramètres!$A$1:$I$88,5,0)</f>
        <v>236.94840000000002</v>
      </c>
      <c r="AK88" s="14">
        <f t="shared" si="89"/>
        <v>57.782475694292401</v>
      </c>
      <c r="AL88" s="22">
        <f t="shared" si="58"/>
        <v>513.32294183422596</v>
      </c>
      <c r="AM88" s="62">
        <f t="shared" si="59"/>
        <v>806.65627516755922</v>
      </c>
      <c r="AN88" s="62">
        <f ca="1">AVERAGE(OFFSET($AM$3,0,0,'Données projet'!$E$10+1,1))-AVERAGE(OFFSET($H$3,0,0,'Données projet'!$E$10+1,1))</f>
        <v>370.04285308422544</v>
      </c>
      <c r="AO88" s="62">
        <f t="shared" si="90"/>
        <v>218.53758068502731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27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0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projet'!$B$11,Paramètres!$A$1:$I$88,3,0)*VLOOKUP('Données projet'!$B$11,Paramètres!$A$1:$I$88,5,0)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215.43249078216331</v>
      </c>
      <c r="BJ88" s="62">
        <f t="shared" si="92"/>
        <v>363.02009369315232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6.897640527420589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1.1871305872996983E-7</v>
      </c>
      <c r="BS88" s="24">
        <f t="shared" si="63"/>
        <v>6.8976406461336479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253.19999999999976</v>
      </c>
      <c r="O89" s="14">
        <f>N89*VLOOKUP('Données projet'!$B$9,Paramètres!$A$1:$I$88,3,0)*VLOOKUP('Données projet'!$B$9,Paramètres!$A$1:$I$88,5,0)</f>
        <v>229.09535999999977</v>
      </c>
      <c r="P89" s="14">
        <f t="shared" si="87"/>
        <v>56.087032370558362</v>
      </c>
      <c r="Q89" s="22">
        <f t="shared" si="54"/>
        <v>496.69266671205543</v>
      </c>
      <c r="R89" s="62">
        <f t="shared" si="55"/>
        <v>790.02600004538874</v>
      </c>
      <c r="S89" s="62">
        <f ca="1">AVERAGE(OFFSET($R$3,0,0,'Données projet'!$E$9+1,1))-AVERAGE(OFFSET($H$3,0,0,'Données projet'!$E$9+1,1))</f>
        <v>430.21146937947236</v>
      </c>
      <c r="T89" s="62">
        <f t="shared" si="88"/>
        <v>231.36959598460686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</v>
      </c>
      <c r="AI89" s="14">
        <f>IF('Données projet'!$A$62&gt;35,AI88+AH89-AQ88,IF(A89&lt;'Données projet'!$A$62,$AF$205^A89,IF(A89='Données projet'!$A$62,'Données projet'!$B$62,AI88+AH89-AQ88)))</f>
        <v>226.00000000000003</v>
      </c>
      <c r="AJ89" s="14">
        <f>AI89*VLOOKUP('Données projet'!$B$10,Paramètres!$A$1:$I$88,3,0)*VLOOKUP('Données projet'!$B$10,Paramètres!$A$1:$I$88,5,0)</f>
        <v>215.06160000000003</v>
      </c>
      <c r="AK89" s="14">
        <f t="shared" si="89"/>
        <v>53.040134784913185</v>
      </c>
      <c r="AL89" s="22">
        <f t="shared" si="58"/>
        <v>466.94385475039053</v>
      </c>
      <c r="AM89" s="62">
        <f t="shared" si="59"/>
        <v>760.27718808372379</v>
      </c>
      <c r="AN89" s="62">
        <f ca="1">AVERAGE(OFFSET($AM$3,0,0,'Données projet'!$E$10+1,1))-AVERAGE(OFFSET($H$3,0,0,'Données projet'!$E$10+1,1))</f>
        <v>370.04285308422544</v>
      </c>
      <c r="AO89" s="62">
        <f t="shared" si="90"/>
        <v>218.53758068502731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0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projet'!$B$11,Paramètres!$A$1:$I$88,3,0)*VLOOKUP('Données projet'!$B$11,Paramètres!$A$1:$I$88,5,0)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215.43249078216331</v>
      </c>
      <c r="BJ89" s="62">
        <f t="shared" si="92"/>
        <v>363.02009369315232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6.7623820038231717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8.3942808843358549E-8</v>
      </c>
      <c r="BS89" s="24">
        <f t="shared" si="63"/>
        <v>6.7623820877659808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258.39999999999975</v>
      </c>
      <c r="O90" s="14">
        <f>N90*VLOOKUP('Données projet'!$B$9,Paramètres!$A$1:$I$88,3,0)*VLOOKUP('Données projet'!$B$9,Paramètres!$A$1:$I$88,5,0)</f>
        <v>233.80031999999977</v>
      </c>
      <c r="P90" s="14">
        <f t="shared" si="87"/>
        <v>57.103614181373779</v>
      </c>
      <c r="Q90" s="22">
        <f t="shared" si="54"/>
        <v>506.65768536589218</v>
      </c>
      <c r="R90" s="62">
        <f t="shared" si="55"/>
        <v>799.99101869922549</v>
      </c>
      <c r="S90" s="62">
        <f ca="1">AVERAGE(OFFSET($R$3,0,0,'Données projet'!$E$9+1,1))-AVERAGE(OFFSET($H$3,0,0,'Données projet'!$E$9+1,1))</f>
        <v>430.21146937947236</v>
      </c>
      <c r="T90" s="62">
        <f t="shared" si="88"/>
        <v>231.36959598460686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</v>
      </c>
      <c r="AI90" s="14">
        <f>IF('Données projet'!$A$62&gt;35,AI89+AH90-AQ89,IF(A90&lt;'Données projet'!$A$62,$AF$205^A90,IF(A90='Données projet'!$A$62,'Données projet'!$B$62,AI89+AH90-AQ89)))</f>
        <v>230.00000000000003</v>
      </c>
      <c r="AJ90" s="14">
        <f>AI90*VLOOKUP('Données projet'!$B$10,Paramètres!$A$1:$I$88,3,0)*VLOOKUP('Données projet'!$B$10,Paramètres!$A$1:$I$88,5,0)</f>
        <v>218.86800000000002</v>
      </c>
      <c r="AK90" s="14">
        <f t="shared" si="89"/>
        <v>53.868777293257544</v>
      </c>
      <c r="AL90" s="22">
        <f t="shared" si="58"/>
        <v>475.01655378575691</v>
      </c>
      <c r="AM90" s="62">
        <f t="shared" si="59"/>
        <v>768.34988711909023</v>
      </c>
      <c r="AN90" s="62">
        <f ca="1">AVERAGE(OFFSET($AM$3,0,0,'Données projet'!$E$10+1,1))-AVERAGE(OFFSET($H$3,0,0,'Données projet'!$E$10+1,1))</f>
        <v>370.04285308422544</v>
      </c>
      <c r="AO90" s="62">
        <f t="shared" si="90"/>
        <v>218.53758068502731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0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projet'!$B$11,Paramètres!$A$1:$I$88,3,0)*VLOOKUP('Données projet'!$B$11,Paramètres!$A$1:$I$88,5,0)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215.43249078216331</v>
      </c>
      <c r="BJ90" s="62">
        <f t="shared" si="92"/>
        <v>363.02009369315232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6.6297758173739467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5.9356529364984921E-8</v>
      </c>
      <c r="BS90" s="24">
        <f t="shared" si="63"/>
        <v>6.6297758767304762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263.59999999999974</v>
      </c>
      <c r="O91" s="14">
        <f>N91*VLOOKUP('Données projet'!$B$9,Paramètres!$A$1:$I$88,3,0)*VLOOKUP('Données projet'!$B$9,Paramètres!$A$1:$I$88,5,0)</f>
        <v>238.50527999999974</v>
      </c>
      <c r="P91" s="14">
        <f t="shared" si="87"/>
        <v>58.117817352909832</v>
      </c>
      <c r="Q91" s="22">
        <f t="shared" si="54"/>
        <v>516.61856122298411</v>
      </c>
      <c r="R91" s="62">
        <f t="shared" si="55"/>
        <v>809.95189455631748</v>
      </c>
      <c r="S91" s="62">
        <f ca="1">AVERAGE(OFFSET($R$3,0,0,'Données projet'!$E$9+1,1))-AVERAGE(OFFSET($H$3,0,0,'Données projet'!$E$9+1,1))</f>
        <v>430.21146937947236</v>
      </c>
      <c r="T91" s="62">
        <f t="shared" si="88"/>
        <v>231.36959598460686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</v>
      </c>
      <c r="AI91" s="14">
        <f>IF('Données projet'!$A$62&gt;35,AI90+AH91-AQ90,IF(A91&lt;'Données projet'!$A$62,$AF$205^A91,IF(A91='Données projet'!$A$62,'Données projet'!$B$62,AI90+AH91-AQ90)))</f>
        <v>234.00000000000003</v>
      </c>
      <c r="AJ91" s="14">
        <f>AI91*VLOOKUP('Données projet'!$B$10,Paramètres!$A$1:$I$88,3,0)*VLOOKUP('Données projet'!$B$10,Paramètres!$A$1:$I$88,5,0)</f>
        <v>222.67440000000002</v>
      </c>
      <c r="AK91" s="14">
        <f t="shared" si="89"/>
        <v>54.695743948366477</v>
      </c>
      <c r="AL91" s="22">
        <f t="shared" si="58"/>
        <v>483.08633404340497</v>
      </c>
      <c r="AM91" s="62">
        <f t="shared" si="59"/>
        <v>776.41966737673829</v>
      </c>
      <c r="AN91" s="62">
        <f ca="1">AVERAGE(OFFSET($AM$3,0,0,'Données projet'!$E$10+1,1))-AVERAGE(OFFSET($H$3,0,0,'Données projet'!$E$10+1,1))</f>
        <v>370.04285308422544</v>
      </c>
      <c r="AO91" s="62">
        <f t="shared" si="90"/>
        <v>218.53758068502731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0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projet'!$B$11,Paramètres!$A$1:$I$88,3,0)*VLOOKUP('Données projet'!$B$11,Paramètres!$A$1:$I$88,5,0)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215.43249078216331</v>
      </c>
      <c r="BJ91" s="62">
        <f t="shared" si="92"/>
        <v>363.02009369315232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6.499769957359204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4.1971404421679281E-8</v>
      </c>
      <c r="BS91" s="24">
        <f t="shared" si="63"/>
        <v>6.4997699993306082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268.79999999999973</v>
      </c>
      <c r="O92" s="14">
        <f>N92*VLOOKUP('Données projet'!$B$9,Paramètres!$A$1:$I$88,3,0)*VLOOKUP('Données projet'!$B$9,Paramètres!$A$1:$I$88,5,0)</f>
        <v>243.21023999999974</v>
      </c>
      <c r="P92" s="14">
        <f t="shared" si="87"/>
        <v>59.129694216846687</v>
      </c>
      <c r="Q92" s="22">
        <f t="shared" si="54"/>
        <v>526.57538542767418</v>
      </c>
      <c r="R92" s="62">
        <f t="shared" si="55"/>
        <v>819.90871876100755</v>
      </c>
      <c r="S92" s="62">
        <f ca="1">AVERAGE(OFFSET($R$3,0,0,'Données projet'!$E$9+1,1))-AVERAGE(OFFSET($H$3,0,0,'Données projet'!$E$9+1,1))</f>
        <v>430.21146937947236</v>
      </c>
      <c r="T92" s="62">
        <f t="shared" si="88"/>
        <v>231.36959598460686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</v>
      </c>
      <c r="AI92" s="14">
        <f>IF('Données projet'!$A$62&gt;35,AI91+AH92-AQ91,IF(A92&lt;'Données projet'!$A$62,$AF$205^A92,IF(A92='Données projet'!$A$62,'Données projet'!$B$62,AI91+AH92-AQ91)))</f>
        <v>238.00000000000003</v>
      </c>
      <c r="AJ92" s="14">
        <f>AI92*VLOOKUP('Données projet'!$B$10,Paramètres!$A$1:$I$88,3,0)*VLOOKUP('Données projet'!$B$10,Paramètres!$A$1:$I$88,5,0)</f>
        <v>226.48080000000002</v>
      </c>
      <c r="AK92" s="14">
        <f t="shared" si="89"/>
        <v>55.52106670316202</v>
      </c>
      <c r="AL92" s="22">
        <f t="shared" si="58"/>
        <v>491.15325117467381</v>
      </c>
      <c r="AM92" s="62">
        <f t="shared" si="59"/>
        <v>784.48658450800713</v>
      </c>
      <c r="AN92" s="62">
        <f ca="1">AVERAGE(OFFSET($AM$3,0,0,'Données projet'!$E$10+1,1))-AVERAGE(OFFSET($H$3,0,0,'Données projet'!$E$10+1,1))</f>
        <v>370.04285308422544</v>
      </c>
      <c r="AO92" s="62">
        <f t="shared" si="90"/>
        <v>218.53758068502731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0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projet'!$B$11,Paramètres!$A$1:$I$88,3,0)*VLOOKUP('Données projet'!$B$11,Paramètres!$A$1:$I$88,5,0)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215.43249078216331</v>
      </c>
      <c r="BJ92" s="62">
        <f t="shared" si="92"/>
        <v>363.02009369315232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6.3723134329636055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2.9678264682492467E-8</v>
      </c>
      <c r="BS92" s="24">
        <f t="shared" si="63"/>
        <v>6.3723134626418698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273.99999999999972</v>
      </c>
      <c r="O93" s="14">
        <f>N93*VLOOKUP('Données projet'!$B$9,Paramètres!$A$1:$I$88,3,0)*VLOOKUP('Données projet'!$B$9,Paramètres!$A$1:$I$88,5,0)</f>
        <v>247.91519999999971</v>
      </c>
      <c r="P93" s="14">
        <f t="shared" si="87"/>
        <v>60.139294964297406</v>
      </c>
      <c r="Q93" s="22">
        <f t="shared" si="54"/>
        <v>536.52824539615074</v>
      </c>
      <c r="R93" s="62">
        <f t="shared" si="55"/>
        <v>829.86157872948411</v>
      </c>
      <c r="S93" s="62">
        <f ca="1">AVERAGE(OFFSET($R$3,0,0,'Données projet'!$E$9+1,1))-AVERAGE(OFFSET($H$3,0,0,'Données projet'!$E$9+1,1))</f>
        <v>430.21146937947236</v>
      </c>
      <c r="T93" s="62">
        <f t="shared" si="88"/>
        <v>231.36959598460686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242</v>
      </c>
      <c r="AG93" s="13">
        <f>VLOOKUP(A93,'Données projet'!$A$61:$I$81,9,0)</f>
        <v>4</v>
      </c>
      <c r="AH93" s="13">
        <f t="array" ref="AH93">INDEX(AG:AG,MIN(IF(ISNUMBER(AG93:AG289),ROW(AG93:AG289),"")))</f>
        <v>4</v>
      </c>
      <c r="AI93" s="14">
        <f>IF('Données projet'!$A$62&gt;35,AI92+AH93-AQ92,IF(A93&lt;'Données projet'!$A$62,$AF$205^A93,IF(A93='Données projet'!$A$62,'Données projet'!$B$62,AI92+AH93-AQ92)))</f>
        <v>242.00000000000003</v>
      </c>
      <c r="AJ93" s="14">
        <f>AI93*VLOOKUP('Données projet'!$B$10,Paramètres!$A$1:$I$88,3,0)*VLOOKUP('Données projet'!$B$10,Paramètres!$A$1:$I$88,5,0)</f>
        <v>230.28720000000001</v>
      </c>
      <c r="AK93" s="14">
        <f t="shared" si="89"/>
        <v>56.344776374959956</v>
      </c>
      <c r="AL93" s="22">
        <f t="shared" si="58"/>
        <v>499.2173588530552</v>
      </c>
      <c r="AM93" s="62">
        <f t="shared" si="59"/>
        <v>792.55069218638846</v>
      </c>
      <c r="AN93" s="62">
        <f ca="1">AVERAGE(OFFSET($AM$3,0,0,'Données projet'!$E$10+1,1))-AVERAGE(OFFSET($H$3,0,0,'Données projet'!$E$10+1,1))</f>
        <v>370.04285308422544</v>
      </c>
      <c r="AO93" s="62">
        <f t="shared" si="90"/>
        <v>218.53758068502731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0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projet'!$B$11,Paramètres!$A$1:$I$88,3,0)*VLOOKUP('Données projet'!$B$11,Paramètres!$A$1:$I$88,5,0)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215.43249078216331</v>
      </c>
      <c r="BJ93" s="62">
        <f t="shared" si="92"/>
        <v>363.02009369315232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6.2473562532706008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2.0985702210839644E-8</v>
      </c>
      <c r="BS93" s="24">
        <f t="shared" si="63"/>
        <v>6.2473562742563029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279.1999999999997</v>
      </c>
      <c r="O94" s="14">
        <f>N94*VLOOKUP('Données projet'!$B$9,Paramètres!$A$1:$I$88,3,0)*VLOOKUP('Données projet'!$B$9,Paramètres!$A$1:$I$88,5,0)</f>
        <v>252.62015999999971</v>
      </c>
      <c r="P94" s="14">
        <f t="shared" si="87"/>
        <v>61.146667772298713</v>
      </c>
      <c r="Q94" s="22">
        <f t="shared" si="54"/>
        <v>546.477225036753</v>
      </c>
      <c r="R94" s="62">
        <f t="shared" si="55"/>
        <v>839.81055837008626</v>
      </c>
      <c r="S94" s="62">
        <f ca="1">AVERAGE(OFFSET($R$3,0,0,'Données projet'!$E$9+1,1))-AVERAGE(OFFSET($H$3,0,0,'Données projet'!$E$9+1,1))</f>
        <v>430.21146937947236</v>
      </c>
      <c r="T94" s="62">
        <f t="shared" si="88"/>
        <v>231.36959598460686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</v>
      </c>
      <c r="AI94" s="14">
        <f>IF('Données projet'!$A$62&gt;35,AI93+AH94-AQ93,IF(A94&lt;'Données projet'!$A$62,$AF$205^A94,IF(A94='Données projet'!$A$62,'Données projet'!$B$62,AI93+AH94-AQ93)))</f>
        <v>246.00000000000003</v>
      </c>
      <c r="AJ94" s="14">
        <f>AI94*VLOOKUP('Données projet'!$B$10,Paramètres!$A$1:$I$88,3,0)*VLOOKUP('Données projet'!$B$10,Paramètres!$A$1:$I$88,5,0)</f>
        <v>234.09360000000001</v>
      </c>
      <c r="AK94" s="14">
        <f t="shared" si="89"/>
        <v>57.166902703920208</v>
      </c>
      <c r="AL94" s="22">
        <f t="shared" si="58"/>
        <v>507.27870887599437</v>
      </c>
      <c r="AM94" s="62">
        <f t="shared" si="59"/>
        <v>800.61204220932768</v>
      </c>
      <c r="AN94" s="62">
        <f ca="1">AVERAGE(OFFSET($AM$3,0,0,'Données projet'!$E$10+1,1))-AVERAGE(OFFSET($H$3,0,0,'Données projet'!$E$10+1,1))</f>
        <v>370.04285308422544</v>
      </c>
      <c r="AO94" s="62">
        <f t="shared" si="90"/>
        <v>218.53758068502731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0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projet'!$B$11,Paramètres!$A$1:$I$88,3,0)*VLOOKUP('Données projet'!$B$11,Paramètres!$A$1:$I$88,5,0)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215.43249078216331</v>
      </c>
      <c r="BJ94" s="62">
        <f t="shared" si="92"/>
        <v>363.02009369315232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6.1248494076550219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1.4839132341246235E-8</v>
      </c>
      <c r="BS94" s="24">
        <f t="shared" si="63"/>
        <v>6.1248494224941545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284.39999999999969</v>
      </c>
      <c r="O95" s="14">
        <f>N95*VLOOKUP('Données projet'!$B$9,Paramètres!$A$1:$I$88,3,0)*VLOOKUP('Données projet'!$B$9,Paramètres!$A$1:$I$88,5,0)</f>
        <v>257.32511999999969</v>
      </c>
      <c r="P95" s="14">
        <f t="shared" si="87"/>
        <v>62.151858920612597</v>
      </c>
      <c r="Q95" s="22">
        <f t="shared" si="54"/>
        <v>556.42240495339968</v>
      </c>
      <c r="R95" s="62">
        <f t="shared" si="55"/>
        <v>849.75573828673305</v>
      </c>
      <c r="S95" s="62">
        <f ca="1">AVERAGE(OFFSET($R$3,0,0,'Données projet'!$E$9+1,1))-AVERAGE(OFFSET($H$3,0,0,'Données projet'!$E$9+1,1))</f>
        <v>430.21146937947236</v>
      </c>
      <c r="T95" s="62">
        <f t="shared" si="88"/>
        <v>231.36959598460686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</v>
      </c>
      <c r="AI95" s="14">
        <f>IF('Données projet'!$A$62&gt;35,AI94+AH95-AQ94,IF(A95&lt;'Données projet'!$A$62,$AF$205^A95,IF(A95='Données projet'!$A$62,'Données projet'!$B$62,AI94+AH95-AQ94)))</f>
        <v>250.00000000000003</v>
      </c>
      <c r="AJ95" s="14">
        <f>AI95*VLOOKUP('Données projet'!$B$10,Paramètres!$A$1:$I$88,3,0)*VLOOKUP('Données projet'!$B$10,Paramètres!$A$1:$I$88,5,0)</f>
        <v>237.9</v>
      </c>
      <c r="AK95" s="14">
        <f t="shared" si="89"/>
        <v>57.987474407587428</v>
      </c>
      <c r="AL95" s="22">
        <f t="shared" si="58"/>
        <v>515.33735125988142</v>
      </c>
      <c r="AM95" s="62">
        <f t="shared" si="59"/>
        <v>808.67068459321467</v>
      </c>
      <c r="AN95" s="62">
        <f ca="1">AVERAGE(OFFSET($AM$3,0,0,'Données projet'!$E$10+1,1))-AVERAGE(OFFSET($H$3,0,0,'Données projet'!$E$10+1,1))</f>
        <v>370.04285308422544</v>
      </c>
      <c r="AO95" s="62">
        <f t="shared" si="90"/>
        <v>218.53758068502731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0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projet'!$B$11,Paramètres!$A$1:$I$88,3,0)*VLOOKUP('Données projet'!$B$11,Paramètres!$A$1:$I$88,5,0)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215.43249078216331</v>
      </c>
      <c r="BJ95" s="62">
        <f t="shared" si="92"/>
        <v>363.02009369315232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6.0047448465601674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1.0492851105419824E-8</v>
      </c>
      <c r="BS95" s="24">
        <f t="shared" si="63"/>
        <v>6.0047448570530184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289.59999999999968</v>
      </c>
      <c r="O96" s="14">
        <f>N96*VLOOKUP('Données projet'!$B$9,Paramètres!$A$1:$I$88,3,0)*VLOOKUP('Données projet'!$B$9,Paramètres!$A$1:$I$88,5,0)</f>
        <v>262.03007999999966</v>
      </c>
      <c r="P96" s="14">
        <f t="shared" si="87"/>
        <v>63.154912899742527</v>
      </c>
      <c r="Q96" s="22">
        <f t="shared" si="54"/>
        <v>566.36386263371753</v>
      </c>
      <c r="R96" s="62">
        <f t="shared" si="55"/>
        <v>859.6971959670509</v>
      </c>
      <c r="S96" s="62">
        <f ca="1">AVERAGE(OFFSET($R$3,0,0,'Données projet'!$E$9+1,1))-AVERAGE(OFFSET($H$3,0,0,'Données projet'!$E$9+1,1))</f>
        <v>430.21146937947236</v>
      </c>
      <c r="T96" s="62">
        <f t="shared" si="88"/>
        <v>231.36959598460686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</v>
      </c>
      <c r="AI96" s="14">
        <f>IF('Données projet'!$A$62&gt;35,AI95+AH96-AQ95,IF(A96&lt;'Données projet'!$A$62,$AF$205^A96,IF(A96='Données projet'!$A$62,'Données projet'!$B$62,AI95+AH96-AQ95)))</f>
        <v>254.00000000000003</v>
      </c>
      <c r="AJ96" s="14">
        <f>AI96*VLOOKUP('Données projet'!$B$10,Paramètres!$A$1:$I$88,3,0)*VLOOKUP('Données projet'!$B$10,Paramètres!$A$1:$I$88,5,0)</f>
        <v>241.70640000000006</v>
      </c>
      <c r="AK96" s="14">
        <f t="shared" si="89"/>
        <v>58.806519231842536</v>
      </c>
      <c r="AL96" s="22">
        <f t="shared" si="58"/>
        <v>523.39333432879255</v>
      </c>
      <c r="AM96" s="62">
        <f t="shared" si="59"/>
        <v>816.72666766212592</v>
      </c>
      <c r="AN96" s="62">
        <f ca="1">AVERAGE(OFFSET($AM$3,0,0,'Données projet'!$E$10+1,1))-AVERAGE(OFFSET($H$3,0,0,'Données projet'!$E$10+1,1))</f>
        <v>370.04285308422544</v>
      </c>
      <c r="AO96" s="62">
        <f t="shared" si="90"/>
        <v>218.53758068502731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0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projet'!$B$11,Paramètres!$A$1:$I$88,3,0)*VLOOKUP('Données projet'!$B$11,Paramètres!$A$1:$I$88,5,0)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215.43249078216331</v>
      </c>
      <c r="BJ96" s="62">
        <f t="shared" si="92"/>
        <v>363.02009369315232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5.8869954626518339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7.4195661706231192E-9</v>
      </c>
      <c r="BS96" s="24">
        <f t="shared" si="63"/>
        <v>5.8869954700714002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294.79999999999967</v>
      </c>
      <c r="O97" s="14">
        <f>N97*VLOOKUP('Données projet'!$B$9,Paramètres!$A$1:$I$88,3,0)*VLOOKUP('Données projet'!$B$9,Paramètres!$A$1:$I$88,5,0)</f>
        <v>266.73503999999969</v>
      </c>
      <c r="P97" s="14">
        <f t="shared" si="87"/>
        <v>64.155872510973168</v>
      </c>
      <c r="Q97" s="22">
        <f t="shared" si="54"/>
        <v>576.30167262327768</v>
      </c>
      <c r="R97" s="62">
        <f t="shared" si="55"/>
        <v>869.63500595661094</v>
      </c>
      <c r="S97" s="62">
        <f ca="1">AVERAGE(OFFSET($R$3,0,0,'Données projet'!$E$9+1,1))-AVERAGE(OFFSET($H$3,0,0,'Données projet'!$E$9+1,1))</f>
        <v>430.21146937947236</v>
      </c>
      <c r="T97" s="62">
        <f t="shared" si="88"/>
        <v>231.36959598460686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</v>
      </c>
      <c r="AI97" s="14">
        <f>IF('Données projet'!$A$62&gt;35,AI96+AH97-AQ96,IF(A97&lt;'Données projet'!$A$62,$AF$205^A97,IF(A97='Données projet'!$A$62,'Données projet'!$B$62,AI96+AH97-AQ96)))</f>
        <v>258</v>
      </c>
      <c r="AJ97" s="14">
        <f>AI97*VLOOKUP('Données projet'!$B$10,Paramètres!$A$1:$I$88,3,0)*VLOOKUP('Données projet'!$B$10,Paramètres!$A$1:$I$88,5,0)</f>
        <v>245.5128</v>
      </c>
      <c r="AK97" s="14">
        <f t="shared" si="89"/>
        <v>59.624063998553147</v>
      </c>
      <c r="AL97" s="22">
        <f t="shared" si="58"/>
        <v>531.44670479748004</v>
      </c>
      <c r="AM97" s="62">
        <f t="shared" si="59"/>
        <v>824.78003813081341</v>
      </c>
      <c r="AN97" s="62">
        <f ca="1">AVERAGE(OFFSET($AM$3,0,0,'Données projet'!$E$10+1,1))-AVERAGE(OFFSET($H$3,0,0,'Données projet'!$E$10+1,1))</f>
        <v>370.04285308422544</v>
      </c>
      <c r="AO97" s="62">
        <f t="shared" si="90"/>
        <v>218.53758068502731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0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projet'!$B$11,Paramètres!$A$1:$I$88,3,0)*VLOOKUP('Données projet'!$B$11,Paramètres!$A$1:$I$88,5,0)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215.43249078216331</v>
      </c>
      <c r="BJ97" s="62">
        <f t="shared" si="92"/>
        <v>363.02009369315232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5.7715550723419105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5.2464255527099126E-9</v>
      </c>
      <c r="BS97" s="24">
        <f t="shared" si="63"/>
        <v>5.771555077588336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299.99999999999966</v>
      </c>
      <c r="O98" s="14">
        <f>N98*VLOOKUP('Données projet'!$B$9,Paramètres!$A$1:$I$88,3,0)*VLOOKUP('Données projet'!$B$9,Paramètres!$A$1:$I$88,5,0)</f>
        <v>271.43999999999971</v>
      </c>
      <c r="P98" s="14">
        <f t="shared" si="87"/>
        <v>65.154778959151116</v>
      </c>
      <c r="Q98" s="22">
        <f t="shared" si="54"/>
        <v>586.23590668718782</v>
      </c>
      <c r="R98" s="62">
        <f t="shared" si="55"/>
        <v>879.56924002052119</v>
      </c>
      <c r="S98" s="62">
        <f ca="1">AVERAGE(OFFSET($R$3,0,0,'Données projet'!$E$9+1,1))-AVERAGE(OFFSET($H$3,0,0,'Données projet'!$E$9+1,1))</f>
        <v>430.21146937947236</v>
      </c>
      <c r="T98" s="62">
        <f t="shared" si="88"/>
        <v>231.36959598460686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262</v>
      </c>
      <c r="AG98" s="13">
        <f>VLOOKUP(A98,'Données projet'!$A$61:$I$81,9,0)</f>
        <v>4</v>
      </c>
      <c r="AH98" s="13">
        <f t="array" ref="AH98">INDEX(AG:AG,MIN(IF(ISNUMBER(AG98:AG294),ROW(AG98:AG294),"")))</f>
        <v>4</v>
      </c>
      <c r="AI98" s="14">
        <f>IF('Données projet'!$A$62&gt;35,AI97+AH98-AQ97,IF(A98&lt;'Données projet'!$A$62,$AF$205^A98,IF(A98='Données projet'!$A$62,'Données projet'!$B$62,AI97+AH98-AQ97)))</f>
        <v>262</v>
      </c>
      <c r="AJ98" s="14">
        <f>AI98*VLOOKUP('Données projet'!$B$10,Paramètres!$A$1:$I$88,3,0)*VLOOKUP('Données projet'!$B$10,Paramètres!$A$1:$I$88,5,0)</f>
        <v>249.3192</v>
      </c>
      <c r="AK98" s="14">
        <f t="shared" si="89"/>
        <v>60.440134650185499</v>
      </c>
      <c r="AL98" s="22">
        <f t="shared" si="58"/>
        <v>539.49750784907303</v>
      </c>
      <c r="AM98" s="62">
        <f t="shared" si="59"/>
        <v>832.8308411824064</v>
      </c>
      <c r="AN98" s="62">
        <f ca="1">AVERAGE(OFFSET($AM$3,0,0,'Données projet'!$E$10+1,1))-AVERAGE(OFFSET($H$3,0,0,'Données projet'!$E$10+1,1))</f>
        <v>370.04285308422544</v>
      </c>
      <c r="AO98" s="62">
        <f t="shared" si="90"/>
        <v>218.53758068502731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26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0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projet'!$B$11,Paramètres!$A$1:$I$88,3,0)*VLOOKUP('Données projet'!$B$11,Paramètres!$A$1:$I$88,5,0)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215.43249078216331</v>
      </c>
      <c r="BJ98" s="62">
        <f t="shared" si="92"/>
        <v>363.02009369315232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5.6583783976742792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3.70978308531156E-9</v>
      </c>
      <c r="BS98" s="24">
        <f t="shared" si="63"/>
        <v>5.6583784013840619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262.69999999999965</v>
      </c>
      <c r="O99" s="14">
        <f>N99*VLOOKUP('Données projet'!$B$9,Paramètres!$A$1:$I$88,3,0)*VLOOKUP('Données projet'!$B$9,Paramètres!$A$1:$I$88,5,0)</f>
        <v>237.69095999999968</v>
      </c>
      <c r="P99" s="14">
        <f t="shared" si="87"/>
        <v>57.942450096949344</v>
      </c>
      <c r="Q99" s="22">
        <f t="shared" ref="Q99:Q130" si="107">(O99+P99)*0.475*44/12</f>
        <v>514.89485591885284</v>
      </c>
      <c r="R99" s="62">
        <f t="shared" si="55"/>
        <v>808.22818925218621</v>
      </c>
      <c r="S99" s="62">
        <f ca="1">AVERAGE(OFFSET($R$3,0,0,'Données projet'!$E$9+1,1))-AVERAGE(OFFSET($H$3,0,0,'Données projet'!$E$9+1,1))</f>
        <v>430.21146937947236</v>
      </c>
      <c r="T99" s="62">
        <f t="shared" si="88"/>
        <v>231.36959598460686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3.8</v>
      </c>
      <c r="AI99" s="14">
        <f>IF('Données projet'!$A$62&gt;35,AI98+AH99-AQ98,IF(A99&lt;'Données projet'!$A$62,$AF$205^A99,IF(A99='Données projet'!$A$62,'Données projet'!$B$62,AI98+AH99-AQ98)))</f>
        <v>239.8</v>
      </c>
      <c r="AJ99" s="14">
        <f>AI99*VLOOKUP('Données projet'!$B$10,Paramètres!$A$1:$I$88,3,0)*VLOOKUP('Données projet'!$B$10,Paramètres!$A$1:$I$88,5,0)</f>
        <v>228.19368</v>
      </c>
      <c r="AK99" s="14">
        <f t="shared" si="89"/>
        <v>55.891933871330593</v>
      </c>
      <c r="AL99" s="22">
        <f t="shared" si="58"/>
        <v>494.78244415923405</v>
      </c>
      <c r="AM99" s="62">
        <f t="shared" si="59"/>
        <v>788.1157774925673</v>
      </c>
      <c r="AN99" s="62">
        <f ca="1">AVERAGE(OFFSET($AM$3,0,0,'Données projet'!$E$10+1,1))-AVERAGE(OFFSET($H$3,0,0,'Données projet'!$E$10+1,1))</f>
        <v>370.04285308422544</v>
      </c>
      <c r="AO99" s="62">
        <f t="shared" si="90"/>
        <v>218.53758068502731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0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projet'!$B$11,Paramètres!$A$1:$I$88,3,0)*VLOOKUP('Données projet'!$B$11,Paramètres!$A$1:$I$88,5,0)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215.43249078216331</v>
      </c>
      <c r="BJ99" s="62">
        <f t="shared" si="92"/>
        <v>363.02009369315232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5.5474210485659246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2.6232127763549567E-9</v>
      </c>
      <c r="BS99" s="24">
        <f t="shared" si="63"/>
        <v>5.5474210511891373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267.39999999999964</v>
      </c>
      <c r="O100" s="14">
        <f>N100*VLOOKUP('Données projet'!$B$9,Paramètres!$A$1:$I$88,3,0)*VLOOKUP('Données projet'!$B$9,Paramètres!$A$1:$I$88,5,0)</f>
        <v>241.94351999999967</v>
      </c>
      <c r="P100" s="14">
        <f t="shared" si="87"/>
        <v>58.857491789961337</v>
      </c>
      <c r="Q100" s="22">
        <f t="shared" si="107"/>
        <v>523.89509553418213</v>
      </c>
      <c r="R100" s="62">
        <f t="shared" si="55"/>
        <v>817.2284288675155</v>
      </c>
      <c r="S100" s="62">
        <f ca="1">AVERAGE(OFFSET($R$3,0,0,'Données projet'!$E$9+1,1))-AVERAGE(OFFSET($H$3,0,0,'Données projet'!$E$9+1,1))</f>
        <v>430.21146937947236</v>
      </c>
      <c r="T100" s="62">
        <f t="shared" si="88"/>
        <v>231.36959598460686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3.8</v>
      </c>
      <c r="AI100" s="14">
        <f>IF('Données projet'!$A$62&gt;35,AI99+AH100-AQ99,IF(A100&lt;'Données projet'!$A$62,$AF$205^A100,IF(A100='Données projet'!$A$62,'Données projet'!$B$62,AI99+AH100-AQ99)))</f>
        <v>243.60000000000002</v>
      </c>
      <c r="AJ100" s="14">
        <f>AI100*VLOOKUP('Données projet'!$B$10,Paramètres!$A$1:$I$88,3,0)*VLOOKUP('Données projet'!$B$10,Paramètres!$A$1:$I$88,5,0)</f>
        <v>231.80976000000001</v>
      </c>
      <c r="AK100" s="14">
        <f t="shared" si="89"/>
        <v>56.673815277159378</v>
      </c>
      <c r="AL100" s="22">
        <f t="shared" si="58"/>
        <v>502.44222694105264</v>
      </c>
      <c r="AM100" s="62">
        <f t="shared" si="59"/>
        <v>795.77556027438595</v>
      </c>
      <c r="AN100" s="62">
        <f ca="1">AVERAGE(OFFSET($AM$3,0,0,'Données projet'!$E$10+1,1))-AVERAGE(OFFSET($H$3,0,0,'Données projet'!$E$10+1,1))</f>
        <v>370.04285308422544</v>
      </c>
      <c r="AO100" s="62">
        <f t="shared" si="90"/>
        <v>218.53758068502731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0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projet'!$B$11,Paramètres!$A$1:$I$88,3,0)*VLOOKUP('Données projet'!$B$11,Paramètres!$A$1:$I$88,5,0)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215.43249078216331</v>
      </c>
      <c r="BJ100" s="62">
        <f t="shared" si="92"/>
        <v>363.02009369315232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5.4386395053962842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1.8548915426557804E-9</v>
      </c>
      <c r="BS100" s="24">
        <f t="shared" si="63"/>
        <v>5.4386395072511755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272.09999999999962</v>
      </c>
      <c r="O101" s="14">
        <f>N101*VLOOKUP('Données projet'!$B$9,Paramètres!$A$1:$I$88,3,0)*VLOOKUP('Données projet'!$B$9,Paramètres!$A$1:$I$88,5,0)</f>
        <v>246.19607999999968</v>
      </c>
      <c r="P101" s="14">
        <f t="shared" si="87"/>
        <v>59.770663189456016</v>
      </c>
      <c r="Q101" s="22">
        <f t="shared" si="107"/>
        <v>532.89207772163536</v>
      </c>
      <c r="R101" s="62">
        <f t="shared" si="55"/>
        <v>826.22541105496862</v>
      </c>
      <c r="S101" s="62">
        <f ca="1">AVERAGE(OFFSET($R$3,0,0,'Données projet'!$E$9+1,1))-AVERAGE(OFFSET($H$3,0,0,'Données projet'!$E$9+1,1))</f>
        <v>430.21146937947236</v>
      </c>
      <c r="T101" s="62">
        <f t="shared" si="88"/>
        <v>231.36959598460686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3.8</v>
      </c>
      <c r="AI101" s="14">
        <f>IF('Données projet'!$A$62&gt;35,AI100+AH101-AQ100,IF(A101&lt;'Données projet'!$A$62,$AF$205^A101,IF(A101='Données projet'!$A$62,'Données projet'!$B$62,AI100+AH101-AQ100)))</f>
        <v>247.40000000000003</v>
      </c>
      <c r="AJ101" s="14">
        <f>AI101*VLOOKUP('Données projet'!$B$10,Paramètres!$A$1:$I$88,3,0)*VLOOKUP('Données projet'!$B$10,Paramètres!$A$1:$I$88,5,0)</f>
        <v>235.42584000000002</v>
      </c>
      <c r="AK101" s="14">
        <f t="shared" si="89"/>
        <v>57.454278198558761</v>
      </c>
      <c r="AL101" s="22">
        <f t="shared" si="58"/>
        <v>510.09953919582313</v>
      </c>
      <c r="AM101" s="62">
        <f t="shared" si="59"/>
        <v>803.43287252915638</v>
      </c>
      <c r="AN101" s="62">
        <f ca="1">AVERAGE(OFFSET($AM$3,0,0,'Données projet'!$E$10+1,1))-AVERAGE(OFFSET($H$3,0,0,'Données projet'!$E$10+1,1))</f>
        <v>370.04285308422544</v>
      </c>
      <c r="AO101" s="62">
        <f t="shared" si="90"/>
        <v>218.53758068502731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0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projet'!$B$11,Paramètres!$A$1:$I$88,3,0)*VLOOKUP('Données projet'!$B$11,Paramètres!$A$1:$I$88,5,0)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215.43249078216331</v>
      </c>
      <c r="BJ101" s="62">
        <f t="shared" si="92"/>
        <v>363.02009369315232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5.3319911019380104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1.3116063881774786E-9</v>
      </c>
      <c r="BS101" s="24">
        <f t="shared" si="63"/>
        <v>5.3319911032496172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276.79999999999961</v>
      </c>
      <c r="O102" s="14">
        <f>N102*VLOOKUP('Données projet'!$B$9,Paramètres!$A$1:$I$88,3,0)*VLOOKUP('Données projet'!$B$9,Paramètres!$A$1:$I$88,5,0)</f>
        <v>250.44863999999961</v>
      </c>
      <c r="P102" s="14">
        <f t="shared" si="87"/>
        <v>60.682000328889949</v>
      </c>
      <c r="Q102" s="22">
        <f t="shared" si="107"/>
        <v>541.88586523948277</v>
      </c>
      <c r="R102" s="62">
        <f t="shared" si="55"/>
        <v>835.21919857281614</v>
      </c>
      <c r="S102" s="62">
        <f ca="1">AVERAGE(OFFSET($R$3,0,0,'Données projet'!$E$9+1,1))-AVERAGE(OFFSET($H$3,0,0,'Données projet'!$E$9+1,1))</f>
        <v>430.21146937947236</v>
      </c>
      <c r="T102" s="62">
        <f t="shared" si="88"/>
        <v>231.36959598460686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3.8</v>
      </c>
      <c r="AI102" s="14">
        <f>IF('Données projet'!$A$62&gt;35,AI101+AH102-AQ101,IF(A102&lt;'Données projet'!$A$62,$AF$205^A102,IF(A102='Données projet'!$A$62,'Données projet'!$B$62,AI101+AH102-AQ101)))</f>
        <v>251.20000000000005</v>
      </c>
      <c r="AJ102" s="14">
        <f>AI102*VLOOKUP('Données projet'!$B$10,Paramètres!$A$1:$I$88,3,0)*VLOOKUP('Données projet'!$B$10,Paramètres!$A$1:$I$88,5,0)</f>
        <v>239.04192000000006</v>
      </c>
      <c r="AK102" s="14">
        <f t="shared" si="89"/>
        <v>58.233346939347648</v>
      </c>
      <c r="AL102" s="22">
        <f t="shared" si="58"/>
        <v>517.75442325269717</v>
      </c>
      <c r="AM102" s="62">
        <f t="shared" si="59"/>
        <v>811.08775658603054</v>
      </c>
      <c r="AN102" s="62">
        <f ca="1">AVERAGE(OFFSET($AM$3,0,0,'Données projet'!$E$10+1,1))-AVERAGE(OFFSET($H$3,0,0,'Données projet'!$E$10+1,1))</f>
        <v>370.04285308422544</v>
      </c>
      <c r="AO102" s="62">
        <f t="shared" si="90"/>
        <v>218.53758068502731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0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projet'!$B$11,Paramètres!$A$1:$I$88,3,0)*VLOOKUP('Données projet'!$B$11,Paramètres!$A$1:$I$88,5,0)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215.43249078216331</v>
      </c>
      <c r="BJ102" s="62">
        <f t="shared" si="92"/>
        <v>363.02009369315232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5.2274340086224509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9.2744577132789032E-10</v>
      </c>
      <c r="BS102" s="24">
        <f t="shared" si="63"/>
        <v>5.2274340095498966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281.4999999999996</v>
      </c>
      <c r="O103" s="14">
        <f>N103*VLOOKUP('Données projet'!$B$9,Paramètres!$A$1:$I$88,3,0)*VLOOKUP('Données projet'!$B$9,Paramètres!$A$1:$I$88,5,0)</f>
        <v>254.70119999999963</v>
      </c>
      <c r="P103" s="14">
        <f t="shared" si="87"/>
        <v>61.591537947915114</v>
      </c>
      <c r="Q103" s="22">
        <f t="shared" si="107"/>
        <v>550.87651859261814</v>
      </c>
      <c r="R103" s="62">
        <f t="shared" si="55"/>
        <v>844.2098519259514</v>
      </c>
      <c r="S103" s="62">
        <f ca="1">AVERAGE(OFFSET($R$3,0,0,'Données projet'!$E$9+1,1))-AVERAGE(OFFSET($H$3,0,0,'Données projet'!$E$9+1,1))</f>
        <v>430.21146937947236</v>
      </c>
      <c r="T103" s="62">
        <f t="shared" si="88"/>
        <v>231.36959598460686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255</v>
      </c>
      <c r="AG103" s="13">
        <f>VLOOKUP(A103,'Données projet'!$A$61:$I$81,9,0)</f>
        <v>3.8</v>
      </c>
      <c r="AH103" s="13">
        <f t="array" ref="AH103">INDEX(AG:AG,MIN(IF(ISNUMBER(AG103:AG299),ROW(AG103:AG299),"")))</f>
        <v>3.8</v>
      </c>
      <c r="AI103" s="14">
        <f>IF('Données projet'!$A$62&gt;35,AI102+AH103-AQ102,IF(A103&lt;'Données projet'!$A$62,$AF$205^A103,IF(A103='Données projet'!$A$62,'Données projet'!$B$62,AI102+AH103-AQ102)))</f>
        <v>255.00000000000006</v>
      </c>
      <c r="AJ103" s="14">
        <f>AI103*VLOOKUP('Données projet'!$B$10,Paramètres!$A$1:$I$88,3,0)*VLOOKUP('Données projet'!$B$10,Paramètres!$A$1:$I$88,5,0)</f>
        <v>242.65800000000007</v>
      </c>
      <c r="AK103" s="14">
        <f t="shared" si="89"/>
        <v>59.011045025839607</v>
      </c>
      <c r="AL103" s="22">
        <f t="shared" si="58"/>
        <v>525.40692008667077</v>
      </c>
      <c r="AM103" s="62">
        <f t="shared" si="59"/>
        <v>818.74025342000414</v>
      </c>
      <c r="AN103" s="62">
        <f ca="1">AVERAGE(OFFSET($AM$3,0,0,'Données projet'!$E$10+1,1))-AVERAGE(OFFSET($H$3,0,0,'Données projet'!$E$10+1,1))</f>
        <v>370.04285308422544</v>
      </c>
      <c r="AO103" s="62">
        <f t="shared" si="90"/>
        <v>218.53758068502731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0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projet'!$B$11,Paramètres!$A$1:$I$88,3,0)*VLOOKUP('Données projet'!$B$11,Paramètres!$A$1:$I$88,5,0)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215.43249078216331</v>
      </c>
      <c r="BJ103" s="62">
        <f t="shared" si="92"/>
        <v>363.02009369315232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5.1249272161332797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6.5580319408873939E-10</v>
      </c>
      <c r="BS103" s="24">
        <f t="shared" si="63"/>
        <v>5.1249272167890831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286.19999999999959</v>
      </c>
      <c r="O104" s="14">
        <f>N104*VLOOKUP('Données projet'!$B$9,Paramètres!$A$1:$I$88,3,0)*VLOOKUP('Données projet'!$B$9,Paramètres!$A$1:$I$88,5,0)</f>
        <v>258.95375999999965</v>
      </c>
      <c r="P104" s="14">
        <f t="shared" si="87"/>
        <v>62.499309559645205</v>
      </c>
      <c r="Q104" s="22">
        <f t="shared" si="107"/>
        <v>559.86409614971478</v>
      </c>
      <c r="R104" s="62">
        <f t="shared" si="55"/>
        <v>853.19742948304815</v>
      </c>
      <c r="S104" s="62">
        <f ca="1">AVERAGE(OFFSET($R$3,0,0,'Données projet'!$E$9+1,1))-AVERAGE(OFFSET($H$3,0,0,'Données projet'!$E$9+1,1))</f>
        <v>430.21146937947236</v>
      </c>
      <c r="T104" s="62">
        <f t="shared" si="88"/>
        <v>231.36959598460686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3.8</v>
      </c>
      <c r="AI104" s="14">
        <f>IF('Données projet'!$A$62&gt;35,AI103+AH104-AQ103,IF(A104&lt;'Données projet'!$A$62,$AF$205^A104,IF(A104='Données projet'!$A$62,'Données projet'!$B$62,AI103+AH104-AQ103)))</f>
        <v>258.80000000000007</v>
      </c>
      <c r="AJ104" s="14">
        <f>AI104*VLOOKUP('Données projet'!$B$10,Paramètres!$A$1:$I$88,3,0)*VLOOKUP('Données projet'!$B$10,Paramètres!$A$1:$I$88,5,0)</f>
        <v>246.27408000000008</v>
      </c>
      <c r="AK104" s="14">
        <f t="shared" si="89"/>
        <v>59.787395242924525</v>
      </c>
      <c r="AL104" s="22">
        <f t="shared" si="58"/>
        <v>533.05706938142691</v>
      </c>
      <c r="AM104" s="62">
        <f t="shared" si="59"/>
        <v>826.39040271476028</v>
      </c>
      <c r="AN104" s="62">
        <f ca="1">AVERAGE(OFFSET($AM$3,0,0,'Données projet'!$E$10+1,1))-AVERAGE(OFFSET($H$3,0,0,'Données projet'!$E$10+1,1))</f>
        <v>370.04285308422544</v>
      </c>
      <c r="AO104" s="62">
        <f t="shared" si="90"/>
        <v>218.53758068502731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0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projet'!$B$11,Paramètres!$A$1:$I$88,3,0)*VLOOKUP('Données projet'!$B$11,Paramètres!$A$1:$I$88,5,0)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215.43249078216331</v>
      </c>
      <c r="BJ104" s="62">
        <f t="shared" si="92"/>
        <v>363.02009369315232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5.024430519321851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4.6372288566394521E-10</v>
      </c>
      <c r="BS104" s="24">
        <f t="shared" si="63"/>
        <v>5.0244305197855743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290.89999999999958</v>
      </c>
      <c r="O105" s="14">
        <f>N105*VLOOKUP('Données projet'!$B$9,Paramètres!$A$1:$I$88,3,0)*VLOOKUP('Données projet'!$B$9,Paramètres!$A$1:$I$88,5,0)</f>
        <v>263.20631999999961</v>
      </c>
      <c r="P105" s="14">
        <f t="shared" si="87"/>
        <v>63.405347513378558</v>
      </c>
      <c r="Q105" s="22">
        <f t="shared" si="107"/>
        <v>568.84865425246687</v>
      </c>
      <c r="R105" s="62">
        <f t="shared" si="55"/>
        <v>862.18198758580024</v>
      </c>
      <c r="S105" s="62">
        <f ca="1">AVERAGE(OFFSET($R$3,0,0,'Données projet'!$E$9+1,1))-AVERAGE(OFFSET($H$3,0,0,'Données projet'!$E$9+1,1))</f>
        <v>430.21146937947236</v>
      </c>
      <c r="T105" s="62">
        <f t="shared" si="88"/>
        <v>231.36959598460686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3.8</v>
      </c>
      <c r="AI105" s="14">
        <f>IF('Données projet'!$A$62&gt;35,AI104+AH105-AQ104,IF(A105&lt;'Données projet'!$A$62,$AF$205^A105,IF(A105='Données projet'!$A$62,'Données projet'!$B$62,AI104+AH105-AQ104)))</f>
        <v>262.60000000000008</v>
      </c>
      <c r="AJ105" s="14">
        <f>AI105*VLOOKUP('Données projet'!$B$10,Paramètres!$A$1:$I$88,3,0)*VLOOKUP('Données projet'!$B$10,Paramètres!$A$1:$I$88,5,0)</f>
        <v>249.89016000000007</v>
      </c>
      <c r="AK105" s="14">
        <f t="shared" si="89"/>
        <v>60.562419667970957</v>
      </c>
      <c r="AL105" s="22">
        <f t="shared" si="58"/>
        <v>540.70490958838275</v>
      </c>
      <c r="AM105" s="62">
        <f t="shared" si="59"/>
        <v>834.03824292171612</v>
      </c>
      <c r="AN105" s="62">
        <f ca="1">AVERAGE(OFFSET($AM$3,0,0,'Données projet'!$E$10+1,1))-AVERAGE(OFFSET($H$3,0,0,'Données projet'!$E$10+1,1))</f>
        <v>370.04285308422544</v>
      </c>
      <c r="AO105" s="62">
        <f t="shared" si="90"/>
        <v>218.53758068502731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0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projet'!$B$11,Paramètres!$A$1:$I$88,3,0)*VLOOKUP('Données projet'!$B$11,Paramètres!$A$1:$I$88,5,0)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215.43249078216331</v>
      </c>
      <c r="BJ105" s="62">
        <f t="shared" si="92"/>
        <v>363.02009369315232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4.9259045014379623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3.2790159704436975E-10</v>
      </c>
      <c r="BS105" s="24">
        <f t="shared" si="63"/>
        <v>4.9259045017658636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295.59999999999957</v>
      </c>
      <c r="O106" s="14">
        <f>N106*VLOOKUP('Données projet'!$B$9,Paramètres!$A$1:$I$88,3,0)*VLOOKUP('Données projet'!$B$9,Paramètres!$A$1:$I$88,5,0)</f>
        <v>267.45887999999962</v>
      </c>
      <c r="P106" s="14">
        <f t="shared" si="87"/>
        <v>64.309683053152327</v>
      </c>
      <c r="Q106" s="22">
        <f t="shared" si="107"/>
        <v>577.83024731757303</v>
      </c>
      <c r="R106" s="62">
        <f t="shared" si="55"/>
        <v>871.1635806509064</v>
      </c>
      <c r="S106" s="62">
        <f ca="1">AVERAGE(OFFSET($R$3,0,0,'Données projet'!$E$9+1,1))-AVERAGE(OFFSET($H$3,0,0,'Données projet'!$E$9+1,1))</f>
        <v>430.21146937947236</v>
      </c>
      <c r="T106" s="62">
        <f t="shared" si="88"/>
        <v>231.36959598460686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3.8</v>
      </c>
      <c r="AI106" s="14">
        <f>IF('Données projet'!$A$62&gt;35,AI105+AH106-AQ105,IF(A106&lt;'Données projet'!$A$62,$AF$205^A106,IF(A106='Données projet'!$A$62,'Données projet'!$B$62,AI105+AH106-AQ105)))</f>
        <v>266.40000000000009</v>
      </c>
      <c r="AJ106" s="14">
        <f>AI106*VLOOKUP('Données projet'!$B$10,Paramètres!$A$1:$I$88,3,0)*VLOOKUP('Données projet'!$B$10,Paramètres!$A$1:$I$88,5,0)</f>
        <v>253.50624000000008</v>
      </c>
      <c r="AK106" s="14">
        <f t="shared" si="89"/>
        <v>61.336139702710739</v>
      </c>
      <c r="AL106" s="22">
        <f t="shared" si="58"/>
        <v>548.35047798222126</v>
      </c>
      <c r="AM106" s="62">
        <f t="shared" si="59"/>
        <v>841.68381131555452</v>
      </c>
      <c r="AN106" s="62">
        <f ca="1">AVERAGE(OFFSET($AM$3,0,0,'Données projet'!$E$10+1,1))-AVERAGE(OFFSET($H$3,0,0,'Données projet'!$E$10+1,1))</f>
        <v>370.04285308422544</v>
      </c>
      <c r="AO106" s="62">
        <f t="shared" si="90"/>
        <v>218.53758068502731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0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projet'!$B$11,Paramètres!$A$1:$I$88,3,0)*VLOOKUP('Données projet'!$B$11,Paramètres!$A$1:$I$88,5,0)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215.43249078216331</v>
      </c>
      <c r="BJ106" s="62">
        <f t="shared" si="92"/>
        <v>363.02009369315232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4.82931051866984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2.3186144283197266E-10</v>
      </c>
      <c r="BS106" s="24">
        <f t="shared" si="63"/>
        <v>4.8293105189017016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300.29999999999956</v>
      </c>
      <c r="O107" s="14">
        <f>N107*VLOOKUP('Données projet'!$B$9,Paramètres!$A$1:$I$88,3,0)*VLOOKUP('Données projet'!$B$9,Paramètres!$A$1:$I$88,5,0)</f>
        <v>271.71143999999958</v>
      </c>
      <c r="P107" s="14">
        <f t="shared" si="87"/>
        <v>65.212346372467266</v>
      </c>
      <c r="Q107" s="22">
        <f t="shared" si="107"/>
        <v>586.80892793204634</v>
      </c>
      <c r="R107" s="62">
        <f t="shared" si="55"/>
        <v>880.1422612653796</v>
      </c>
      <c r="S107" s="62">
        <f ca="1">AVERAGE(OFFSET($R$3,0,0,'Données projet'!$E$9+1,1))-AVERAGE(OFFSET($H$3,0,0,'Données projet'!$E$9+1,1))</f>
        <v>430.21146937947236</v>
      </c>
      <c r="T107" s="62">
        <f t="shared" si="88"/>
        <v>231.36959598460686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3.8</v>
      </c>
      <c r="AI107" s="14">
        <f>IF('Données projet'!$A$62&gt;35,AI106+AH107-AQ106,IF(A107&lt;'Données projet'!$A$62,$AF$205^A107,IF(A107='Données projet'!$A$62,'Données projet'!$B$62,AI106+AH107-AQ106)))</f>
        <v>270.2000000000001</v>
      </c>
      <c r="AJ107" s="14">
        <f>AI107*VLOOKUP('Données projet'!$B$10,Paramètres!$A$1:$I$88,3,0)*VLOOKUP('Données projet'!$B$10,Paramètres!$A$1:$I$88,5,0)</f>
        <v>257.12232000000012</v>
      </c>
      <c r="AK107" s="14">
        <f t="shared" si="89"/>
        <v>62.1085761032516</v>
      </c>
      <c r="AL107" s="22">
        <f t="shared" si="58"/>
        <v>555.99381071316338</v>
      </c>
      <c r="AM107" s="62">
        <f t="shared" si="59"/>
        <v>849.32714404649664</v>
      </c>
      <c r="AN107" s="62">
        <f ca="1">AVERAGE(OFFSET($AM$3,0,0,'Données projet'!$E$10+1,1))-AVERAGE(OFFSET($H$3,0,0,'Données projet'!$E$10+1,1))</f>
        <v>370.04285308422544</v>
      </c>
      <c r="AO107" s="62">
        <f t="shared" si="90"/>
        <v>218.53758068502731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0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projet'!$B$11,Paramètres!$A$1:$I$88,3,0)*VLOOKUP('Données projet'!$B$11,Paramètres!$A$1:$I$88,5,0)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215.43249078216331</v>
      </c>
      <c r="BJ107" s="62">
        <f t="shared" si="92"/>
        <v>363.02009369315232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4.7346106849872882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1.639507985221849E-10</v>
      </c>
      <c r="BS107" s="24">
        <f t="shared" si="63"/>
        <v>4.7346106851512388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304.99999999999955</v>
      </c>
      <c r="O108" s="14">
        <f>N108*VLOOKUP('Données projet'!$B$9,Paramètres!$A$1:$I$88,3,0)*VLOOKUP('Données projet'!$B$9,Paramètres!$A$1:$I$88,5,0)</f>
        <v>275.9639999999996</v>
      </c>
      <c r="P108" s="14">
        <f t="shared" si="87"/>
        <v>66.113366665488797</v>
      </c>
      <c r="Q108" s="22">
        <f t="shared" si="107"/>
        <v>595.7847469423923</v>
      </c>
      <c r="R108" s="62">
        <f t="shared" si="55"/>
        <v>889.11808027572556</v>
      </c>
      <c r="S108" s="62">
        <f ca="1">AVERAGE(OFFSET($R$3,0,0,'Données projet'!$E$9+1,1))-AVERAGE(OFFSET($H$3,0,0,'Données projet'!$E$9+1,1))</f>
        <v>430.21146937947236</v>
      </c>
      <c r="T108" s="62">
        <f t="shared" si="88"/>
        <v>231.36959598460686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274</v>
      </c>
      <c r="AG108" s="13">
        <f>VLOOKUP(A108,'Données projet'!$A$61:$I$81,9,0)</f>
        <v>3.8</v>
      </c>
      <c r="AH108" s="13">
        <f t="array" ref="AH108">INDEX(AG:AG,MIN(IF(ISNUMBER(AG108:AG304),ROW(AG108:AG304),"")))</f>
        <v>3.8</v>
      </c>
      <c r="AI108" s="14">
        <f>IF('Données projet'!$A$62&gt;35,AI107+AH108-AQ107,IF(A108&lt;'Données projet'!$A$62,$AF$205^A108,IF(A108='Données projet'!$A$62,'Données projet'!$B$62,AI107+AH108-AQ107)))</f>
        <v>274.00000000000011</v>
      </c>
      <c r="AJ108" s="14">
        <f>AI108*VLOOKUP('Données projet'!$B$10,Paramètres!$A$1:$I$88,3,0)*VLOOKUP('Données projet'!$B$10,Paramètres!$A$1:$I$88,5,0)</f>
        <v>260.73840000000013</v>
      </c>
      <c r="AK108" s="14">
        <f t="shared" si="89"/>
        <v>62.879749008354764</v>
      </c>
      <c r="AL108" s="22">
        <f t="shared" si="58"/>
        <v>563.634942856218</v>
      </c>
      <c r="AM108" s="62">
        <f t="shared" si="59"/>
        <v>856.96827618955126</v>
      </c>
      <c r="AN108" s="62">
        <f ca="1">AVERAGE(OFFSET($AM$3,0,0,'Données projet'!$E$10+1,1))-AVERAGE(OFFSET($H$3,0,0,'Données projet'!$E$10+1,1))</f>
        <v>370.04285308422544</v>
      </c>
      <c r="AO108" s="62">
        <f t="shared" si="90"/>
        <v>218.53758068502731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25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0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projet'!$B$11,Paramètres!$A$1:$I$88,3,0)*VLOOKUP('Données projet'!$B$11,Paramètres!$A$1:$I$88,5,0)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215.43249078216331</v>
      </c>
      <c r="BJ108" s="62">
        <f t="shared" si="92"/>
        <v>363.02009369315232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4.6417678572820558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1.1593072141598634E-10</v>
      </c>
      <c r="BS108" s="24">
        <f t="shared" si="63"/>
        <v>4.6417678573979861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267.99999999999955</v>
      </c>
      <c r="O109" s="14">
        <f>N109*VLOOKUP('Données projet'!$B$9,Paramètres!$A$1:$I$88,3,0)*VLOOKUP('Données projet'!$B$9,Paramètres!$A$1:$I$88,5,0)</f>
        <v>242.48639999999955</v>
      </c>
      <c r="P109" s="14">
        <f t="shared" si="87"/>
        <v>58.97417023537232</v>
      </c>
      <c r="Q109" s="22">
        <f t="shared" si="107"/>
        <v>525.0438264932726</v>
      </c>
      <c r="R109" s="62">
        <f t="shared" si="55"/>
        <v>818.37715982660598</v>
      </c>
      <c r="S109" s="62">
        <f ca="1">AVERAGE(OFFSET($R$3,0,0,'Données projet'!$E$9+1,1))-AVERAGE(OFFSET($H$3,0,0,'Données projet'!$E$9+1,1))</f>
        <v>430.21146937947236</v>
      </c>
      <c r="T109" s="62">
        <f t="shared" si="88"/>
        <v>231.36959598460686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3.4</v>
      </c>
      <c r="AI109" s="14">
        <f>IF('Données projet'!$A$62&gt;35,AI108+AH109-AQ108,IF(A109&lt;'Données projet'!$A$62,$AF$205^A109,IF(A109='Données projet'!$A$62,'Données projet'!$B$62,AI108+AH109-AQ108)))</f>
        <v>252.40000000000009</v>
      </c>
      <c r="AJ109" s="14">
        <f>AI109*VLOOKUP('Données projet'!$B$10,Paramètres!$A$1:$I$88,3,0)*VLOOKUP('Données projet'!$B$10,Paramètres!$A$1:$I$88,5,0)</f>
        <v>240.18384000000009</v>
      </c>
      <c r="AK109" s="14">
        <f t="shared" si="89"/>
        <v>58.479082790905728</v>
      </c>
      <c r="AL109" s="22">
        <f t="shared" si="58"/>
        <v>520.17125719416094</v>
      </c>
      <c r="AM109" s="62">
        <f t="shared" si="59"/>
        <v>813.5045905274942</v>
      </c>
      <c r="AN109" s="62">
        <f ca="1">AVERAGE(OFFSET($AM$3,0,0,'Données projet'!$E$10+1,1))-AVERAGE(OFFSET($H$3,0,0,'Données projet'!$E$10+1,1))</f>
        <v>370.04285308422544</v>
      </c>
      <c r="AO109" s="62">
        <f t="shared" si="90"/>
        <v>218.53758068502731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0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projet'!$B$11,Paramètres!$A$1:$I$88,3,0)*VLOOKUP('Données projet'!$B$11,Paramètres!$A$1:$I$88,5,0)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215.43249078216331</v>
      </c>
      <c r="BJ109" s="62">
        <f t="shared" si="92"/>
        <v>363.02009369315232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4.5507456207995896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8.1975399261092462E-11</v>
      </c>
      <c r="BS109" s="24">
        <f t="shared" si="63"/>
        <v>4.5507456208815649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271.99999999999955</v>
      </c>
      <c r="O110" s="14">
        <f>N110*VLOOKUP('Données projet'!$B$9,Paramètres!$A$1:$I$88,3,0)*VLOOKUP('Données projet'!$B$9,Paramètres!$A$1:$I$88,5,0)</f>
        <v>246.10559999999958</v>
      </c>
      <c r="P110" s="14">
        <f t="shared" si="87"/>
        <v>59.751253234371873</v>
      </c>
      <c r="Q110" s="22">
        <f t="shared" si="107"/>
        <v>532.70068604986363</v>
      </c>
      <c r="R110" s="62">
        <f t="shared" si="55"/>
        <v>826.03401938319689</v>
      </c>
      <c r="S110" s="62">
        <f ca="1">AVERAGE(OFFSET($R$3,0,0,'Données projet'!$E$9+1,1))-AVERAGE(OFFSET($H$3,0,0,'Données projet'!$E$9+1,1))</f>
        <v>430.21146937947236</v>
      </c>
      <c r="T110" s="62">
        <f t="shared" si="88"/>
        <v>231.36959598460686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3.4</v>
      </c>
      <c r="AI110" s="14">
        <f>IF('Données projet'!$A$62&gt;35,AI109+AH110-AQ109,IF(A110&lt;'Données projet'!$A$62,$AF$205^A110,IF(A110='Données projet'!$A$62,'Données projet'!$B$62,AI109+AH110-AQ109)))</f>
        <v>255.8000000000001</v>
      </c>
      <c r="AJ110" s="14">
        <f>AI110*VLOOKUP('Données projet'!$B$10,Paramètres!$A$1:$I$88,3,0)*VLOOKUP('Données projet'!$B$10,Paramètres!$A$1:$I$88,5,0)</f>
        <v>243.4192800000001</v>
      </c>
      <c r="AK110" s="14">
        <f t="shared" si="89"/>
        <v>59.174598437405322</v>
      </c>
      <c r="AL110" s="22">
        <f t="shared" si="58"/>
        <v>527.01767161181442</v>
      </c>
      <c r="AM110" s="62">
        <f t="shared" si="59"/>
        <v>820.35100494514768</v>
      </c>
      <c r="AN110" s="62">
        <f ca="1">AVERAGE(OFFSET($AM$3,0,0,'Données projet'!$E$10+1,1))-AVERAGE(OFFSET($H$3,0,0,'Données projet'!$E$10+1,1))</f>
        <v>370.04285308422544</v>
      </c>
      <c r="AO110" s="62">
        <f t="shared" si="90"/>
        <v>218.53758068502731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0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projet'!$B$11,Paramètres!$A$1:$I$88,3,0)*VLOOKUP('Données projet'!$B$11,Paramètres!$A$1:$I$88,5,0)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215.43249078216331</v>
      </c>
      <c r="BJ110" s="62">
        <f t="shared" si="92"/>
        <v>363.02009369315232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4.4615082748564623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5.7965360707993184E-11</v>
      </c>
      <c r="BS110" s="24">
        <f t="shared" si="63"/>
        <v>4.4615082749144275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275.99999999999955</v>
      </c>
      <c r="O111" s="14">
        <f>N111*VLOOKUP('Données projet'!$B$9,Paramètres!$A$1:$I$88,3,0)*VLOOKUP('Données projet'!$B$9,Paramètres!$A$1:$I$88,5,0)</f>
        <v>249.72479999999959</v>
      </c>
      <c r="P111" s="14">
        <f t="shared" si="87"/>
        <v>60.527007137298092</v>
      </c>
      <c r="Q111" s="22">
        <f t="shared" si="107"/>
        <v>540.35523076412676</v>
      </c>
      <c r="R111" s="62">
        <f t="shared" si="55"/>
        <v>833.68856409746013</v>
      </c>
      <c r="S111" s="62">
        <f ca="1">AVERAGE(OFFSET($R$3,0,0,'Données projet'!$E$9+1,1))-AVERAGE(OFFSET($H$3,0,0,'Données projet'!$E$9+1,1))</f>
        <v>430.21146937947236</v>
      </c>
      <c r="T111" s="62">
        <f t="shared" si="88"/>
        <v>231.36959598460686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3.4</v>
      </c>
      <c r="AI111" s="14">
        <f>IF('Données projet'!$A$62&gt;35,AI110+AH111-AQ110,IF(A111&lt;'Données projet'!$A$62,$AF$205^A111,IF(A111='Données projet'!$A$62,'Données projet'!$B$62,AI110+AH111-AQ110)))</f>
        <v>259.2000000000001</v>
      </c>
      <c r="AJ111" s="14">
        <f>AI111*VLOOKUP('Données projet'!$B$10,Paramètres!$A$1:$I$88,3,0)*VLOOKUP('Données projet'!$B$10,Paramètres!$A$1:$I$88,5,0)</f>
        <v>246.65472000000008</v>
      </c>
      <c r="AK111" s="14">
        <f t="shared" si="89"/>
        <v>59.869038818016278</v>
      </c>
      <c r="AL111" s="22">
        <f t="shared" si="58"/>
        <v>533.86221327471185</v>
      </c>
      <c r="AM111" s="62">
        <f t="shared" si="59"/>
        <v>827.19554660804511</v>
      </c>
      <c r="AN111" s="62">
        <f ca="1">AVERAGE(OFFSET($AM$3,0,0,'Données projet'!$E$10+1,1))-AVERAGE(OFFSET($H$3,0,0,'Données projet'!$E$10+1,1))</f>
        <v>370.04285308422544</v>
      </c>
      <c r="AO111" s="62">
        <f t="shared" si="90"/>
        <v>218.53758068502731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0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projet'!$B$11,Paramètres!$A$1:$I$88,3,0)*VLOOKUP('Données projet'!$B$11,Paramètres!$A$1:$I$88,5,0)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215.43249078216331</v>
      </c>
      <c r="BJ111" s="62">
        <f t="shared" si="92"/>
        <v>363.02009369315232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4.3740208188378737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4.0987699630546238E-11</v>
      </c>
      <c r="BS111" s="24">
        <f t="shared" si="63"/>
        <v>4.3740208188788614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279.99999999999955</v>
      </c>
      <c r="O112" s="14">
        <f>N112*VLOOKUP('Données projet'!$B$9,Paramètres!$A$1:$I$88,3,0)*VLOOKUP('Données projet'!$B$9,Paramètres!$A$1:$I$88,5,0)</f>
        <v>253.34399999999957</v>
      </c>
      <c r="P112" s="14">
        <f t="shared" si="87"/>
        <v>61.301453431926198</v>
      </c>
      <c r="Q112" s="22">
        <f t="shared" si="107"/>
        <v>548.00749806060401</v>
      </c>
      <c r="R112" s="62">
        <f t="shared" si="55"/>
        <v>841.34083139393738</v>
      </c>
      <c r="S112" s="62">
        <f ca="1">AVERAGE(OFFSET($R$3,0,0,'Données projet'!$E$9+1,1))-AVERAGE(OFFSET($H$3,0,0,'Données projet'!$E$9+1,1))</f>
        <v>430.21146937947236</v>
      </c>
      <c r="T112" s="62">
        <f t="shared" si="88"/>
        <v>231.36959598460686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3.4</v>
      </c>
      <c r="AI112" s="14">
        <f>IF('Données projet'!$A$62&gt;35,AI111+AH112-AQ111,IF(A112&lt;'Données projet'!$A$62,$AF$205^A112,IF(A112='Données projet'!$A$62,'Données projet'!$B$62,AI111+AH112-AQ111)))</f>
        <v>262.60000000000008</v>
      </c>
      <c r="AJ112" s="14">
        <f>AI112*VLOOKUP('Données projet'!$B$10,Paramètres!$A$1:$I$88,3,0)*VLOOKUP('Données projet'!$B$10,Paramètres!$A$1:$I$88,5,0)</f>
        <v>249.89016000000007</v>
      </c>
      <c r="AK112" s="14">
        <f t="shared" si="89"/>
        <v>60.562419667970957</v>
      </c>
      <c r="AL112" s="22">
        <f t="shared" si="58"/>
        <v>540.70490958838275</v>
      </c>
      <c r="AM112" s="62">
        <f t="shared" si="59"/>
        <v>834.03824292171612</v>
      </c>
      <c r="AN112" s="62">
        <f ca="1">AVERAGE(OFFSET($AM$3,0,0,'Données projet'!$E$10+1,1))-AVERAGE(OFFSET($H$3,0,0,'Données projet'!$E$10+1,1))</f>
        <v>370.04285308422544</v>
      </c>
      <c r="AO112" s="62">
        <f t="shared" si="90"/>
        <v>218.53758068502731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0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projet'!$B$11,Paramètres!$A$1:$I$88,3,0)*VLOOKUP('Données projet'!$B$11,Paramètres!$A$1:$I$88,5,0)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215.43249078216331</v>
      </c>
      <c r="BJ112" s="62">
        <f t="shared" si="92"/>
        <v>363.02009369315232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4.2882489384697307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2.8982680353996595E-11</v>
      </c>
      <c r="BS112" s="24">
        <f t="shared" si="63"/>
        <v>4.2882489384987137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283.99999999999955</v>
      </c>
      <c r="O113" s="14">
        <f>N113*VLOOKUP('Données projet'!$B$9,Paramètres!$A$1:$I$88,3,0)*VLOOKUP('Données projet'!$B$9,Paramètres!$A$1:$I$88,5,0)</f>
        <v>256.96319999999957</v>
      </c>
      <c r="P113" s="14">
        <f t="shared" si="87"/>
        <v>62.07461295683791</v>
      </c>
      <c r="Q113" s="22">
        <f t="shared" si="107"/>
        <v>555.6575242331586</v>
      </c>
      <c r="R113" s="62">
        <f t="shared" si="55"/>
        <v>848.99085756649197</v>
      </c>
      <c r="S113" s="62">
        <f ca="1">AVERAGE(OFFSET($R$3,0,0,'Données projet'!$E$9+1,1))-AVERAGE(OFFSET($H$3,0,0,'Données projet'!$E$9+1,1))</f>
        <v>430.21146937947236</v>
      </c>
      <c r="T113" s="62">
        <f t="shared" si="88"/>
        <v>231.36959598460686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3.4</v>
      </c>
      <c r="AI113" s="14">
        <f>IF('Données projet'!$A$62&gt;35,AI112+AH113-AQ112,IF(A113&lt;'Données projet'!$A$62,$AF$205^A113,IF(A113='Données projet'!$A$62,'Données projet'!$B$62,AI112+AH113-AQ112)))</f>
        <v>266.00000000000006</v>
      </c>
      <c r="AJ113" s="14">
        <f>AI113*VLOOKUP('Données projet'!$B$10,Paramètres!$A$1:$I$88,3,0)*VLOOKUP('Données projet'!$B$10,Paramètres!$A$1:$I$88,5,0)</f>
        <v>253.12560000000005</v>
      </c>
      <c r="AK113" s="14">
        <f t="shared" si="89"/>
        <v>61.254756291614335</v>
      </c>
      <c r="AL113" s="22">
        <f t="shared" si="58"/>
        <v>547.54578720789493</v>
      </c>
      <c r="AM113" s="62">
        <f t="shared" si="59"/>
        <v>840.8791205412283</v>
      </c>
      <c r="AN113" s="62">
        <f ca="1">AVERAGE(OFFSET($AM$3,0,0,'Données projet'!$E$10+1,1))-AVERAGE(OFFSET($H$3,0,0,'Données projet'!$E$10+1,1))</f>
        <v>370.04285308422544</v>
      </c>
      <c r="AO113" s="62">
        <f t="shared" si="90"/>
        <v>218.53758068502731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0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projet'!$B$11,Paramètres!$A$1:$I$88,3,0)*VLOOKUP('Données projet'!$B$11,Paramètres!$A$1:$I$88,5,0)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215.43249078216331</v>
      </c>
      <c r="BJ113" s="62">
        <f t="shared" si="92"/>
        <v>363.02009369315232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4.2041589923599254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2.0493849815273122E-11</v>
      </c>
      <c r="BS113" s="24">
        <f t="shared" si="63"/>
        <v>4.2041589923804192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287.99999999999955</v>
      </c>
      <c r="O114" s="14">
        <f>N114*VLOOKUP('Données projet'!$B$9,Paramètres!$A$1:$I$88,3,0)*VLOOKUP('Données projet'!$B$9,Paramètres!$A$1:$I$88,5,0)</f>
        <v>260.58239999999961</v>
      </c>
      <c r="P114" s="14">
        <f t="shared" si="87"/>
        <v>62.846505929896793</v>
      </c>
      <c r="Q114" s="22">
        <f t="shared" si="107"/>
        <v>563.30534449456957</v>
      </c>
      <c r="R114" s="62">
        <f t="shared" si="55"/>
        <v>856.63867782790294</v>
      </c>
      <c r="S114" s="62">
        <f ca="1">AVERAGE(OFFSET($R$3,0,0,'Données projet'!$E$9+1,1))-AVERAGE(OFFSET($H$3,0,0,'Données projet'!$E$9+1,1))</f>
        <v>430.21146937947236</v>
      </c>
      <c r="T114" s="62">
        <f t="shared" si="88"/>
        <v>231.36959598460686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3.4</v>
      </c>
      <c r="AI114" s="14">
        <f>IF('Données projet'!$A$62&gt;35,AI113+AH114-AQ113,IF(A114&lt;'Données projet'!$A$62,$AF$205^A114,IF(A114='Données projet'!$A$62,'Données projet'!$B$62,AI113+AH114-AQ113)))</f>
        <v>269.40000000000003</v>
      </c>
      <c r="AJ114" s="14">
        <f>AI114*VLOOKUP('Données projet'!$B$10,Paramètres!$A$1:$I$88,3,0)*VLOOKUP('Données projet'!$B$10,Paramètres!$A$1:$I$88,5,0)</f>
        <v>256.36104</v>
      </c>
      <c r="AK114" s="14">
        <f t="shared" si="89"/>
        <v>61.946063579556444</v>
      </c>
      <c r="AL114" s="22">
        <f t="shared" si="58"/>
        <v>554.38487206772743</v>
      </c>
      <c r="AM114" s="62">
        <f t="shared" si="59"/>
        <v>847.71820540106069</v>
      </c>
      <c r="AN114" s="62">
        <f ca="1">AVERAGE(OFFSET($AM$3,0,0,'Données projet'!$E$10+1,1))-AVERAGE(OFFSET($H$3,0,0,'Données projet'!$E$10+1,1))</f>
        <v>370.04285308422544</v>
      </c>
      <c r="AO114" s="62">
        <f t="shared" si="90"/>
        <v>218.53758068502731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0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projet'!$B$11,Paramètres!$A$1:$I$88,3,0)*VLOOKUP('Données projet'!$B$11,Paramètres!$A$1:$I$88,5,0)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215.43249078216331</v>
      </c>
      <c r="BJ114" s="62">
        <f t="shared" si="92"/>
        <v>363.02009369315232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4.1217179988035308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1.4491340176998299E-11</v>
      </c>
      <c r="BS114" s="24">
        <f t="shared" si="63"/>
        <v>4.1217179988180224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291.99999999999955</v>
      </c>
      <c r="O115" s="14">
        <f>N115*VLOOKUP('Données projet'!$B$9,Paramètres!$A$1:$I$88,3,0)*VLOOKUP('Données projet'!$B$9,Paramètres!$A$1:$I$88,5,0)</f>
        <v>264.20159999999959</v>
      </c>
      <c r="P115" s="14">
        <f t="shared" si="87"/>
        <v>63.617151975096654</v>
      </c>
      <c r="Q115" s="22">
        <f t="shared" si="107"/>
        <v>570.95099302329265</v>
      </c>
      <c r="R115" s="62">
        <f t="shared" si="55"/>
        <v>864.28432635662602</v>
      </c>
      <c r="S115" s="62">
        <f ca="1">AVERAGE(OFFSET($R$3,0,0,'Données projet'!$E$9+1,1))-AVERAGE(OFFSET($H$3,0,0,'Données projet'!$E$9+1,1))</f>
        <v>430.21146937947236</v>
      </c>
      <c r="T115" s="62">
        <f t="shared" si="88"/>
        <v>231.36959598460686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3.4</v>
      </c>
      <c r="AI115" s="14">
        <f>IF('Données projet'!$A$62&gt;35,AI114+AH115-AQ114,IF(A115&lt;'Données projet'!$A$62,$AF$205^A115,IF(A115='Données projet'!$A$62,'Données projet'!$B$62,AI114+AH115-AQ114)))</f>
        <v>272.8</v>
      </c>
      <c r="AJ115" s="14">
        <f>AI115*VLOOKUP('Données projet'!$B$10,Paramètres!$A$1:$I$88,3,0)*VLOOKUP('Données projet'!$B$10,Paramètres!$A$1:$I$88,5,0)</f>
        <v>259.59648000000004</v>
      </c>
      <c r="AK115" s="14">
        <f t="shared" si="89"/>
        <v>62.63635602493509</v>
      </c>
      <c r="AL115" s="22">
        <f t="shared" si="58"/>
        <v>561.22218941009533</v>
      </c>
      <c r="AM115" s="62">
        <f t="shared" si="59"/>
        <v>854.55552274342858</v>
      </c>
      <c r="AN115" s="62">
        <f ca="1">AVERAGE(OFFSET($AM$3,0,0,'Données projet'!$E$10+1,1))-AVERAGE(OFFSET($H$3,0,0,'Données projet'!$E$10+1,1))</f>
        <v>370.04285308422544</v>
      </c>
      <c r="AO115" s="62">
        <f t="shared" si="90"/>
        <v>218.53758068502731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0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projet'!$B$11,Paramètres!$A$1:$I$88,3,0)*VLOOKUP('Données projet'!$B$11,Paramètres!$A$1:$I$88,5,0)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215.43249078216331</v>
      </c>
      <c r="BJ115" s="62">
        <f t="shared" si="92"/>
        <v>363.02009369315232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4.0408936228467356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1.0246924907636563E-11</v>
      </c>
      <c r="BS115" s="24">
        <f t="shared" si="63"/>
        <v>4.0408936228569825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295.99999999999955</v>
      </c>
      <c r="O116" s="14">
        <f>N116*VLOOKUP('Données projet'!$B$9,Paramètres!$A$1:$I$88,3,0)*VLOOKUP('Données projet'!$B$9,Paramètres!$A$1:$I$88,5,0)</f>
        <v>267.82079999999956</v>
      </c>
      <c r="P116" s="14">
        <f t="shared" si="87"/>
        <v>64.386570147897245</v>
      </c>
      <c r="Q116" s="22">
        <f t="shared" si="107"/>
        <v>578.59450300758692</v>
      </c>
      <c r="R116" s="62">
        <f t="shared" si="55"/>
        <v>871.92783634092029</v>
      </c>
      <c r="S116" s="62">
        <f ca="1">AVERAGE(OFFSET($R$3,0,0,'Données projet'!$E$9+1,1))-AVERAGE(OFFSET($H$3,0,0,'Données projet'!$E$9+1,1))</f>
        <v>430.21146937947236</v>
      </c>
      <c r="T116" s="62">
        <f t="shared" si="88"/>
        <v>231.36959598460686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3.4</v>
      </c>
      <c r="AI116" s="14">
        <f>IF('Données projet'!$A$62&gt;35,AI115+AH116-AQ115,IF(A116&lt;'Données projet'!$A$62,$AF$205^A116,IF(A116='Données projet'!$A$62,'Données projet'!$B$62,AI115+AH116-AQ115)))</f>
        <v>276.2</v>
      </c>
      <c r="AJ116" s="14">
        <f>AI116*VLOOKUP('Données projet'!$B$10,Paramètres!$A$1:$I$88,3,0)*VLOOKUP('Données projet'!$B$10,Paramètres!$A$1:$I$88,5,0)</f>
        <v>262.83192000000003</v>
      </c>
      <c r="AK116" s="14">
        <f t="shared" si="89"/>
        <v>63.325647738844125</v>
      </c>
      <c r="AL116" s="22">
        <f t="shared" si="58"/>
        <v>568.05776381182022</v>
      </c>
      <c r="AM116" s="62">
        <f t="shared" si="59"/>
        <v>861.39109714515348</v>
      </c>
      <c r="AN116" s="62">
        <f ca="1">AVERAGE(OFFSET($AM$3,0,0,'Données projet'!$E$10+1,1))-AVERAGE(OFFSET($H$3,0,0,'Données projet'!$E$10+1,1))</f>
        <v>370.04285308422544</v>
      </c>
      <c r="AO116" s="62">
        <f t="shared" si="90"/>
        <v>218.53758068502731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0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projet'!$B$11,Paramètres!$A$1:$I$88,3,0)*VLOOKUP('Données projet'!$B$11,Paramètres!$A$1:$I$88,5,0)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215.43249078216331</v>
      </c>
      <c r="BJ116" s="62">
        <f t="shared" si="92"/>
        <v>363.02009369315232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3.961654163604452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7.2456700884991512E-12</v>
      </c>
      <c r="BS116" s="24">
        <f t="shared" si="63"/>
        <v>3.9616541636116978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299.99999999999955</v>
      </c>
      <c r="O117" s="14">
        <f>N117*VLOOKUP('Données projet'!$B$9,Paramètres!$A$1:$I$88,3,0)*VLOOKUP('Données projet'!$B$9,Paramètres!$A$1:$I$88,5,0)</f>
        <v>271.43999999999954</v>
      </c>
      <c r="P117" s="14">
        <f t="shared" si="87"/>
        <v>65.154778959151116</v>
      </c>
      <c r="Q117" s="22">
        <f t="shared" si="107"/>
        <v>586.23590668718737</v>
      </c>
      <c r="R117" s="62">
        <f t="shared" si="55"/>
        <v>879.56924002052074</v>
      </c>
      <c r="S117" s="62">
        <f ca="1">AVERAGE(OFFSET($R$3,0,0,'Données projet'!$E$9+1,1))-AVERAGE(OFFSET($H$3,0,0,'Données projet'!$E$9+1,1))</f>
        <v>430.21146937947236</v>
      </c>
      <c r="T117" s="62">
        <f t="shared" si="88"/>
        <v>231.36959598460686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3.4</v>
      </c>
      <c r="AI117" s="14">
        <f>IF('Données projet'!$A$62&gt;35,AI116+AH117-AQ116,IF(A117&lt;'Données projet'!$A$62,$AF$205^A117,IF(A117='Données projet'!$A$62,'Données projet'!$B$62,AI116+AH117-AQ116)))</f>
        <v>279.59999999999997</v>
      </c>
      <c r="AJ117" s="14">
        <f>AI117*VLOOKUP('Données projet'!$B$10,Paramètres!$A$1:$I$88,3,0)*VLOOKUP('Données projet'!$B$10,Paramètres!$A$1:$I$88,5,0)</f>
        <v>266.06736000000001</v>
      </c>
      <c r="AK117" s="14">
        <f t="shared" si="89"/>
        <v>64.013952464980747</v>
      </c>
      <c r="AL117" s="22">
        <f t="shared" si="58"/>
        <v>574.89161920984145</v>
      </c>
      <c r="AM117" s="62">
        <f t="shared" si="59"/>
        <v>868.22495254317482</v>
      </c>
      <c r="AN117" s="62">
        <f ca="1">AVERAGE(OFFSET($AM$3,0,0,'Données projet'!$E$10+1,1))-AVERAGE(OFFSET($H$3,0,0,'Données projet'!$E$10+1,1))</f>
        <v>370.04285308422544</v>
      </c>
      <c r="AO117" s="62">
        <f t="shared" si="90"/>
        <v>218.53758068502731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0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projet'!$B$11,Paramètres!$A$1:$I$88,3,0)*VLOOKUP('Données projet'!$B$11,Paramètres!$A$1:$I$88,5,0)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215.43249078216331</v>
      </c>
      <c r="BJ117" s="62">
        <f t="shared" si="92"/>
        <v>363.02009369315232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3.8839685418266119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5.1234624538182821E-12</v>
      </c>
      <c r="BS117" s="24">
        <f t="shared" si="63"/>
        <v>3.8839685418317353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303.99999999999955</v>
      </c>
      <c r="O118" s="14">
        <f>N118*VLOOKUP('Données projet'!$B$9,Paramètres!$A$1:$I$88,3,0)*VLOOKUP('Données projet'!$B$9,Paramètres!$A$1:$I$88,5,0)</f>
        <v>275.05919999999958</v>
      </c>
      <c r="P118" s="14">
        <f t="shared" si="87"/>
        <v>65.921796397718268</v>
      </c>
      <c r="Q118" s="22">
        <f t="shared" si="107"/>
        <v>593.87523539269193</v>
      </c>
      <c r="R118" s="62">
        <f t="shared" si="55"/>
        <v>887.20856872602531</v>
      </c>
      <c r="S118" s="62">
        <f ca="1">AVERAGE(OFFSET($R$3,0,0,'Données projet'!$E$9+1,1))-AVERAGE(OFFSET($H$3,0,0,'Données projet'!$E$9+1,1))</f>
        <v>430.21146937947236</v>
      </c>
      <c r="T118" s="62">
        <f t="shared" si="88"/>
        <v>231.36959598460686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283</v>
      </c>
      <c r="AG118" s="13">
        <f>VLOOKUP(A118,'Données projet'!$A$61:$I$81,9,0)</f>
        <v>3.4</v>
      </c>
      <c r="AH118" s="13">
        <f t="array" ref="AH118">INDEX(AG:AG,MIN(IF(ISNUMBER(AG118:AG314),ROW(AG118:AG314),"")))</f>
        <v>3.4</v>
      </c>
      <c r="AI118" s="14">
        <f>IF('Données projet'!$A$62&gt;35,AI117+AH118-AQ117,IF(A118&lt;'Données projet'!$A$62,$AF$205^A118,IF(A118='Données projet'!$A$62,'Données projet'!$B$62,AI117+AH118-AQ117)))</f>
        <v>282.99999999999994</v>
      </c>
      <c r="AJ118" s="14">
        <f>AI118*VLOOKUP('Données projet'!$B$10,Paramètres!$A$1:$I$88,3,0)*VLOOKUP('Données projet'!$B$10,Paramètres!$A$1:$I$88,5,0)</f>
        <v>269.30279999999993</v>
      </c>
      <c r="AK118" s="14">
        <f t="shared" si="89"/>
        <v>64.701283593559893</v>
      </c>
      <c r="AL118" s="22">
        <f t="shared" si="58"/>
        <v>581.72377892545001</v>
      </c>
      <c r="AM118" s="62">
        <f t="shared" si="59"/>
        <v>875.05711225878326</v>
      </c>
      <c r="AN118" s="62">
        <f ca="1">AVERAGE(OFFSET($AM$3,0,0,'Données projet'!$E$10+1,1))-AVERAGE(OFFSET($H$3,0,0,'Données projet'!$E$10+1,1))</f>
        <v>370.04285308422544</v>
      </c>
      <c r="AO118" s="62">
        <f t="shared" si="90"/>
        <v>218.53758068502731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0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projet'!$B$11,Paramètres!$A$1:$I$88,3,0)*VLOOKUP('Données projet'!$B$11,Paramètres!$A$1:$I$88,5,0)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215.43249078216331</v>
      </c>
      <c r="BJ118" s="62">
        <f t="shared" si="92"/>
        <v>363.02009369315232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3.8078062877082846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3.622835044249576E-12</v>
      </c>
      <c r="BS118" s="24">
        <f t="shared" si="63"/>
        <v>3.8078062877119074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270.39999999999952</v>
      </c>
      <c r="O119" s="14">
        <f>N119*VLOOKUP('Données projet'!$B$9,Paramètres!$A$1:$I$88,3,0)*VLOOKUP('Données projet'!$B$9,Paramètres!$A$1:$I$88,5,0)</f>
        <v>244.65791999999956</v>
      </c>
      <c r="P119" s="14">
        <f t="shared" si="87"/>
        <v>59.44058075210858</v>
      </c>
      <c r="Q119" s="22">
        <f t="shared" si="107"/>
        <v>529.63822214325501</v>
      </c>
      <c r="R119" s="62">
        <f t="shared" si="55"/>
        <v>822.97155547658826</v>
      </c>
      <c r="S119" s="62">
        <f ca="1">AVERAGE(OFFSET($R$3,0,0,'Données projet'!$E$9+1,1))-AVERAGE(OFFSET($H$3,0,0,'Données projet'!$E$9+1,1))</f>
        <v>430.21146937947236</v>
      </c>
      <c r="T119" s="62">
        <f t="shared" si="88"/>
        <v>231.36959598460686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IF('Données projet'!$A$62&gt;35,AI118+AH119-AQ118,IF(A119&lt;'Données projet'!$A$62,$AF$205^A119,IF(A119='Données projet'!$A$62,'Données projet'!$B$62,AI118+AH119-AQ118)))</f>
        <v>286.39999999999992</v>
      </c>
      <c r="AJ119" s="14">
        <f>AI119*VLOOKUP('Données projet'!$B$10,Paramètres!$A$1:$I$88,3,0)*VLOOKUP('Données projet'!$B$10,Paramètres!$A$1:$I$88,5,0)</f>
        <v>272.53823999999992</v>
      </c>
      <c r="AK119" s="14">
        <f t="shared" si="89"/>
        <v>65.387654174541112</v>
      </c>
      <c r="AL119" s="22">
        <f t="shared" si="58"/>
        <v>588.55426568732571</v>
      </c>
      <c r="AM119" s="62">
        <f t="shared" si="59"/>
        <v>881.88759902065908</v>
      </c>
      <c r="AN119" s="62">
        <f ca="1">AVERAGE(OFFSET($AM$3,0,0,'Données projet'!$E$10+1,1))-AVERAGE(OFFSET($H$3,0,0,'Données projet'!$E$10+1,1))</f>
        <v>370.04285308422544</v>
      </c>
      <c r="AO119" s="62">
        <f t="shared" si="90"/>
        <v>218.53758068502731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0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projet'!$B$11,Paramètres!$A$1:$I$88,3,0)*VLOOKUP('Données projet'!$B$11,Paramètres!$A$1:$I$88,5,0)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215.43249078216331</v>
      </c>
      <c r="BJ119" s="62">
        <f t="shared" si="92"/>
        <v>363.02009369315232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3.7331375289388298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2.5617312269091415E-12</v>
      </c>
      <c r="BS119" s="24">
        <f t="shared" si="63"/>
        <v>3.7331375289413917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273.7999999999995</v>
      </c>
      <c r="O120" s="14">
        <f>N120*VLOOKUP('Données projet'!$B$9,Paramètres!$A$1:$I$88,3,0)*VLOOKUP('Données projet'!$B$9,Paramètres!$A$1:$I$88,5,0)</f>
        <v>247.73423999999952</v>
      </c>
      <c r="P120" s="14">
        <f t="shared" si="87"/>
        <v>60.100505665695003</v>
      </c>
      <c r="Q120" s="22">
        <f t="shared" si="107"/>
        <v>536.14551536775127</v>
      </c>
      <c r="R120" s="62">
        <f t="shared" si="55"/>
        <v>829.47884870108464</v>
      </c>
      <c r="S120" s="62">
        <f ca="1">AVERAGE(OFFSET($R$3,0,0,'Données projet'!$E$9+1,1))-AVERAGE(OFFSET($H$3,0,0,'Données projet'!$E$9+1,1))</f>
        <v>430.21146937947236</v>
      </c>
      <c r="T120" s="62">
        <f t="shared" si="88"/>
        <v>231.36959598460686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IF('Données projet'!$A$62&gt;35,AI119+AH120-AQ119,IF(A120&lt;'Données projet'!$A$62,$AF$205^A120,IF(A120='Données projet'!$A$62,'Données projet'!$B$62,AI119+AH120-AQ119)))</f>
        <v>289.7999999999999</v>
      </c>
      <c r="AJ120" s="14">
        <f>AI120*VLOOKUP('Données projet'!$B$10,Paramètres!$A$1:$I$88,3,0)*VLOOKUP('Données projet'!$B$10,Paramètres!$A$1:$I$88,5,0)</f>
        <v>275.7736799999999</v>
      </c>
      <c r="AK120" s="14">
        <f t="shared" si="89"/>
        <v>66.073076930208813</v>
      </c>
      <c r="AL120" s="22">
        <f t="shared" si="58"/>
        <v>595.38310165344672</v>
      </c>
      <c r="AM120" s="62">
        <f t="shared" si="59"/>
        <v>888.71643498678009</v>
      </c>
      <c r="AN120" s="62">
        <f ca="1">AVERAGE(OFFSET($AM$3,0,0,'Données projet'!$E$10+1,1))-AVERAGE(OFFSET($H$3,0,0,'Données projet'!$E$10+1,1))</f>
        <v>370.04285308422544</v>
      </c>
      <c r="AO120" s="62">
        <f t="shared" si="90"/>
        <v>218.53758068502731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0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projet'!$B$11,Paramètres!$A$1:$I$88,3,0)*VLOOKUP('Données projet'!$B$11,Paramètres!$A$1:$I$88,5,0)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215.43249078216331</v>
      </c>
      <c r="BJ120" s="62">
        <f t="shared" si="92"/>
        <v>363.02009369315232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3.659932978985398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1.8114175221247884E-12</v>
      </c>
      <c r="BS120" s="24">
        <f t="shared" si="63"/>
        <v>3.6599329789872095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277.19999999999948</v>
      </c>
      <c r="O121" s="14">
        <f>N121*VLOOKUP('Données projet'!$B$9,Paramètres!$A$1:$I$88,3,0)*VLOOKUP('Données projet'!$B$9,Paramètres!$A$1:$I$88,5,0)</f>
        <v>250.81055999999953</v>
      </c>
      <c r="P121" s="14">
        <f t="shared" si="87"/>
        <v>60.759477364108577</v>
      </c>
      <c r="Q121" s="22">
        <f t="shared" si="107"/>
        <v>542.65114840915487</v>
      </c>
      <c r="R121" s="62">
        <f t="shared" si="55"/>
        <v>835.98448174248824</v>
      </c>
      <c r="S121" s="62">
        <f ca="1">AVERAGE(OFFSET($R$3,0,0,'Données projet'!$E$9+1,1))-AVERAGE(OFFSET($H$3,0,0,'Données projet'!$E$9+1,1))</f>
        <v>430.21146937947236</v>
      </c>
      <c r="T121" s="62">
        <f t="shared" si="88"/>
        <v>231.36959598460686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IF('Données projet'!$A$62&gt;35,AI120+AH121-AQ120,IF(A121&lt;'Données projet'!$A$62,$AF$205^A121,IF(A121='Données projet'!$A$62,'Données projet'!$B$62,AI120+AH121-AQ120)))</f>
        <v>293.19999999999987</v>
      </c>
      <c r="AJ121" s="14">
        <f>AI121*VLOOKUP('Données projet'!$B$10,Paramètres!$A$1:$I$88,3,0)*VLOOKUP('Données projet'!$B$10,Paramètres!$A$1:$I$88,5,0)</f>
        <v>279.00911999999988</v>
      </c>
      <c r="AK121" s="14">
        <f t="shared" si="89"/>
        <v>66.757564267146137</v>
      </c>
      <c r="AL121" s="22">
        <f t="shared" si="58"/>
        <v>602.21030843194603</v>
      </c>
      <c r="AM121" s="62">
        <f t="shared" si="59"/>
        <v>895.54364176527929</v>
      </c>
      <c r="AN121" s="62">
        <f ca="1">AVERAGE(OFFSET($AM$3,0,0,'Données projet'!$E$10+1,1))-AVERAGE(OFFSET($H$3,0,0,'Données projet'!$E$10+1,1))</f>
        <v>370.04285308422544</v>
      </c>
      <c r="AO121" s="62">
        <f t="shared" si="90"/>
        <v>218.53758068502731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0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projet'!$B$11,Paramètres!$A$1:$I$88,3,0)*VLOOKUP('Données projet'!$B$11,Paramètres!$A$1:$I$88,5,0)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215.43249078216331</v>
      </c>
      <c r="BJ121" s="62">
        <f t="shared" si="92"/>
        <v>363.02009369315232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3.5881639256061866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1.2808656134545709E-12</v>
      </c>
      <c r="BS121" s="24">
        <f t="shared" si="63"/>
        <v>3.5881639256074673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280.59999999999945</v>
      </c>
      <c r="O122" s="14">
        <f>N122*VLOOKUP('Données projet'!$B$9,Paramètres!$A$1:$I$88,3,0)*VLOOKUP('Données projet'!$B$9,Paramètres!$A$1:$I$88,5,0)</f>
        <v>253.88687999999951</v>
      </c>
      <c r="P122" s="14">
        <f t="shared" si="87"/>
        <v>61.41750889127686</v>
      </c>
      <c r="Q122" s="22">
        <f t="shared" si="107"/>
        <v>549.1551439856396</v>
      </c>
      <c r="R122" s="62">
        <f t="shared" si="55"/>
        <v>842.48847731897285</v>
      </c>
      <c r="S122" s="62">
        <f ca="1">AVERAGE(OFFSET($R$3,0,0,'Données projet'!$E$9+1,1))-AVERAGE(OFFSET($H$3,0,0,'Données projet'!$E$9+1,1))</f>
        <v>430.21146937947236</v>
      </c>
      <c r="T122" s="62">
        <f t="shared" si="88"/>
        <v>231.36959598460686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IF('Données projet'!$A$62&gt;35,AI121+AH122-AQ121,IF(A122&lt;'Données projet'!$A$62,$AF$205^A122,IF(A122='Données projet'!$A$62,'Données projet'!$B$62,AI121+AH122-AQ121)))</f>
        <v>296.59999999999985</v>
      </c>
      <c r="AJ122" s="14">
        <f>AI122*VLOOKUP('Données projet'!$B$10,Paramètres!$A$1:$I$88,3,0)*VLOOKUP('Données projet'!$B$10,Paramètres!$A$1:$I$88,5,0)</f>
        <v>282.24455999999986</v>
      </c>
      <c r="AK122" s="14">
        <f t="shared" si="89"/>
        <v>67.441128287637042</v>
      </c>
      <c r="AL122" s="22">
        <f t="shared" si="58"/>
        <v>609.03590710096762</v>
      </c>
      <c r="AM122" s="62">
        <f t="shared" si="59"/>
        <v>902.36924043430099</v>
      </c>
      <c r="AN122" s="62">
        <f ca="1">AVERAGE(OFFSET($AM$3,0,0,'Données projet'!$E$10+1,1))-AVERAGE(OFFSET($H$3,0,0,'Données projet'!$E$10+1,1))</f>
        <v>370.04285308422544</v>
      </c>
      <c r="AO122" s="62">
        <f t="shared" si="90"/>
        <v>218.53758068502731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0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projet'!$B$11,Paramètres!$A$1:$I$88,3,0)*VLOOKUP('Données projet'!$B$11,Paramètres!$A$1:$I$88,5,0)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215.43249078216331</v>
      </c>
      <c r="BJ122" s="62">
        <f t="shared" si="92"/>
        <v>363.02009369315232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3.5178022195889413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9.057087610623943E-13</v>
      </c>
      <c r="BS122" s="24">
        <f t="shared" si="63"/>
        <v>3.5178022195898468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283.99999999999943</v>
      </c>
      <c r="O123" s="14">
        <f>N123*VLOOKUP('Données projet'!$B$9,Paramètres!$A$1:$I$88,3,0)*VLOOKUP('Données projet'!$B$9,Paramètres!$A$1:$I$88,5,0)</f>
        <v>256.96319999999946</v>
      </c>
      <c r="P123" s="14">
        <f t="shared" si="87"/>
        <v>62.07461295683791</v>
      </c>
      <c r="Q123" s="22">
        <f t="shared" si="107"/>
        <v>555.65752423315837</v>
      </c>
      <c r="R123" s="62">
        <f t="shared" si="55"/>
        <v>848.99085756649174</v>
      </c>
      <c r="S123" s="62">
        <f ca="1">AVERAGE(OFFSET($R$3,0,0,'Données projet'!$E$9+1,1))-AVERAGE(OFFSET($H$3,0,0,'Données projet'!$E$9+1,1))</f>
        <v>430.21146937947236</v>
      </c>
      <c r="T123" s="62">
        <f t="shared" si="88"/>
        <v>231.36959598460686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300</v>
      </c>
      <c r="AG123" s="13">
        <f>VLOOKUP(A123,'Données projet'!$A$61:$I$81,9,0)</f>
        <v>3.4</v>
      </c>
      <c r="AH123" s="13">
        <f t="array" ref="AH123">INDEX(AG:AG,MIN(IF(ISNUMBER(AG123:AG319),ROW(AG123:AG319),"")))</f>
        <v>3.4</v>
      </c>
      <c r="AI123" s="14">
        <f>IF('Données projet'!$A$62&gt;35,AI122+AH123-AQ122,IF(A123&lt;'Données projet'!$A$62,$AF$205^A123,IF(A123='Données projet'!$A$62,'Données projet'!$B$62,AI122+AH123-AQ122)))</f>
        <v>299.99999999999983</v>
      </c>
      <c r="AJ123" s="14">
        <f>AI123*VLOOKUP('Données projet'!$B$10,Paramètres!$A$1:$I$88,3,0)*VLOOKUP('Données projet'!$B$10,Paramètres!$A$1:$I$88,5,0)</f>
        <v>285.47999999999985</v>
      </c>
      <c r="AK123" s="14">
        <f t="shared" si="89"/>
        <v>68.12378080053071</v>
      </c>
      <c r="AL123" s="22">
        <f t="shared" si="58"/>
        <v>615.8599182275907</v>
      </c>
      <c r="AM123" s="62">
        <f t="shared" si="59"/>
        <v>909.19325156092395</v>
      </c>
      <c r="AN123" s="62">
        <f ca="1">AVERAGE(OFFSET($AM$3,0,0,'Données projet'!$E$10+1,1))-AVERAGE(OFFSET($H$3,0,0,'Données projet'!$E$10+1,1))</f>
        <v>370.04285308422544</v>
      </c>
      <c r="AO123" s="62">
        <f t="shared" si="90"/>
        <v>218.53758068502731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300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0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projet'!$B$11,Paramètres!$A$1:$I$88,3,0)*VLOOKUP('Données projet'!$B$11,Paramètres!$A$1:$I$88,5,0)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215.43249078216331</v>
      </c>
      <c r="BJ123" s="62">
        <f t="shared" si="92"/>
        <v>363.02009369315232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3.4488202637102909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6.4043280672728557E-13</v>
      </c>
      <c r="BS123" s="24">
        <f t="shared" si="63"/>
        <v>3.4488202637109313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287.39999999999941</v>
      </c>
      <c r="O124" s="14">
        <f>N124*VLOOKUP('Données projet'!$B$9,Paramètres!$A$1:$I$88,3,0)*VLOOKUP('Données projet'!$B$9,Paramètres!$A$1:$I$88,5,0)</f>
        <v>260.03951999999947</v>
      </c>
      <c r="P124" s="14">
        <f t="shared" si="87"/>
        <v>62.730801948604764</v>
      </c>
      <c r="Q124" s="22">
        <f t="shared" si="107"/>
        <v>562.1583107271523</v>
      </c>
      <c r="R124" s="62">
        <f t="shared" si="55"/>
        <v>855.49164406048567</v>
      </c>
      <c r="S124" s="62">
        <f ca="1">AVERAGE(OFFSET($R$3,0,0,'Données projet'!$E$9+1,1))-AVERAGE(OFFSET($H$3,0,0,'Données projet'!$E$9+1,1))</f>
        <v>430.21146937947236</v>
      </c>
      <c r="T124" s="62">
        <f t="shared" si="88"/>
        <v>231.36959598460686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-1.7053025658242404E-13</v>
      </c>
      <c r="AJ124" s="14">
        <f>AI124*VLOOKUP('Données projet'!$B$10,Paramètres!$A$1:$I$88,3,0)*VLOOKUP('Données projet'!$B$10,Paramètres!$A$1:$I$88,5,0)</f>
        <v>-1.6227659216383472E-13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370.04285308422544</v>
      </c>
      <c r="AO124" s="62">
        <f t="shared" si="90"/>
        <v>218.53758068502731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0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projet'!$B$11,Paramètres!$A$1:$I$88,3,0)*VLOOKUP('Données projet'!$B$11,Paramètres!$A$1:$I$88,5,0)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215.43249078216331</v>
      </c>
      <c r="BJ124" s="62">
        <f t="shared" si="92"/>
        <v>363.02009369315232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3.3811910019115823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4.5285438053119725E-13</v>
      </c>
      <c r="BS124" s="24">
        <f t="shared" si="63"/>
        <v>3.3811910019120353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290.79999999999939</v>
      </c>
      <c r="O125" s="14">
        <f>N125*VLOOKUP('Données projet'!$B$9,Paramètres!$A$1:$I$88,3,0)*VLOOKUP('Données projet'!$B$9,Paramètres!$A$1:$I$88,5,0)</f>
        <v>263.11583999999948</v>
      </c>
      <c r="P125" s="14">
        <f t="shared" si="87"/>
        <v>63.386087944423274</v>
      </c>
      <c r="Q125" s="22">
        <f t="shared" si="107"/>
        <v>568.65752450320281</v>
      </c>
      <c r="R125" s="62">
        <f t="shared" si="55"/>
        <v>861.99085783653618</v>
      </c>
      <c r="S125" s="62">
        <f ca="1">AVERAGE(OFFSET($R$3,0,0,'Données projet'!$E$9+1,1))-AVERAGE(OFFSET($H$3,0,0,'Données projet'!$E$9+1,1))</f>
        <v>430.21146937947236</v>
      </c>
      <c r="T125" s="62">
        <f t="shared" si="88"/>
        <v>231.36959598460686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-1.7053025658242404E-13</v>
      </c>
      <c r="AJ125" s="14">
        <f>AI125*VLOOKUP('Données projet'!$B$10,Paramètres!$A$1:$I$88,3,0)*VLOOKUP('Données projet'!$B$10,Paramètres!$A$1:$I$88,5,0)</f>
        <v>-1.6227659216383472E-13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370.04285308422544</v>
      </c>
      <c r="AO125" s="62">
        <f t="shared" si="90"/>
        <v>218.53758068502731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0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projet'!$B$11,Paramètres!$A$1:$I$88,3,0)*VLOOKUP('Données projet'!$B$11,Paramètres!$A$1:$I$88,5,0)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215.43249078216331</v>
      </c>
      <c r="BJ125" s="62">
        <f t="shared" si="92"/>
        <v>363.02009369315232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3.3148879086869698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3.2021640336364283E-13</v>
      </c>
      <c r="BS125" s="24">
        <f t="shared" si="63"/>
        <v>3.31488790868729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294.19999999999936</v>
      </c>
      <c r="O126" s="14">
        <f>N126*VLOOKUP('Données projet'!$B$9,Paramètres!$A$1:$I$88,3,0)*VLOOKUP('Données projet'!$B$9,Paramètres!$A$1:$I$88,5,0)</f>
        <v>266.19215999999943</v>
      </c>
      <c r="P126" s="14">
        <f t="shared" si="87"/>
        <v>64.04048272345959</v>
      </c>
      <c r="Q126" s="22">
        <f t="shared" si="107"/>
        <v>575.15518607669117</v>
      </c>
      <c r="R126" s="62">
        <f t="shared" si="55"/>
        <v>868.48851941002454</v>
      </c>
      <c r="S126" s="62">
        <f ca="1">AVERAGE(OFFSET($R$3,0,0,'Données projet'!$E$9+1,1))-AVERAGE(OFFSET($H$3,0,0,'Données projet'!$E$9+1,1))</f>
        <v>430.21146937947236</v>
      </c>
      <c r="T126" s="62">
        <f t="shared" si="88"/>
        <v>231.36959598460686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-1.7053025658242404E-13</v>
      </c>
      <c r="AJ126" s="14">
        <f>AI126*VLOOKUP('Données projet'!$B$10,Paramètres!$A$1:$I$88,3,0)*VLOOKUP('Données projet'!$B$10,Paramètres!$A$1:$I$88,5,0)</f>
        <v>-1.6227659216383472E-13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370.04285308422544</v>
      </c>
      <c r="AO126" s="62">
        <f t="shared" si="90"/>
        <v>218.53758068502731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0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projet'!$B$11,Paramètres!$A$1:$I$88,3,0)*VLOOKUP('Données projet'!$B$11,Paramètres!$A$1:$I$88,5,0)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215.43249078216331</v>
      </c>
      <c r="BJ126" s="62">
        <f t="shared" si="92"/>
        <v>363.02009369315232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3.2498849786795985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2.2642719026559865E-13</v>
      </c>
      <c r="BS126" s="24">
        <f t="shared" si="63"/>
        <v>3.249884978679825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297.59999999999934</v>
      </c>
      <c r="O127" s="14">
        <f>N127*VLOOKUP('Données projet'!$B$9,Paramètres!$A$1:$I$88,3,0)*VLOOKUP('Données projet'!$B$9,Paramètres!$A$1:$I$88,5,0)</f>
        <v>269.26847999999939</v>
      </c>
      <c r="P127" s="14">
        <f t="shared" si="87"/>
        <v>64.693997776951065</v>
      </c>
      <c r="Q127" s="22">
        <f t="shared" si="107"/>
        <v>581.65131546152202</v>
      </c>
      <c r="R127" s="62">
        <f t="shared" si="55"/>
        <v>874.98464879485527</v>
      </c>
      <c r="S127" s="62">
        <f ca="1">AVERAGE(OFFSET($R$3,0,0,'Données projet'!$E$9+1,1))-AVERAGE(OFFSET($H$3,0,0,'Données projet'!$E$9+1,1))</f>
        <v>430.21146937947236</v>
      </c>
      <c r="T127" s="62">
        <f t="shared" si="88"/>
        <v>231.36959598460686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-1.7053025658242404E-13</v>
      </c>
      <c r="AJ127" s="14">
        <f>AI127*VLOOKUP('Données projet'!$B$10,Paramètres!$A$1:$I$88,3,0)*VLOOKUP('Données projet'!$B$10,Paramètres!$A$1:$I$88,5,0)</f>
        <v>-1.6227659216383472E-13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370.04285308422544</v>
      </c>
      <c r="AO127" s="62">
        <f t="shared" si="90"/>
        <v>218.53758068502731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0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projet'!$B$11,Paramètres!$A$1:$I$88,3,0)*VLOOKUP('Données projet'!$B$11,Paramètres!$A$1:$I$88,5,0)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215.43249078216331</v>
      </c>
      <c r="BJ127" s="62">
        <f t="shared" si="92"/>
        <v>363.02009369315232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3.1861567164817992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1.6010820168182144E-13</v>
      </c>
      <c r="BS127" s="24">
        <f t="shared" si="63"/>
        <v>3.1861567164819595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300.99999999999932</v>
      </c>
      <c r="O128" s="14">
        <f>N128*VLOOKUP('Données projet'!$B$9,Paramètres!$A$1:$I$88,3,0)*VLOOKUP('Données projet'!$B$9,Paramètres!$A$1:$I$88,5,0)</f>
        <v>272.34479999999934</v>
      </c>
      <c r="P128" s="14">
        <f t="shared" si="87"/>
        <v>65.346644318451595</v>
      </c>
      <c r="Q128" s="22">
        <f t="shared" si="107"/>
        <v>588.1459321879687</v>
      </c>
      <c r="R128" s="62">
        <f t="shared" si="55"/>
        <v>881.47926552130207</v>
      </c>
      <c r="S128" s="62">
        <f ca="1">AVERAGE(OFFSET($R$3,0,0,'Données projet'!$E$9+1,1))-AVERAGE(OFFSET($H$3,0,0,'Données projet'!$E$9+1,1))</f>
        <v>430.21146937947236</v>
      </c>
      <c r="T128" s="62">
        <f t="shared" si="88"/>
        <v>231.36959598460686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-1.7053025658242404E-13</v>
      </c>
      <c r="AJ128" s="14">
        <f>AI128*VLOOKUP('Données projet'!$B$10,Paramètres!$A$1:$I$88,3,0)*VLOOKUP('Données projet'!$B$10,Paramètres!$A$1:$I$88,5,0)</f>
        <v>-1.6227659216383472E-13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370.04285308422544</v>
      </c>
      <c r="AO128" s="62">
        <f t="shared" si="90"/>
        <v>218.53758068502731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0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projet'!$B$11,Paramètres!$A$1:$I$88,3,0)*VLOOKUP('Données projet'!$B$11,Paramètres!$A$1:$I$88,5,0)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215.43249078216331</v>
      </c>
      <c r="BJ128" s="62">
        <f t="shared" si="92"/>
        <v>363.02009369315232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3.1236781266352969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1.1321359513279934E-13</v>
      </c>
      <c r="BS128" s="24">
        <f t="shared" si="63"/>
        <v>3.1236781266354101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270.99999999999932</v>
      </c>
      <c r="O129" s="14">
        <f>N129*VLOOKUP('Données projet'!$B$9,Paramètres!$A$1:$I$88,3,0)*VLOOKUP('Données projet'!$B$9,Paramètres!$A$1:$I$88,5,0)</f>
        <v>245.20079999999936</v>
      </c>
      <c r="P129" s="14">
        <f t="shared" si="87"/>
        <v>59.557107941433571</v>
      </c>
      <c r="Q129" s="22">
        <f t="shared" si="107"/>
        <v>530.78668966466228</v>
      </c>
      <c r="R129" s="62">
        <f t="shared" si="55"/>
        <v>824.12002299799565</v>
      </c>
      <c r="S129" s="62">
        <f ca="1">AVERAGE(OFFSET($R$3,0,0,'Données projet'!$E$9+1,1))-AVERAGE(OFFSET($H$3,0,0,'Données projet'!$E$9+1,1))</f>
        <v>430.21146937947236</v>
      </c>
      <c r="T129" s="62">
        <f t="shared" si="88"/>
        <v>231.36959598460686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-1.7053025658242404E-13</v>
      </c>
      <c r="AJ129" s="14">
        <f>AI129*VLOOKUP('Données projet'!$B$10,Paramètres!$A$1:$I$88,3,0)*VLOOKUP('Données projet'!$B$10,Paramètres!$A$1:$I$88,5,0)</f>
        <v>-1.6227659216383472E-13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370.04285308422544</v>
      </c>
      <c r="AO129" s="62">
        <f t="shared" si="90"/>
        <v>218.53758068502731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0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projet'!$B$11,Paramètres!$A$1:$I$88,3,0)*VLOOKUP('Données projet'!$B$11,Paramètres!$A$1:$I$88,5,0)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215.43249078216331</v>
      </c>
      <c r="BJ129" s="62">
        <f t="shared" si="92"/>
        <v>363.02009369315232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3.0624247038275074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8.0054100840910734E-14</v>
      </c>
      <c r="BS129" s="24">
        <f t="shared" si="63"/>
        <v>3.0624247038275874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273.99999999999932</v>
      </c>
      <c r="O130" s="14">
        <f>N130*VLOOKUP('Données projet'!$B$9,Paramètres!$A$1:$I$88,3,0)*VLOOKUP('Données projet'!$B$9,Paramètres!$A$1:$I$88,5,0)</f>
        <v>247.91519999999937</v>
      </c>
      <c r="P130" s="14">
        <f t="shared" si="87"/>
        <v>60.139294964297299</v>
      </c>
      <c r="Q130" s="22">
        <f t="shared" si="107"/>
        <v>536.52824539615006</v>
      </c>
      <c r="R130" s="62">
        <f t="shared" si="55"/>
        <v>829.86157872948343</v>
      </c>
      <c r="S130" s="62">
        <f ca="1">AVERAGE(OFFSET($R$3,0,0,'Données projet'!$E$9+1,1))-AVERAGE(OFFSET($H$3,0,0,'Données projet'!$E$9+1,1))</f>
        <v>430.21146937947236</v>
      </c>
      <c r="T130" s="62">
        <f t="shared" si="88"/>
        <v>231.36959598460686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-1.7053025658242404E-13</v>
      </c>
      <c r="AJ130" s="14">
        <f>AI130*VLOOKUP('Données projet'!$B$10,Paramètres!$A$1:$I$88,3,0)*VLOOKUP('Données projet'!$B$10,Paramètres!$A$1:$I$88,5,0)</f>
        <v>-1.6227659216383472E-13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370.04285308422544</v>
      </c>
      <c r="AO130" s="62">
        <f t="shared" si="90"/>
        <v>218.53758068502731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0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projet'!$B$11,Paramètres!$A$1:$I$88,3,0)*VLOOKUP('Données projet'!$B$11,Paramètres!$A$1:$I$88,5,0)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215.43249078216331</v>
      </c>
      <c r="BJ130" s="62">
        <f t="shared" si="92"/>
        <v>363.02009369315232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3.0023724232800801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5.6606797566399682E-14</v>
      </c>
      <c r="BS130" s="24">
        <f t="shared" si="63"/>
        <v>3.0023724232801365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276.99999999999932</v>
      </c>
      <c r="O131" s="14">
        <f>N131*VLOOKUP('Données projet'!$B$9,Paramètres!$A$1:$I$88,3,0)*VLOOKUP('Données projet'!$B$9,Paramètres!$A$1:$I$88,5,0)</f>
        <v>250.62959999999939</v>
      </c>
      <c r="P131" s="14">
        <f t="shared" si="87"/>
        <v>60.720740474356212</v>
      </c>
      <c r="Q131" s="22">
        <f t="shared" ref="Q131:Q153" si="108">(O131+P131)*0.475*44/12</f>
        <v>542.26850965950268</v>
      </c>
      <c r="R131" s="62">
        <f t="shared" ref="R131:R194" si="109">Q131+(I131+J131)*44/12</f>
        <v>835.60184299283605</v>
      </c>
      <c r="S131" s="62">
        <f ca="1">AVERAGE(OFFSET($R$3,0,0,'Données projet'!$E$9+1,1))-AVERAGE(OFFSET($H$3,0,0,'Données projet'!$E$9+1,1))</f>
        <v>430.21146937947236</v>
      </c>
      <c r="T131" s="62">
        <f t="shared" si="88"/>
        <v>231.36959598460686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-1.7053025658242404E-13</v>
      </c>
      <c r="AJ131" s="14">
        <f>AI131*VLOOKUP('Données projet'!$B$10,Paramètres!$A$1:$I$88,3,0)*VLOOKUP('Données projet'!$B$10,Paramètres!$A$1:$I$88,5,0)</f>
        <v>-1.6227659216383472E-13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370.04285308422544</v>
      </c>
      <c r="AO131" s="62">
        <f t="shared" si="90"/>
        <v>218.53758068502731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0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projet'!$B$11,Paramètres!$A$1:$I$88,3,0)*VLOOKUP('Données projet'!$B$11,Paramètres!$A$1:$I$88,5,0)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215.43249078216331</v>
      </c>
      <c r="BJ131" s="62">
        <f t="shared" si="92"/>
        <v>363.02009369315232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2.9434977313259134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4.0027050420455373E-14</v>
      </c>
      <c r="BS131" s="24">
        <f t="shared" si="63"/>
        <v>2.9434977313259534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279.99999999999932</v>
      </c>
      <c r="O132" s="14">
        <f>N132*VLOOKUP('Données projet'!$B$9,Paramètres!$A$1:$I$88,3,0)*VLOOKUP('Données projet'!$B$9,Paramètres!$A$1:$I$88,5,0)</f>
        <v>253.34399999999934</v>
      </c>
      <c r="P132" s="14">
        <f t="shared" si="87"/>
        <v>61.301453431926141</v>
      </c>
      <c r="Q132" s="22">
        <f t="shared" si="108"/>
        <v>548.00749806060355</v>
      </c>
      <c r="R132" s="62">
        <f t="shared" si="109"/>
        <v>841.34083139393692</v>
      </c>
      <c r="S132" s="62">
        <f ca="1">AVERAGE(OFFSET($R$3,0,0,'Données projet'!$E$9+1,1))-AVERAGE(OFFSET($H$3,0,0,'Données projet'!$E$9+1,1))</f>
        <v>430.21146937947236</v>
      </c>
      <c r="T132" s="62">
        <f t="shared" si="88"/>
        <v>231.36959598460686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-1.7053025658242404E-13</v>
      </c>
      <c r="AJ132" s="14">
        <f>AI132*VLOOKUP('Données projet'!$B$10,Paramètres!$A$1:$I$88,3,0)*VLOOKUP('Données projet'!$B$10,Paramètres!$A$1:$I$88,5,0)</f>
        <v>-1.6227659216383472E-13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370.04285308422544</v>
      </c>
      <c r="AO132" s="62">
        <f t="shared" si="90"/>
        <v>218.53758068502731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0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projet'!$B$11,Paramètres!$A$1:$I$88,3,0)*VLOOKUP('Données projet'!$B$11,Paramètres!$A$1:$I$88,5,0)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215.43249078216331</v>
      </c>
      <c r="BJ132" s="62">
        <f t="shared" si="92"/>
        <v>363.02009369315232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2.8857775361709517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2.8303398783199844E-14</v>
      </c>
      <c r="BS132" s="24">
        <f t="shared" ref="BS132:BS153" si="117">SUM(BP132:BR132)</f>
        <v>2.8857775361709801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282.99999999999932</v>
      </c>
      <c r="O133" s="14">
        <f>N133*VLOOKUP('Données projet'!$B$9,Paramètres!$A$1:$I$88,3,0)*VLOOKUP('Données projet'!$B$9,Paramètres!$A$1:$I$88,5,0)</f>
        <v>256.05839999999938</v>
      </c>
      <c r="P133" s="14">
        <f t="shared" ref="P133:P196" si="141">EXP(-1.0587+0.8836*LN(O133)+0.284)</f>
        <v>61.88144259425632</v>
      </c>
      <c r="Q133" s="22">
        <f t="shared" si="108"/>
        <v>553.74522585166198</v>
      </c>
      <c r="R133" s="62">
        <f t="shared" si="109"/>
        <v>847.07855918499536</v>
      </c>
      <c r="S133" s="62">
        <f ca="1">AVERAGE(OFFSET($R$3,0,0,'Données projet'!$E$9+1,1))-AVERAGE(OFFSET($H$3,0,0,'Données projet'!$E$9+1,1))</f>
        <v>430.21146937947236</v>
      </c>
      <c r="T133" s="62">
        <f t="shared" ref="T133:T196" si="142">$T$3</f>
        <v>231.36959598460686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-1.7053025658242404E-13</v>
      </c>
      <c r="AJ133" s="14">
        <f>AI133*VLOOKUP('Données projet'!$B$10,Paramètres!$A$1:$I$88,3,0)*VLOOKUP('Données projet'!$B$10,Paramètres!$A$1:$I$88,5,0)</f>
        <v>-1.6227659216383472E-13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370.04285308422544</v>
      </c>
      <c r="AO133" s="62">
        <f t="shared" ref="AO133:AO196" si="144">$AO$3</f>
        <v>218.53758068502731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0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projet'!$B$11,Paramètres!$A$1:$I$88,3,0)*VLOOKUP('Données projet'!$B$11,Paramètres!$A$1:$I$88,5,0)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215.43249078216331</v>
      </c>
      <c r="BJ133" s="62">
        <f t="shared" ref="BJ133:BJ196" si="146">$BJ$3</f>
        <v>363.02009369315232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2.829189198837136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2.001352521022769E-14</v>
      </c>
      <c r="BS133" s="24">
        <f t="shared" si="117"/>
        <v>2.829189198837156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285.99999999999932</v>
      </c>
      <c r="O134" s="14">
        <f>N134*VLOOKUP('Données projet'!$B$9,Paramètres!$A$1:$I$88,3,0)*VLOOKUP('Données projet'!$B$9,Paramètres!$A$1:$I$88,5,0)</f>
        <v>258.77279999999939</v>
      </c>
      <c r="P134" s="14">
        <f t="shared" si="141"/>
        <v>62.460716522234527</v>
      </c>
      <c r="Q134" s="22">
        <f t="shared" si="108"/>
        <v>559.48170794289069</v>
      </c>
      <c r="R134" s="62">
        <f t="shared" si="109"/>
        <v>852.81504127622406</v>
      </c>
      <c r="S134" s="62">
        <f ca="1">AVERAGE(OFFSET($R$3,0,0,'Données projet'!$E$9+1,1))-AVERAGE(OFFSET($H$3,0,0,'Données projet'!$E$9+1,1))</f>
        <v>430.21146937947236</v>
      </c>
      <c r="T134" s="62">
        <f t="shared" si="142"/>
        <v>231.36959598460686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-1.7053025658242404E-13</v>
      </c>
      <c r="AJ134" s="14">
        <f>AI134*VLOOKUP('Données projet'!$B$10,Paramètres!$A$1:$I$88,3,0)*VLOOKUP('Données projet'!$B$10,Paramètres!$A$1:$I$88,5,0)</f>
        <v>-1.6227659216383472E-13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370.04285308422544</v>
      </c>
      <c r="AO134" s="62">
        <f t="shared" si="144"/>
        <v>218.53758068502731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0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projet'!$B$11,Paramètres!$A$1:$I$88,3,0)*VLOOKUP('Données projet'!$B$11,Paramètres!$A$1:$I$88,5,0)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215.43249078216331</v>
      </c>
      <c r="BJ134" s="62">
        <f t="shared" si="146"/>
        <v>363.02009369315232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2.7737105242829587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1.4151699391599925E-14</v>
      </c>
      <c r="BS134" s="24">
        <f t="shared" si="117"/>
        <v>2.7737105242829729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288.99999999999932</v>
      </c>
      <c r="O135" s="14">
        <f>N135*VLOOKUP('Données projet'!$B$9,Paramètres!$A$1:$I$88,3,0)*VLOOKUP('Données projet'!$B$9,Paramètres!$A$1:$I$88,5,0)</f>
        <v>261.4871999999994</v>
      </c>
      <c r="P135" s="14">
        <f t="shared" si="141"/>
        <v>63.03928358680222</v>
      </c>
      <c r="Q135" s="22">
        <f t="shared" si="108"/>
        <v>565.21695891367949</v>
      </c>
      <c r="R135" s="62">
        <f t="shared" si="109"/>
        <v>858.55029224701275</v>
      </c>
      <c r="S135" s="62">
        <f ca="1">AVERAGE(OFFSET($R$3,0,0,'Données projet'!$E$9+1,1))-AVERAGE(OFFSET($H$3,0,0,'Données projet'!$E$9+1,1))</f>
        <v>430.21146937947236</v>
      </c>
      <c r="T135" s="62">
        <f t="shared" si="142"/>
        <v>231.36959598460686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-1.7053025658242404E-13</v>
      </c>
      <c r="AJ135" s="14">
        <f>AI135*VLOOKUP('Données projet'!$B$10,Paramètres!$A$1:$I$88,3,0)*VLOOKUP('Données projet'!$B$10,Paramètres!$A$1:$I$88,5,0)</f>
        <v>-1.6227659216383472E-13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370.04285308422544</v>
      </c>
      <c r="AO135" s="62">
        <f t="shared" si="144"/>
        <v>218.53758068502731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0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projet'!$B$11,Paramètres!$A$1:$I$88,3,0)*VLOOKUP('Données projet'!$B$11,Paramètres!$A$1:$I$88,5,0)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215.43249078216331</v>
      </c>
      <c r="BJ135" s="62">
        <f t="shared" si="146"/>
        <v>363.02009369315232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2.7193197526981385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1.0006762605113846E-14</v>
      </c>
      <c r="BS135" s="24">
        <f t="shared" si="117"/>
        <v>2.7193197526981487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291.99999999999932</v>
      </c>
      <c r="O136" s="14">
        <f>N136*VLOOKUP('Données projet'!$B$9,Paramètres!$A$1:$I$88,3,0)*VLOOKUP('Données projet'!$B$9,Paramètres!$A$1:$I$88,5,0)</f>
        <v>264.20159999999936</v>
      </c>
      <c r="P136" s="14">
        <f t="shared" si="141"/>
        <v>63.617151975096597</v>
      </c>
      <c r="Q136" s="22">
        <f t="shared" si="108"/>
        <v>570.95099302329209</v>
      </c>
      <c r="R136" s="62">
        <f t="shared" si="109"/>
        <v>864.28432635662534</v>
      </c>
      <c r="S136" s="62">
        <f ca="1">AVERAGE(OFFSET($R$3,0,0,'Données projet'!$E$9+1,1))-AVERAGE(OFFSET($H$3,0,0,'Données projet'!$E$9+1,1))</f>
        <v>430.21146937947236</v>
      </c>
      <c r="T136" s="62">
        <f t="shared" si="142"/>
        <v>231.36959598460686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-1.7053025658242404E-13</v>
      </c>
      <c r="AJ136" s="14">
        <f>AI136*VLOOKUP('Données projet'!$B$10,Paramètres!$A$1:$I$88,3,0)*VLOOKUP('Données projet'!$B$10,Paramètres!$A$1:$I$88,5,0)</f>
        <v>-1.6227659216383472E-13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370.04285308422544</v>
      </c>
      <c r="AO136" s="62">
        <f t="shared" si="144"/>
        <v>218.53758068502731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0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projet'!$B$11,Paramètres!$A$1:$I$88,3,0)*VLOOKUP('Données projet'!$B$11,Paramètres!$A$1:$I$88,5,0)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215.43249078216331</v>
      </c>
      <c r="BJ136" s="62">
        <f t="shared" si="146"/>
        <v>363.02009369315232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2.6659955509690021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7.0758496957999634E-15</v>
      </c>
      <c r="BS136" s="24">
        <f t="shared" si="117"/>
        <v>2.6659955509690092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294.99999999999932</v>
      </c>
      <c r="O137" s="14">
        <f>N137*VLOOKUP('Données projet'!$B$9,Paramètres!$A$1:$I$88,3,0)*VLOOKUP('Données projet'!$B$9,Paramètres!$A$1:$I$88,5,0)</f>
        <v>266.91599999999937</v>
      </c>
      <c r="P137" s="14">
        <f t="shared" si="141"/>
        <v>64.194329696332005</v>
      </c>
      <c r="Q137" s="22">
        <f t="shared" si="108"/>
        <v>576.68382422111051</v>
      </c>
      <c r="R137" s="62">
        <f t="shared" si="109"/>
        <v>870.01715755444388</v>
      </c>
      <c r="S137" s="62">
        <f ca="1">AVERAGE(OFFSET($R$3,0,0,'Données projet'!$E$9+1,1))-AVERAGE(OFFSET($H$3,0,0,'Données projet'!$E$9+1,1))</f>
        <v>430.21146937947236</v>
      </c>
      <c r="T137" s="62">
        <f t="shared" si="142"/>
        <v>231.36959598460686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-1.7053025658242404E-13</v>
      </c>
      <c r="AJ137" s="14">
        <f>AI137*VLOOKUP('Données projet'!$B$10,Paramètres!$A$1:$I$88,3,0)*VLOOKUP('Données projet'!$B$10,Paramètres!$A$1:$I$88,5,0)</f>
        <v>-1.6227659216383472E-13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370.04285308422544</v>
      </c>
      <c r="AO137" s="62">
        <f t="shared" si="144"/>
        <v>218.53758068502731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0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projet'!$B$11,Paramètres!$A$1:$I$88,3,0)*VLOOKUP('Données projet'!$B$11,Paramètres!$A$1:$I$88,5,0)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215.43249078216331</v>
      </c>
      <c r="BJ137" s="62">
        <f t="shared" si="146"/>
        <v>363.02009369315232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2.6137170043112223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5.003381302556924E-15</v>
      </c>
      <c r="BS137" s="24">
        <f t="shared" si="117"/>
        <v>2.6137170043112272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297.99999999999932</v>
      </c>
      <c r="O138" s="14">
        <f>N138*VLOOKUP('Données projet'!$B$9,Paramètres!$A$1:$I$88,3,0)*VLOOKUP('Données projet'!$B$9,Paramètres!$A$1:$I$88,5,0)</f>
        <v>269.63039999999938</v>
      </c>
      <c r="P138" s="14">
        <f t="shared" si="141"/>
        <v>64.770824587435968</v>
      </c>
      <c r="Q138" s="22">
        <f t="shared" si="108"/>
        <v>582.41546615644995</v>
      </c>
      <c r="R138" s="62">
        <f t="shared" si="109"/>
        <v>875.74879948978332</v>
      </c>
      <c r="S138" s="62">
        <f ca="1">AVERAGE(OFFSET($R$3,0,0,'Données projet'!$E$9+1,1))-AVERAGE(OFFSET($H$3,0,0,'Données projet'!$E$9+1,1))</f>
        <v>430.21146937947236</v>
      </c>
      <c r="T138" s="62">
        <f t="shared" si="142"/>
        <v>231.36959598460686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-1.7053025658242404E-13</v>
      </c>
      <c r="AJ138" s="14">
        <f>AI138*VLOOKUP('Données projet'!$B$10,Paramètres!$A$1:$I$88,3,0)*VLOOKUP('Données projet'!$B$10,Paramètres!$A$1:$I$88,5,0)</f>
        <v>-1.6227659216383472E-13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370.04285308422544</v>
      </c>
      <c r="AO138" s="62">
        <f t="shared" si="144"/>
        <v>218.53758068502731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0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projet'!$B$11,Paramètres!$A$1:$I$88,3,0)*VLOOKUP('Données projet'!$B$11,Paramètres!$A$1:$I$88,5,0)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215.43249078216331</v>
      </c>
      <c r="BJ138" s="62">
        <f t="shared" si="146"/>
        <v>363.02009369315232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2.5624636080666368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3.5379248478999821E-15</v>
      </c>
      <c r="BS138" s="24">
        <f t="shared" si="117"/>
        <v>2.5624636080666403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2.6</v>
      </c>
      <c r="N139" s="14">
        <f>IF('Données projet'!$A$36&gt;35,N138+M139-V138,IF(A139&lt;'Données projet'!$A$36,$K$205^A139,IF(A139='Données projet'!$A$36,'Données projet'!$B$36,N138+M139-V138)))</f>
        <v>271.59999999999934</v>
      </c>
      <c r="O139" s="14">
        <f>N139*VLOOKUP('Données projet'!$B$9,Paramètres!$A$1:$I$88,3,0)*VLOOKUP('Données projet'!$B$9,Paramètres!$A$1:$I$88,5,0)</f>
        <v>245.74367999999939</v>
      </c>
      <c r="P139" s="14">
        <f t="shared" si="141"/>
        <v>59.673605104126288</v>
      </c>
      <c r="Q139" s="22">
        <f t="shared" si="108"/>
        <v>531.93510488968548</v>
      </c>
      <c r="R139" s="62">
        <f t="shared" si="109"/>
        <v>825.26843822301885</v>
      </c>
      <c r="S139" s="62">
        <f ca="1">AVERAGE(OFFSET($R$3,0,0,'Données projet'!$E$9+1,1))-AVERAGE(OFFSET($H$3,0,0,'Données projet'!$E$9+1,1))</f>
        <v>430.21146937947236</v>
      </c>
      <c r="T139" s="62">
        <f t="shared" si="142"/>
        <v>231.36959598460686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-1.7053025658242404E-13</v>
      </c>
      <c r="AJ139" s="14">
        <f>AI139*VLOOKUP('Données projet'!$B$10,Paramètres!$A$1:$I$88,3,0)*VLOOKUP('Données projet'!$B$10,Paramètres!$A$1:$I$88,5,0)</f>
        <v>-1.6227659216383472E-13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370.04285308422544</v>
      </c>
      <c r="AO139" s="62">
        <f t="shared" si="144"/>
        <v>218.53758068502731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0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projet'!$B$11,Paramètres!$A$1:$I$88,3,0)*VLOOKUP('Données projet'!$B$11,Paramètres!$A$1:$I$88,5,0)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215.43249078216331</v>
      </c>
      <c r="BJ139" s="62">
        <f t="shared" si="146"/>
        <v>363.02009369315232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2.5122152596609224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2.5016906512784624E-15</v>
      </c>
      <c r="BS139" s="24">
        <f t="shared" si="117"/>
        <v>2.5122152596609251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2.6</v>
      </c>
      <c r="N140" s="14">
        <f>IF('Données projet'!$A$36&gt;35,N139+M140-V139,IF(A140&lt;'Données projet'!$A$36,$K$205^A140,IF(A140='Données projet'!$A$36,'Données projet'!$B$36,N139+M140-V139)))</f>
        <v>274.19999999999936</v>
      </c>
      <c r="O140" s="14">
        <f>N140*VLOOKUP('Données projet'!$B$9,Paramètres!$A$1:$I$88,3,0)*VLOOKUP('Données projet'!$B$9,Paramètres!$A$1:$I$88,5,0)</f>
        <v>248.09615999999943</v>
      </c>
      <c r="P140" s="14">
        <f t="shared" si="141"/>
        <v>60.178080967364579</v>
      </c>
      <c r="Q140" s="22">
        <f t="shared" si="108"/>
        <v>536.91096968482555</v>
      </c>
      <c r="R140" s="62">
        <f t="shared" si="109"/>
        <v>830.24430301815892</v>
      </c>
      <c r="S140" s="62">
        <f ca="1">AVERAGE(OFFSET($R$3,0,0,'Données projet'!$E$9+1,1))-AVERAGE(OFFSET($H$3,0,0,'Données projet'!$E$9+1,1))</f>
        <v>430.21146937947236</v>
      </c>
      <c r="T140" s="62">
        <f t="shared" si="142"/>
        <v>231.36959598460686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-1.7053025658242404E-13</v>
      </c>
      <c r="AJ140" s="14">
        <f>AI140*VLOOKUP('Données projet'!$B$10,Paramètres!$A$1:$I$88,3,0)*VLOOKUP('Données projet'!$B$10,Paramètres!$A$1:$I$88,5,0)</f>
        <v>-1.6227659216383472E-13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370.04285308422544</v>
      </c>
      <c r="AO140" s="62">
        <f t="shared" si="144"/>
        <v>218.53758068502731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0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projet'!$B$11,Paramètres!$A$1:$I$88,3,0)*VLOOKUP('Données projet'!$B$11,Paramètres!$A$1:$I$88,5,0)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215.43249078216331</v>
      </c>
      <c r="BJ140" s="62">
        <f t="shared" si="146"/>
        <v>363.02009369315232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2.4629522507189781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1.7689624239499914E-15</v>
      </c>
      <c r="BS140" s="24">
        <f t="shared" si="117"/>
        <v>2.4629522507189798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2.6</v>
      </c>
      <c r="N141" s="14">
        <f>IF('Données projet'!$A$36&gt;35,N140+M141-V140,IF(A141&lt;'Données projet'!$A$36,$K$205^A141,IF(A141='Données projet'!$A$36,'Données projet'!$B$36,N140+M141-V140)))</f>
        <v>276.79999999999939</v>
      </c>
      <c r="O141" s="14">
        <f>N141*VLOOKUP('Données projet'!$B$9,Paramètres!$A$1:$I$88,3,0)*VLOOKUP('Données projet'!$B$9,Paramètres!$A$1:$I$88,5,0)</f>
        <v>250.44863999999944</v>
      </c>
      <c r="P141" s="14">
        <f t="shared" si="141"/>
        <v>60.682000328889892</v>
      </c>
      <c r="Q141" s="22">
        <f t="shared" si="108"/>
        <v>541.88586523948231</v>
      </c>
      <c r="R141" s="62">
        <f t="shared" si="109"/>
        <v>835.21919857281569</v>
      </c>
      <c r="S141" s="62">
        <f ca="1">AVERAGE(OFFSET($R$3,0,0,'Données projet'!$E$9+1,1))-AVERAGE(OFFSET($H$3,0,0,'Données projet'!$E$9+1,1))</f>
        <v>430.21146937947236</v>
      </c>
      <c r="T141" s="62">
        <f t="shared" si="142"/>
        <v>231.36959598460686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-1.7053025658242404E-13</v>
      </c>
      <c r="AJ141" s="14">
        <f>AI141*VLOOKUP('Données projet'!$B$10,Paramètres!$A$1:$I$88,3,0)*VLOOKUP('Données projet'!$B$10,Paramètres!$A$1:$I$88,5,0)</f>
        <v>-1.6227659216383472E-13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370.04285308422544</v>
      </c>
      <c r="AO141" s="62">
        <f t="shared" si="144"/>
        <v>218.53758068502731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0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projet'!$B$11,Paramètres!$A$1:$I$88,3,0)*VLOOKUP('Données projet'!$B$11,Paramètres!$A$1:$I$88,5,0)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215.43249078216331</v>
      </c>
      <c r="BJ141" s="62">
        <f t="shared" si="146"/>
        <v>363.02009369315232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2.4146552593349169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1.2508453256392314E-15</v>
      </c>
      <c r="BS141" s="24">
        <f t="shared" si="117"/>
        <v>2.4146552593349182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2.6</v>
      </c>
      <c r="N142" s="14">
        <f>IF('Données projet'!$A$36&gt;35,N141+M142-V141,IF(A142&lt;'Données projet'!$A$36,$K$205^A142,IF(A142='Données projet'!$A$36,'Données projet'!$B$36,N141+M142-V141)))</f>
        <v>279.39999999999941</v>
      </c>
      <c r="O142" s="14">
        <f>N142*VLOOKUP('Données projet'!$B$9,Paramètres!$A$1:$I$88,3,0)*VLOOKUP('Données projet'!$B$9,Paramètres!$A$1:$I$88,5,0)</f>
        <v>252.80111999999946</v>
      </c>
      <c r="P142" s="14">
        <f t="shared" si="141"/>
        <v>61.185369021394152</v>
      </c>
      <c r="Q142" s="22">
        <f t="shared" si="108"/>
        <v>546.85980171226049</v>
      </c>
      <c r="R142" s="62">
        <f t="shared" si="109"/>
        <v>840.19313504559386</v>
      </c>
      <c r="S142" s="62">
        <f ca="1">AVERAGE(OFFSET($R$3,0,0,'Données projet'!$E$9+1,1))-AVERAGE(OFFSET($H$3,0,0,'Données projet'!$E$9+1,1))</f>
        <v>430.21146937947236</v>
      </c>
      <c r="T142" s="62">
        <f t="shared" si="142"/>
        <v>231.36959598460686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-1.7053025658242404E-13</v>
      </c>
      <c r="AJ142" s="14">
        <f>AI142*VLOOKUP('Données projet'!$B$10,Paramètres!$A$1:$I$88,3,0)*VLOOKUP('Données projet'!$B$10,Paramètres!$A$1:$I$88,5,0)</f>
        <v>-1.6227659216383472E-13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370.04285308422544</v>
      </c>
      <c r="AO142" s="62">
        <f t="shared" si="144"/>
        <v>218.53758068502731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0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projet'!$B$11,Paramètres!$A$1:$I$88,3,0)*VLOOKUP('Données projet'!$B$11,Paramètres!$A$1:$I$88,5,0)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215.43249078216331</v>
      </c>
      <c r="BJ142" s="62">
        <f t="shared" si="146"/>
        <v>363.02009369315232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2.367305342493641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8.8448121197499582E-16</v>
      </c>
      <c r="BS142" s="24">
        <f t="shared" si="117"/>
        <v>2.3673053424936419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2.6</v>
      </c>
      <c r="N143" s="14">
        <f>IF('Données projet'!$A$36&gt;35,N142+M143-V142,IF(A143&lt;'Données projet'!$A$36,$K$205^A143,IF(A143='Données projet'!$A$36,'Données projet'!$B$36,N142+M143-V142)))</f>
        <v>281.99999999999943</v>
      </c>
      <c r="O143" s="14">
        <f>N143*VLOOKUP('Données projet'!$B$9,Paramètres!$A$1:$I$88,3,0)*VLOOKUP('Données projet'!$B$9,Paramètres!$A$1:$I$88,5,0)</f>
        <v>255.15359999999947</v>
      </c>
      <c r="P143" s="14">
        <f t="shared" si="141"/>
        <v>61.688192762754319</v>
      </c>
      <c r="Q143" s="22">
        <f t="shared" si="108"/>
        <v>551.83278906179623</v>
      </c>
      <c r="R143" s="62">
        <f t="shared" si="109"/>
        <v>845.16612239512961</v>
      </c>
      <c r="S143" s="62">
        <f ca="1">AVERAGE(OFFSET($R$3,0,0,'Données projet'!$E$9+1,1))-AVERAGE(OFFSET($H$3,0,0,'Données projet'!$E$9+1,1))</f>
        <v>430.21146937947236</v>
      </c>
      <c r="T143" s="62">
        <f t="shared" si="142"/>
        <v>231.36959598460686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-1.7053025658242404E-13</v>
      </c>
      <c r="AJ143" s="14">
        <f>AI143*VLOOKUP('Données projet'!$B$10,Paramètres!$A$1:$I$88,3,0)*VLOOKUP('Données projet'!$B$10,Paramètres!$A$1:$I$88,5,0)</f>
        <v>-1.6227659216383472E-13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370.04285308422544</v>
      </c>
      <c r="AO143" s="62">
        <f t="shared" si="144"/>
        <v>218.53758068502731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0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projet'!$B$11,Paramètres!$A$1:$I$88,3,0)*VLOOKUP('Données projet'!$B$11,Paramètres!$A$1:$I$88,5,0)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215.43249078216331</v>
      </c>
      <c r="BJ143" s="62">
        <f t="shared" si="146"/>
        <v>363.02009369315232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2.3208839286410248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6.254226628196158E-16</v>
      </c>
      <c r="BS143" s="24">
        <f t="shared" si="117"/>
        <v>2.3208839286410252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2.6</v>
      </c>
      <c r="N144" s="14">
        <f>IF('Données projet'!$A$36&gt;35,N143+M144-V143,IF(A144&lt;'Données projet'!$A$36,$K$205^A144,IF(A144='Données projet'!$A$36,'Données projet'!$B$36,N143+M144-V143)))</f>
        <v>284.59999999999945</v>
      </c>
      <c r="O144" s="14">
        <f>N144*VLOOKUP('Données projet'!$B$9,Paramètres!$A$1:$I$88,3,0)*VLOOKUP('Données projet'!$B$9,Paramètres!$A$1:$I$88,5,0)</f>
        <v>257.50607999999949</v>
      </c>
      <c r="P144" s="14">
        <f t="shared" si="141"/>
        <v>62.190477159330406</v>
      </c>
      <c r="Q144" s="22">
        <f t="shared" si="108"/>
        <v>556.80483705249947</v>
      </c>
      <c r="R144" s="62">
        <f t="shared" si="109"/>
        <v>850.13817038583284</v>
      </c>
      <c r="S144" s="62">
        <f ca="1">AVERAGE(OFFSET($R$3,0,0,'Données projet'!$E$9+1,1))-AVERAGE(OFFSET($H$3,0,0,'Données projet'!$E$9+1,1))</f>
        <v>430.21146937947236</v>
      </c>
      <c r="T144" s="62">
        <f t="shared" si="142"/>
        <v>231.36959598460686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-1.7053025658242404E-13</v>
      </c>
      <c r="AJ144" s="14">
        <f>AI144*VLOOKUP('Données projet'!$B$10,Paramètres!$A$1:$I$88,3,0)*VLOOKUP('Données projet'!$B$10,Paramètres!$A$1:$I$88,5,0)</f>
        <v>-1.6227659216383472E-13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370.04285308422544</v>
      </c>
      <c r="AO144" s="62">
        <f t="shared" si="144"/>
        <v>218.53758068502731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0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projet'!$B$11,Paramètres!$A$1:$I$88,3,0)*VLOOKUP('Données projet'!$B$11,Paramètres!$A$1:$I$88,5,0)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215.43249078216331</v>
      </c>
      <c r="BJ144" s="62">
        <f t="shared" si="146"/>
        <v>363.02009369315232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2.2753728103997921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4.4224060598749801E-16</v>
      </c>
      <c r="BS144" s="24">
        <f t="shared" si="117"/>
        <v>2.2753728103997926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2.6</v>
      </c>
      <c r="N145" s="14">
        <f>IF('Données projet'!$A$36&gt;35,N144+M145-V144,IF(A145&lt;'Données projet'!$A$36,$K$205^A145,IF(A145='Données projet'!$A$36,'Données projet'!$B$36,N144+M145-V144)))</f>
        <v>287.19999999999948</v>
      </c>
      <c r="O145" s="14">
        <f>N145*VLOOKUP('Données projet'!$B$9,Paramètres!$A$1:$I$88,3,0)*VLOOKUP('Données projet'!$B$9,Paramètres!$A$1:$I$88,5,0)</f>
        <v>259.8585599999995</v>
      </c>
      <c r="P145" s="14">
        <f t="shared" si="141"/>
        <v>62.692227709138365</v>
      </c>
      <c r="Q145" s="22">
        <f t="shared" si="108"/>
        <v>561.77595526008179</v>
      </c>
      <c r="R145" s="62">
        <f t="shared" si="109"/>
        <v>855.10928859341516</v>
      </c>
      <c r="S145" s="62">
        <f ca="1">AVERAGE(OFFSET($R$3,0,0,'Données projet'!$E$9+1,1))-AVERAGE(OFFSET($H$3,0,0,'Données projet'!$E$9+1,1))</f>
        <v>430.21146937947236</v>
      </c>
      <c r="T145" s="62">
        <f t="shared" si="142"/>
        <v>231.36959598460686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-1.7053025658242404E-13</v>
      </c>
      <c r="AJ145" s="14">
        <f>AI145*VLOOKUP('Données projet'!$B$10,Paramètres!$A$1:$I$88,3,0)*VLOOKUP('Données projet'!$B$10,Paramètres!$A$1:$I$88,5,0)</f>
        <v>-1.6227659216383472E-13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370.04285308422544</v>
      </c>
      <c r="AO145" s="62">
        <f t="shared" si="144"/>
        <v>218.53758068502731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0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projet'!$B$11,Paramètres!$A$1:$I$88,3,0)*VLOOKUP('Données projet'!$B$11,Paramètres!$A$1:$I$88,5,0)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215.43249078216331</v>
      </c>
      <c r="BJ145" s="62">
        <f t="shared" si="146"/>
        <v>363.02009369315232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2.2307541374282285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3.1271133140980795E-16</v>
      </c>
      <c r="BS145" s="24">
        <f t="shared" si="117"/>
        <v>2.2307541374282289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2.6</v>
      </c>
      <c r="N146" s="14">
        <f>IF('Données projet'!$A$36&gt;35,N145+M146-V145,IF(A146&lt;'Données projet'!$A$36,$K$205^A146,IF(A146='Données projet'!$A$36,'Données projet'!$B$36,N145+M146-V145)))</f>
        <v>289.7999999999995</v>
      </c>
      <c r="O146" s="14">
        <f>N146*VLOOKUP('Données projet'!$B$9,Paramètres!$A$1:$I$88,3,0)*VLOOKUP('Données projet'!$B$9,Paramètres!$A$1:$I$88,5,0)</f>
        <v>262.21103999999951</v>
      </c>
      <c r="P146" s="14">
        <f t="shared" si="141"/>
        <v>63.19344980490574</v>
      </c>
      <c r="Q146" s="22">
        <f t="shared" si="108"/>
        <v>566.74615307687668</v>
      </c>
      <c r="R146" s="62">
        <f t="shared" si="109"/>
        <v>860.07948641020994</v>
      </c>
      <c r="S146" s="62">
        <f ca="1">AVERAGE(OFFSET($R$3,0,0,'Données projet'!$E$9+1,1))-AVERAGE(OFFSET($H$3,0,0,'Données projet'!$E$9+1,1))</f>
        <v>430.21146937947236</v>
      </c>
      <c r="T146" s="62">
        <f t="shared" si="142"/>
        <v>231.36959598460686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-1.7053025658242404E-13</v>
      </c>
      <c r="AJ146" s="14">
        <f>AI146*VLOOKUP('Données projet'!$B$10,Paramètres!$A$1:$I$88,3,0)*VLOOKUP('Données projet'!$B$10,Paramètres!$A$1:$I$88,5,0)</f>
        <v>-1.6227659216383472E-13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370.04285308422544</v>
      </c>
      <c r="AO146" s="62">
        <f t="shared" si="144"/>
        <v>218.53758068502731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0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projet'!$B$11,Paramètres!$A$1:$I$88,3,0)*VLOOKUP('Données projet'!$B$11,Paramètres!$A$1:$I$88,5,0)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215.43249078216331</v>
      </c>
      <c r="BJ146" s="62">
        <f t="shared" si="146"/>
        <v>363.02009369315232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2.1870104094189342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2.2112030299374903E-16</v>
      </c>
      <c r="BS146" s="24">
        <f t="shared" si="117"/>
        <v>2.1870104094189342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2.6</v>
      </c>
      <c r="N147" s="14">
        <f>IF('Données projet'!$A$36&gt;35,N146+M147-V146,IF(A147&lt;'Données projet'!$A$36,$K$205^A147,IF(A147='Données projet'!$A$36,'Données projet'!$B$36,N146+M147-V146)))</f>
        <v>292.39999999999952</v>
      </c>
      <c r="O147" s="14">
        <f>N147*VLOOKUP('Données projet'!$B$9,Paramètres!$A$1:$I$88,3,0)*VLOOKUP('Données projet'!$B$9,Paramètres!$A$1:$I$88,5,0)</f>
        <v>264.56351999999953</v>
      </c>
      <c r="P147" s="14">
        <f t="shared" si="141"/>
        <v>63.694148737013748</v>
      </c>
      <c r="Q147" s="22">
        <f t="shared" si="108"/>
        <v>571.71543971696474</v>
      </c>
      <c r="R147" s="62">
        <f t="shared" si="109"/>
        <v>865.048773050298</v>
      </c>
      <c r="S147" s="62">
        <f ca="1">AVERAGE(OFFSET($R$3,0,0,'Données projet'!$E$9+1,1))-AVERAGE(OFFSET($H$3,0,0,'Données projet'!$E$9+1,1))</f>
        <v>430.21146937947236</v>
      </c>
      <c r="T147" s="62">
        <f t="shared" si="142"/>
        <v>231.36959598460686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-1.7053025658242404E-13</v>
      </c>
      <c r="AJ147" s="14">
        <f>AI147*VLOOKUP('Données projet'!$B$10,Paramètres!$A$1:$I$88,3,0)*VLOOKUP('Données projet'!$B$10,Paramètres!$A$1:$I$88,5,0)</f>
        <v>-1.6227659216383472E-13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370.04285308422544</v>
      </c>
      <c r="AO147" s="62">
        <f t="shared" si="144"/>
        <v>218.53758068502731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0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projet'!$B$11,Paramètres!$A$1:$I$88,3,0)*VLOOKUP('Données projet'!$B$11,Paramètres!$A$1:$I$88,5,0)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215.43249078216331</v>
      </c>
      <c r="BJ147" s="62">
        <f t="shared" si="146"/>
        <v>363.02009369315232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2.1441244692348627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1.56355665704904E-16</v>
      </c>
      <c r="BS147" s="24">
        <f t="shared" si="117"/>
        <v>2.1441244692348627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295</v>
      </c>
      <c r="L148" s="13">
        <f>VLOOKUP(A148,'Données projet'!$A$35:$I$55,9,0)</f>
        <v>2.6</v>
      </c>
      <c r="M148" s="13">
        <f t="array" ref="M148">INDEX(L:L,MIN(IF(ISNUMBER(L148:L344),ROW(L148:L344),"")))</f>
        <v>2.6</v>
      </c>
      <c r="N148" s="14">
        <f>IF('Données projet'!$A$36&gt;35,N147+M148-V147,IF(A148&lt;'Données projet'!$A$36,$K$205^A148,IF(A148='Données projet'!$A$36,'Données projet'!$B$36,N147+M148-V147)))</f>
        <v>294.99999999999955</v>
      </c>
      <c r="O148" s="14">
        <f>N148*VLOOKUP('Données projet'!$B$9,Paramètres!$A$1:$I$88,3,0)*VLOOKUP('Données projet'!$B$9,Paramètres!$A$1:$I$88,5,0)</f>
        <v>266.9159999999996</v>
      </c>
      <c r="P148" s="14">
        <f t="shared" si="141"/>
        <v>64.194329696332062</v>
      </c>
      <c r="Q148" s="22">
        <f t="shared" si="108"/>
        <v>576.68382422111085</v>
      </c>
      <c r="R148" s="62">
        <f t="shared" si="109"/>
        <v>870.01715755444411</v>
      </c>
      <c r="S148" s="62">
        <f ca="1">AVERAGE(OFFSET($R$3,0,0,'Données projet'!$E$9+1,1))-AVERAGE(OFFSET($H$3,0,0,'Données projet'!$E$9+1,1))</f>
        <v>430.21146937947236</v>
      </c>
      <c r="T148" s="62">
        <f t="shared" si="142"/>
        <v>231.36959598460686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-1.7053025658242404E-13</v>
      </c>
      <c r="AJ148" s="14">
        <f>AI148*VLOOKUP('Données projet'!$B$10,Paramètres!$A$1:$I$88,3,0)*VLOOKUP('Données projet'!$B$10,Paramètres!$A$1:$I$88,5,0)</f>
        <v>-1.6227659216383472E-13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370.04285308422544</v>
      </c>
      <c r="AO148" s="62">
        <f t="shared" si="144"/>
        <v>218.53758068502731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0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projet'!$B$11,Paramètres!$A$1:$I$88,3,0)*VLOOKUP('Données projet'!$B$11,Paramètres!$A$1:$I$88,5,0)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215.43249078216331</v>
      </c>
      <c r="BJ148" s="62">
        <f t="shared" si="146"/>
        <v>363.02009369315232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2.10207949617996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1.1056015149687454E-16</v>
      </c>
      <c r="BS148" s="24">
        <f t="shared" si="117"/>
        <v>2.10207949617996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2.2000000000000002</v>
      </c>
      <c r="N149" s="14">
        <f>IF('Données projet'!$A$36&gt;35,N148+M149-V148,IF(A149&lt;'Données projet'!$A$36,$K$205^A149,IF(A149='Données projet'!$A$36,'Données projet'!$B$36,N148+M149-V148)))</f>
        <v>297.19999999999953</v>
      </c>
      <c r="O149" s="14">
        <f>N149*VLOOKUP('Données projet'!$B$9,Paramètres!$A$1:$I$88,3,0)*VLOOKUP('Données projet'!$B$9,Paramètres!$A$1:$I$88,5,0)</f>
        <v>268.90655999999956</v>
      </c>
      <c r="P149" s="14">
        <f t="shared" si="141"/>
        <v>64.617158945843656</v>
      </c>
      <c r="Q149" s="22">
        <f t="shared" si="108"/>
        <v>580.88714383067679</v>
      </c>
      <c r="R149" s="62">
        <f t="shared" si="109"/>
        <v>874.22047716401016</v>
      </c>
      <c r="S149" s="62">
        <f ca="1">AVERAGE(OFFSET($R$3,0,0,'Données projet'!$E$9+1,1))-AVERAGE(OFFSET($H$3,0,0,'Données projet'!$E$9+1,1))</f>
        <v>430.21146937947236</v>
      </c>
      <c r="T149" s="62">
        <f t="shared" si="142"/>
        <v>231.36959598460686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-1.7053025658242404E-13</v>
      </c>
      <c r="AJ149" s="14">
        <f>AI149*VLOOKUP('Données projet'!$B$10,Paramètres!$A$1:$I$88,3,0)*VLOOKUP('Données projet'!$B$10,Paramètres!$A$1:$I$88,5,0)</f>
        <v>-1.6227659216383472E-13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370.04285308422544</v>
      </c>
      <c r="AO149" s="62">
        <f t="shared" si="144"/>
        <v>218.53758068502731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0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projet'!$B$11,Paramètres!$A$1:$I$88,3,0)*VLOOKUP('Données projet'!$B$11,Paramètres!$A$1:$I$88,5,0)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215.43249078216331</v>
      </c>
      <c r="BJ149" s="62">
        <f t="shared" si="146"/>
        <v>363.02009369315232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2.0608589994017628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7.8177832852452012E-17</v>
      </c>
      <c r="BS149" s="24">
        <f t="shared" si="117"/>
        <v>2.0608589994017628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2.2000000000000002</v>
      </c>
      <c r="N150" s="14">
        <f>IF('Données projet'!$A$36&gt;35,N149+M150-V149,IF(A150&lt;'Données projet'!$A$36,$K$205^A150,IF(A150='Données projet'!$A$36,'Données projet'!$B$36,N149+M150-V149)))</f>
        <v>299.39999999999952</v>
      </c>
      <c r="O150" s="14">
        <f>N150*VLOOKUP('Données projet'!$B$9,Paramètres!$A$1:$I$88,3,0)*VLOOKUP('Données projet'!$B$9,Paramètres!$A$1:$I$88,5,0)</f>
        <v>270.89711999999952</v>
      </c>
      <c r="P150" s="14">
        <f t="shared" si="141"/>
        <v>65.039624021315362</v>
      </c>
      <c r="Q150" s="22">
        <f t="shared" si="108"/>
        <v>585.08982917045671</v>
      </c>
      <c r="R150" s="62">
        <f t="shared" si="109"/>
        <v>878.42316250379008</v>
      </c>
      <c r="S150" s="62">
        <f ca="1">AVERAGE(OFFSET($R$3,0,0,'Données projet'!$E$9+1,1))-AVERAGE(OFFSET($H$3,0,0,'Données projet'!$E$9+1,1))</f>
        <v>430.21146937947236</v>
      </c>
      <c r="T150" s="62">
        <f t="shared" si="142"/>
        <v>231.36959598460686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-1.7053025658242404E-13</v>
      </c>
      <c r="AJ150" s="14">
        <f>AI150*VLOOKUP('Données projet'!$B$10,Paramètres!$A$1:$I$88,3,0)*VLOOKUP('Données projet'!$B$10,Paramètres!$A$1:$I$88,5,0)</f>
        <v>-1.6227659216383472E-13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370.04285308422544</v>
      </c>
      <c r="AO150" s="62">
        <f t="shared" si="144"/>
        <v>218.53758068502731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0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projet'!$B$11,Paramètres!$A$1:$I$88,3,0)*VLOOKUP('Données projet'!$B$11,Paramètres!$A$1:$I$88,5,0)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215.43249078216331</v>
      </c>
      <c r="BJ150" s="62">
        <f t="shared" si="146"/>
        <v>363.02009369315232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2.0204468114233656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5.5280075748437276E-17</v>
      </c>
      <c r="BS150" s="24">
        <f t="shared" si="117"/>
        <v>2.0204468114233656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2.2000000000000002</v>
      </c>
      <c r="N151" s="14">
        <f>IF('Données projet'!$A$36&gt;35,N150+M151-V150,IF(A151&lt;'Données projet'!$A$36,$K$205^A151,IF(A151='Données projet'!$A$36,'Données projet'!$B$36,N150+M151-V150)))</f>
        <v>301.59999999999951</v>
      </c>
      <c r="O151" s="14">
        <f>N151*VLOOKUP('Données projet'!$B$9,Paramètres!$A$1:$I$88,3,0)*VLOOKUP('Données projet'!$B$9,Paramètres!$A$1:$I$88,5,0)</f>
        <v>272.88767999999953</v>
      </c>
      <c r="P151" s="14">
        <f t="shared" si="141"/>
        <v>65.461727908967305</v>
      </c>
      <c r="Q151" s="22">
        <f t="shared" si="108"/>
        <v>589.29188544145063</v>
      </c>
      <c r="R151" s="62">
        <f t="shared" si="109"/>
        <v>882.62521877478389</v>
      </c>
      <c r="S151" s="62">
        <f ca="1">AVERAGE(OFFSET($R$3,0,0,'Données projet'!$E$9+1,1))-AVERAGE(OFFSET($H$3,0,0,'Données projet'!$E$9+1,1))</f>
        <v>430.21146937947236</v>
      </c>
      <c r="T151" s="62">
        <f t="shared" si="142"/>
        <v>231.36959598460686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-1.7053025658242404E-13</v>
      </c>
      <c r="AJ151" s="14">
        <f>AI151*VLOOKUP('Données projet'!$B$10,Paramètres!$A$1:$I$88,3,0)*VLOOKUP('Données projet'!$B$10,Paramètres!$A$1:$I$88,5,0)</f>
        <v>-1.6227659216383472E-13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370.04285308422544</v>
      </c>
      <c r="AO151" s="62">
        <f t="shared" si="144"/>
        <v>218.53758068502731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0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projet'!$B$11,Paramètres!$A$1:$I$88,3,0)*VLOOKUP('Données projet'!$B$11,Paramètres!$A$1:$I$88,5,0)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215.43249078216331</v>
      </c>
      <c r="BJ151" s="62">
        <f t="shared" si="146"/>
        <v>363.02009369315232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1.9808270818022238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3.9088916426226012E-17</v>
      </c>
      <c r="BS151" s="24">
        <f t="shared" si="117"/>
        <v>1.9808270818022238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2.2000000000000002</v>
      </c>
      <c r="N152" s="14">
        <f>IF('Données projet'!$A$36&gt;35,N151+M152-V151,IF(A152&lt;'Données projet'!$A$36,$K$205^A152,IF(A152='Données projet'!$A$36,'Données projet'!$B$36,N151+M152-V151)))</f>
        <v>303.7999999999995</v>
      </c>
      <c r="O152" s="14">
        <f>N152*VLOOKUP('Données projet'!$B$9,Paramètres!$A$1:$I$88,3,0)*VLOOKUP('Données projet'!$B$9,Paramètres!$A$1:$I$88,5,0)</f>
        <v>274.87823999999955</v>
      </c>
      <c r="P152" s="14">
        <f t="shared" si="141"/>
        <v>65.883473548936905</v>
      </c>
      <c r="Q152" s="22">
        <f t="shared" si="108"/>
        <v>593.4933177643976</v>
      </c>
      <c r="R152" s="62">
        <f t="shared" si="109"/>
        <v>886.82665109773097</v>
      </c>
      <c r="S152" s="62">
        <f ca="1">AVERAGE(OFFSET($R$3,0,0,'Données projet'!$E$9+1,1))-AVERAGE(OFFSET($H$3,0,0,'Données projet'!$E$9+1,1))</f>
        <v>430.21146937947236</v>
      </c>
      <c r="T152" s="62">
        <f t="shared" si="142"/>
        <v>231.36959598460686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-1.7053025658242404E-13</v>
      </c>
      <c r="AJ152" s="14">
        <f>AI152*VLOOKUP('Données projet'!$B$10,Paramètres!$A$1:$I$88,3,0)*VLOOKUP('Données projet'!$B$10,Paramètres!$A$1:$I$88,5,0)</f>
        <v>-1.6227659216383472E-13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370.04285308422544</v>
      </c>
      <c r="AO152" s="62">
        <f t="shared" si="144"/>
        <v>218.53758068502731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0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projet'!$B$11,Paramètres!$A$1:$I$88,3,0)*VLOOKUP('Données projet'!$B$11,Paramètres!$A$1:$I$88,5,0)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215.43249078216331</v>
      </c>
      <c r="BJ152" s="62">
        <f t="shared" si="146"/>
        <v>363.02009369315232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1.9419842709133037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2.7640037874218641E-17</v>
      </c>
      <c r="BS152" s="24">
        <f t="shared" si="117"/>
        <v>1.9419842709133037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2.2000000000000002</v>
      </c>
      <c r="M153" s="13">
        <f t="array" ref="M153">INDEX(L:L,MIN(IF(ISNUMBER(L153:L349),ROW(L153:L349),"")))</f>
        <v>2.2000000000000002</v>
      </c>
      <c r="N153" s="14">
        <f>IF('Données projet'!$A$36&gt;35,N152+M153-V152,IF(A153&lt;'Données projet'!$A$36,$K$205^A153,IF(A153='Données projet'!$A$36,'Données projet'!$B$36,N152+M153-V152)))</f>
        <v>305.99999999999949</v>
      </c>
      <c r="O153" s="14">
        <f>N153*VLOOKUP('Données projet'!$B$9,Paramètres!$A$1:$I$88,3,0)*VLOOKUP('Données projet'!$B$9,Paramètres!$A$1:$I$88,5,0)</f>
        <v>276.86879999999951</v>
      </c>
      <c r="P153" s="14">
        <f t="shared" si="141"/>
        <v>66.304863836318546</v>
      </c>
      <c r="Q153" s="22">
        <f t="shared" si="108"/>
        <v>597.6941311815873</v>
      </c>
      <c r="R153" s="62">
        <f t="shared" si="109"/>
        <v>891.02746451492067</v>
      </c>
      <c r="S153" s="62">
        <f ca="1">AVERAGE(OFFSET($R$3,0,0,'Données projet'!$E$9+1,1))-AVERAGE(OFFSET($H$3,0,0,'Données projet'!$E$9+1,1))</f>
        <v>430.21146937947236</v>
      </c>
      <c r="T153" s="62">
        <f t="shared" si="142"/>
        <v>231.36959598460686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-1.7053025658242404E-13</v>
      </c>
      <c r="AJ153" s="14">
        <f>AI153*VLOOKUP('Données projet'!$B$10,Paramètres!$A$1:$I$88,3,0)*VLOOKUP('Données projet'!$B$10,Paramètres!$A$1:$I$88,5,0)</f>
        <v>-1.6227659216383472E-13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370.04285308422544</v>
      </c>
      <c r="AO153" s="62">
        <f t="shared" si="144"/>
        <v>218.53758068502731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0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projet'!$B$11,Paramètres!$A$1:$I$88,3,0)*VLOOKUP('Données projet'!$B$11,Paramètres!$A$1:$I$88,5,0)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215.43249078216331</v>
      </c>
      <c r="BJ153" s="62">
        <f t="shared" si="146"/>
        <v>363.02009369315232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1.9039031438541401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1.9544458213113009E-17</v>
      </c>
      <c r="BS153" s="24">
        <f t="shared" si="117"/>
        <v>1.9039031438541401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-5.1159076974727213E-13</v>
      </c>
      <c r="O154" s="14">
        <f>N154*VLOOKUP('Données projet'!$B$9,Paramètres!$A$1:$I$88,3,0)*VLOOKUP('Données projet'!$B$9,Paramètres!$A$1:$I$88,5,0)</f>
        <v>-4.6288732846733184E-13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430.21146937947236</v>
      </c>
      <c r="T154" s="62">
        <f t="shared" si="142"/>
        <v>231.36959598460686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-1.7053025658242404E-13</v>
      </c>
      <c r="AJ154" s="14">
        <f>AI154*VLOOKUP('Données projet'!$B$10,Paramètres!$A$1:$I$88,3,0)*VLOOKUP('Données projet'!$B$10,Paramètres!$A$1:$I$88,5,0)</f>
        <v>-1.6227659216383472E-13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370.04285308422544</v>
      </c>
      <c r="AO154" s="62">
        <f t="shared" si="144"/>
        <v>218.53758068502731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0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projet'!$B$11,Paramètres!$A$1:$I$88,3,0)*VLOOKUP('Données projet'!$B$11,Paramètres!$A$1:$I$88,5,0)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215.43249078216331</v>
      </c>
      <c r="BJ154" s="62">
        <f t="shared" si="146"/>
        <v>363.02009369315232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1.8665687644694127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1.3820018937109324E-17</v>
      </c>
      <c r="BS154" s="24">
        <f t="shared" ref="BS154:BS203" si="169">SUM(BP154:BR154)</f>
        <v>1.8665687644694127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-5.1159076974727213E-13</v>
      </c>
      <c r="O155" s="14">
        <f>N155*VLOOKUP('Données projet'!$B$9,Paramètres!$A$1:$I$88,3,0)*VLOOKUP('Données projet'!$B$9,Paramètres!$A$1:$I$88,5,0)</f>
        <v>-4.6288732846733184E-13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430.21146937947236</v>
      </c>
      <c r="T155" s="62">
        <f t="shared" si="142"/>
        <v>231.36959598460686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-1.7053025658242404E-13</v>
      </c>
      <c r="AJ155" s="14">
        <f>AI155*VLOOKUP('Données projet'!$B$10,Paramètres!$A$1:$I$88,3,0)*VLOOKUP('Données projet'!$B$10,Paramètres!$A$1:$I$88,5,0)</f>
        <v>-1.6227659216383472E-13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370.04285308422544</v>
      </c>
      <c r="AO155" s="62">
        <f t="shared" si="144"/>
        <v>218.53758068502731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0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projet'!$B$11,Paramètres!$A$1:$I$88,3,0)*VLOOKUP('Données projet'!$B$11,Paramètres!$A$1:$I$88,5,0)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215.43249078216331</v>
      </c>
      <c r="BJ155" s="62">
        <f t="shared" si="146"/>
        <v>363.02009369315232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1.8299664894926968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9.7722291065565061E-18</v>
      </c>
      <c r="BS155" s="24">
        <f t="shared" si="169"/>
        <v>1.8299664894926968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-5.1159076974727213E-13</v>
      </c>
      <c r="O156" s="14">
        <f>N156*VLOOKUP('Données projet'!$B$9,Paramètres!$A$1:$I$88,3,0)*VLOOKUP('Données projet'!$B$9,Paramètres!$A$1:$I$88,5,0)</f>
        <v>-4.6288732846733184E-13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430.21146937947236</v>
      </c>
      <c r="T156" s="62">
        <f t="shared" si="142"/>
        <v>231.36959598460686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-1.7053025658242404E-13</v>
      </c>
      <c r="AJ156" s="14">
        <f>AI156*VLOOKUP('Données projet'!$B$10,Paramètres!$A$1:$I$88,3,0)*VLOOKUP('Données projet'!$B$10,Paramètres!$A$1:$I$88,5,0)</f>
        <v>-1.6227659216383472E-13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370.04285308422544</v>
      </c>
      <c r="AO156" s="62">
        <f t="shared" si="144"/>
        <v>218.53758068502731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0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projet'!$B$11,Paramètres!$A$1:$I$88,3,0)*VLOOKUP('Données projet'!$B$11,Paramètres!$A$1:$I$88,5,0)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215.43249078216331</v>
      </c>
      <c r="BJ156" s="62">
        <f t="shared" si="146"/>
        <v>363.02009369315232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1.7940819628030911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6.9100094685546625E-18</v>
      </c>
      <c r="BS156" s="24">
        <f t="shared" si="169"/>
        <v>1.7940819628030911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-5.1159076974727213E-13</v>
      </c>
      <c r="O157" s="14">
        <f>N157*VLOOKUP('Données projet'!$B$9,Paramètres!$A$1:$I$88,3,0)*VLOOKUP('Données projet'!$B$9,Paramètres!$A$1:$I$88,5,0)</f>
        <v>-4.6288732846733184E-13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430.21146937947236</v>
      </c>
      <c r="T157" s="62">
        <f t="shared" si="142"/>
        <v>231.36959598460686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-1.7053025658242404E-13</v>
      </c>
      <c r="AJ157" s="14">
        <f>AI157*VLOOKUP('Données projet'!$B$10,Paramètres!$A$1:$I$88,3,0)*VLOOKUP('Données projet'!$B$10,Paramètres!$A$1:$I$88,5,0)</f>
        <v>-1.6227659216383472E-13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370.04285308422544</v>
      </c>
      <c r="AO157" s="62">
        <f t="shared" si="144"/>
        <v>218.53758068502731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0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projet'!$B$11,Paramètres!$A$1:$I$88,3,0)*VLOOKUP('Données projet'!$B$11,Paramètres!$A$1:$I$88,5,0)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215.43249078216331</v>
      </c>
      <c r="BJ157" s="62">
        <f t="shared" si="146"/>
        <v>363.02009369315232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1.7589011097944685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4.8861145532782538E-18</v>
      </c>
      <c r="BS157" s="24">
        <f t="shared" si="169"/>
        <v>1.7589011097944685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-5.1159076974727213E-13</v>
      </c>
      <c r="O158" s="14">
        <f>N158*VLOOKUP('Données projet'!$B$9,Paramètres!$A$1:$I$88,3,0)*VLOOKUP('Données projet'!$B$9,Paramètres!$A$1:$I$88,5,0)</f>
        <v>-4.6288732846733184E-13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430.21146937947236</v>
      </c>
      <c r="T158" s="62">
        <f t="shared" si="142"/>
        <v>231.36959598460686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-1.7053025658242404E-13</v>
      </c>
      <c r="AJ158" s="14">
        <f>AI158*VLOOKUP('Données projet'!$B$10,Paramètres!$A$1:$I$88,3,0)*VLOOKUP('Données projet'!$B$10,Paramètres!$A$1:$I$88,5,0)</f>
        <v>-1.6227659216383472E-13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370.04285308422544</v>
      </c>
      <c r="AO158" s="62">
        <f t="shared" si="144"/>
        <v>218.53758068502731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0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projet'!$B$11,Paramètres!$A$1:$I$88,3,0)*VLOOKUP('Données projet'!$B$11,Paramètres!$A$1:$I$88,5,0)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215.43249078216331</v>
      </c>
      <c r="BJ158" s="62">
        <f t="shared" si="146"/>
        <v>363.02009369315232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1.7244101318551432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3.455004734277332E-18</v>
      </c>
      <c r="BS158" s="24">
        <f t="shared" si="169"/>
        <v>1.7244101318551432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-5.1159076974727213E-13</v>
      </c>
      <c r="O159" s="14">
        <f>N159*VLOOKUP('Données projet'!$B$9,Paramètres!$A$1:$I$88,3,0)*VLOOKUP('Données projet'!$B$9,Paramètres!$A$1:$I$88,5,0)</f>
        <v>-4.6288732846733184E-13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430.21146937947236</v>
      </c>
      <c r="T159" s="62">
        <f t="shared" si="142"/>
        <v>231.36959598460686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-1.7053025658242404E-13</v>
      </c>
      <c r="AJ159" s="14">
        <f>AI159*VLOOKUP('Données projet'!$B$10,Paramètres!$A$1:$I$88,3,0)*VLOOKUP('Données projet'!$B$10,Paramètres!$A$1:$I$88,5,0)</f>
        <v>-1.6227659216383472E-13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370.04285308422544</v>
      </c>
      <c r="AO159" s="62">
        <f t="shared" si="144"/>
        <v>218.53758068502731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0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projet'!$B$11,Paramètres!$A$1:$I$88,3,0)*VLOOKUP('Données projet'!$B$11,Paramètres!$A$1:$I$88,5,0)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215.43249078216331</v>
      </c>
      <c r="BJ159" s="62">
        <f t="shared" si="146"/>
        <v>363.02009369315232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1.6905955009557891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2.4430572766391273E-18</v>
      </c>
      <c r="BS159" s="24">
        <f t="shared" si="169"/>
        <v>1.6905955009557891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-5.1159076974727213E-13</v>
      </c>
      <c r="O160" s="14">
        <f>N160*VLOOKUP('Données projet'!$B$9,Paramètres!$A$1:$I$88,3,0)*VLOOKUP('Données projet'!$B$9,Paramètres!$A$1:$I$88,5,0)</f>
        <v>-4.6288732846733184E-13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430.21146937947236</v>
      </c>
      <c r="T160" s="62">
        <f t="shared" si="142"/>
        <v>231.36959598460686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-1.7053025658242404E-13</v>
      </c>
      <c r="AJ160" s="14">
        <f>AI160*VLOOKUP('Données projet'!$B$10,Paramètres!$A$1:$I$88,3,0)*VLOOKUP('Données projet'!$B$10,Paramètres!$A$1:$I$88,5,0)</f>
        <v>-1.6227659216383472E-13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370.04285308422544</v>
      </c>
      <c r="AO160" s="62">
        <f t="shared" si="144"/>
        <v>218.53758068502731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0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projet'!$B$11,Paramètres!$A$1:$I$88,3,0)*VLOOKUP('Données projet'!$B$11,Paramètres!$A$1:$I$88,5,0)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215.43249078216331</v>
      </c>
      <c r="BJ160" s="62">
        <f t="shared" si="146"/>
        <v>363.02009369315232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1.6574439543434829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1.7275023671386662E-18</v>
      </c>
      <c r="BS160" s="24">
        <f t="shared" si="169"/>
        <v>1.6574439543434829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-5.1159076974727213E-13</v>
      </c>
      <c r="O161" s="14">
        <f>N161*VLOOKUP('Données projet'!$B$9,Paramètres!$A$1:$I$88,3,0)*VLOOKUP('Données projet'!$B$9,Paramètres!$A$1:$I$88,5,0)</f>
        <v>-4.6288732846733184E-13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430.21146937947236</v>
      </c>
      <c r="T161" s="62">
        <f t="shared" si="142"/>
        <v>231.36959598460686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-1.7053025658242404E-13</v>
      </c>
      <c r="AJ161" s="14">
        <f>AI161*VLOOKUP('Données projet'!$B$10,Paramètres!$A$1:$I$88,3,0)*VLOOKUP('Données projet'!$B$10,Paramètres!$A$1:$I$88,5,0)</f>
        <v>-1.6227659216383472E-13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370.04285308422544</v>
      </c>
      <c r="AO161" s="62">
        <f t="shared" si="144"/>
        <v>218.53758068502731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0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projet'!$B$11,Paramètres!$A$1:$I$88,3,0)*VLOOKUP('Données projet'!$B$11,Paramètres!$A$1:$I$88,5,0)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215.43249078216331</v>
      </c>
      <c r="BJ161" s="62">
        <f t="shared" si="146"/>
        <v>363.02009369315232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1.6249424893397972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1.2215286383195638E-18</v>
      </c>
      <c r="BS161" s="24">
        <f t="shared" si="169"/>
        <v>1.6249424893397972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-5.1159076974727213E-13</v>
      </c>
      <c r="O162" s="14">
        <f>N162*VLOOKUP('Données projet'!$B$9,Paramètres!$A$1:$I$88,3,0)*VLOOKUP('Données projet'!$B$9,Paramètres!$A$1:$I$88,5,0)</f>
        <v>-4.6288732846733184E-13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430.21146937947236</v>
      </c>
      <c r="T162" s="62">
        <f t="shared" si="142"/>
        <v>231.36959598460686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-1.7053025658242404E-13</v>
      </c>
      <c r="AJ162" s="14">
        <f>AI162*VLOOKUP('Données projet'!$B$10,Paramètres!$A$1:$I$88,3,0)*VLOOKUP('Données projet'!$B$10,Paramètres!$A$1:$I$88,5,0)</f>
        <v>-1.6227659216383472E-13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370.04285308422544</v>
      </c>
      <c r="AO162" s="62">
        <f t="shared" si="144"/>
        <v>218.53758068502731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0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projet'!$B$11,Paramètres!$A$1:$I$88,3,0)*VLOOKUP('Données projet'!$B$11,Paramètres!$A$1:$I$88,5,0)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215.43249078216331</v>
      </c>
      <c r="BJ162" s="62">
        <f t="shared" si="146"/>
        <v>363.02009369315232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1.5930783582408976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8.637511835693332E-19</v>
      </c>
      <c r="BS162" s="24">
        <f t="shared" si="169"/>
        <v>1.5930783582408976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-5.1159076974727213E-13</v>
      </c>
      <c r="O163" s="14">
        <f>N163*VLOOKUP('Données projet'!$B$9,Paramètres!$A$1:$I$88,3,0)*VLOOKUP('Données projet'!$B$9,Paramètres!$A$1:$I$88,5,0)</f>
        <v>-4.6288732846733184E-13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430.21146937947236</v>
      </c>
      <c r="T163" s="62">
        <f t="shared" si="142"/>
        <v>231.36959598460686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-1.7053025658242404E-13</v>
      </c>
      <c r="AJ163" s="14">
        <f>AI163*VLOOKUP('Données projet'!$B$10,Paramètres!$A$1:$I$88,3,0)*VLOOKUP('Données projet'!$B$10,Paramètres!$A$1:$I$88,5,0)</f>
        <v>-1.6227659216383472E-13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370.04285308422544</v>
      </c>
      <c r="AO163" s="62">
        <f t="shared" si="144"/>
        <v>218.53758068502731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0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projet'!$B$11,Paramètres!$A$1:$I$88,3,0)*VLOOKUP('Données projet'!$B$11,Paramètres!$A$1:$I$88,5,0)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215.43249078216331</v>
      </c>
      <c r="BJ163" s="62">
        <f t="shared" si="146"/>
        <v>363.02009369315232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1.5618390633176464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6.1076431915978202E-19</v>
      </c>
      <c r="BS163" s="24">
        <f t="shared" si="169"/>
        <v>1.5618390633176464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-5.1159076974727213E-13</v>
      </c>
      <c r="O164" s="14">
        <f>N164*VLOOKUP('Données projet'!$B$9,Paramètres!$A$1:$I$88,3,0)*VLOOKUP('Données projet'!$B$9,Paramètres!$A$1:$I$88,5,0)</f>
        <v>-4.6288732846733184E-13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430.21146937947236</v>
      </c>
      <c r="T164" s="62">
        <f t="shared" si="142"/>
        <v>231.36959598460686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-1.7053025658242404E-13</v>
      </c>
      <c r="AJ164" s="14">
        <f>AI164*VLOOKUP('Données projet'!$B$10,Paramètres!$A$1:$I$88,3,0)*VLOOKUP('Données projet'!$B$10,Paramètres!$A$1:$I$88,5,0)</f>
        <v>-1.6227659216383472E-13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370.04285308422544</v>
      </c>
      <c r="AO164" s="62">
        <f t="shared" si="144"/>
        <v>218.53758068502731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0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projet'!$B$11,Paramètres!$A$1:$I$88,3,0)*VLOOKUP('Données projet'!$B$11,Paramètres!$A$1:$I$88,5,0)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215.43249078216331</v>
      </c>
      <c r="BJ164" s="62">
        <f t="shared" si="146"/>
        <v>363.02009369315232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1.5312123519137519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4.318755917846667E-19</v>
      </c>
      <c r="BS164" s="24">
        <f t="shared" si="169"/>
        <v>1.5312123519137519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-5.1159076974727213E-13</v>
      </c>
      <c r="O165" s="14">
        <f>N165*VLOOKUP('Données projet'!$B$9,Paramètres!$A$1:$I$88,3,0)*VLOOKUP('Données projet'!$B$9,Paramètres!$A$1:$I$88,5,0)</f>
        <v>-4.6288732846733184E-13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430.21146937947236</v>
      </c>
      <c r="T165" s="62">
        <f t="shared" si="142"/>
        <v>231.36959598460686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-1.7053025658242404E-13</v>
      </c>
      <c r="AJ165" s="14">
        <f>AI165*VLOOKUP('Données projet'!$B$10,Paramètres!$A$1:$I$88,3,0)*VLOOKUP('Données projet'!$B$10,Paramètres!$A$1:$I$88,5,0)</f>
        <v>-1.6227659216383472E-13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370.04285308422544</v>
      </c>
      <c r="AO165" s="62">
        <f t="shared" si="144"/>
        <v>218.53758068502731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0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projet'!$B$11,Paramètres!$A$1:$I$88,3,0)*VLOOKUP('Données projet'!$B$11,Paramètres!$A$1:$I$88,5,0)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215.43249078216331</v>
      </c>
      <c r="BJ165" s="62">
        <f t="shared" si="146"/>
        <v>363.02009369315232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1.5011862116400383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3.0538215957989106E-19</v>
      </c>
      <c r="BS165" s="24">
        <f t="shared" si="169"/>
        <v>1.5011862116400383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-5.1159076974727213E-13</v>
      </c>
      <c r="O166" s="14">
        <f>N166*VLOOKUP('Données projet'!$B$9,Paramètres!$A$1:$I$88,3,0)*VLOOKUP('Données projet'!$B$9,Paramètres!$A$1:$I$88,5,0)</f>
        <v>-4.6288732846733184E-13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430.21146937947236</v>
      </c>
      <c r="T166" s="62">
        <f t="shared" si="142"/>
        <v>231.36959598460686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-1.7053025658242404E-13</v>
      </c>
      <c r="AJ166" s="14">
        <f>AI166*VLOOKUP('Données projet'!$B$10,Paramètres!$A$1:$I$88,3,0)*VLOOKUP('Données projet'!$B$10,Paramètres!$A$1:$I$88,5,0)</f>
        <v>-1.6227659216383472E-13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370.04285308422544</v>
      </c>
      <c r="AO166" s="62">
        <f t="shared" si="144"/>
        <v>218.53758068502731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0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projet'!$B$11,Paramètres!$A$1:$I$88,3,0)*VLOOKUP('Données projet'!$B$11,Paramètres!$A$1:$I$88,5,0)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215.43249078216331</v>
      </c>
      <c r="BJ166" s="62">
        <f t="shared" si="146"/>
        <v>363.02009369315232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1.4717488656629549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2.1593779589233337E-19</v>
      </c>
      <c r="BS166" s="24">
        <f t="shared" si="169"/>
        <v>1.4717488656629549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-5.1159076974727213E-13</v>
      </c>
      <c r="O167" s="14">
        <f>N167*VLOOKUP('Données projet'!$B$9,Paramètres!$A$1:$I$88,3,0)*VLOOKUP('Données projet'!$B$9,Paramètres!$A$1:$I$88,5,0)</f>
        <v>-4.6288732846733184E-13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430.21146937947236</v>
      </c>
      <c r="T167" s="62">
        <f t="shared" si="142"/>
        <v>231.36959598460686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-1.7053025658242404E-13</v>
      </c>
      <c r="AJ167" s="14">
        <f>AI167*VLOOKUP('Données projet'!$B$10,Paramètres!$A$1:$I$88,3,0)*VLOOKUP('Données projet'!$B$10,Paramètres!$A$1:$I$88,5,0)</f>
        <v>-1.6227659216383472E-13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370.04285308422544</v>
      </c>
      <c r="AO167" s="62">
        <f t="shared" si="144"/>
        <v>218.53758068502731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0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projet'!$B$11,Paramètres!$A$1:$I$88,3,0)*VLOOKUP('Données projet'!$B$11,Paramètres!$A$1:$I$88,5,0)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215.43249078216331</v>
      </c>
      <c r="BJ167" s="62">
        <f t="shared" si="146"/>
        <v>363.02009369315232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1.4428887680854741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1.5269107978994555E-19</v>
      </c>
      <c r="BS167" s="24">
        <f t="shared" si="169"/>
        <v>1.4428887680854741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-5.1159076974727213E-13</v>
      </c>
      <c r="O168" s="14">
        <f>N168*VLOOKUP('Données projet'!$B$9,Paramètres!$A$1:$I$88,3,0)*VLOOKUP('Données projet'!$B$9,Paramètres!$A$1:$I$88,5,0)</f>
        <v>-4.6288732846733184E-13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430.21146937947236</v>
      </c>
      <c r="T168" s="62">
        <f t="shared" si="142"/>
        <v>231.36959598460686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-1.7053025658242404E-13</v>
      </c>
      <c r="AJ168" s="14">
        <f>AI168*VLOOKUP('Données projet'!$B$10,Paramètres!$A$1:$I$88,3,0)*VLOOKUP('Données projet'!$B$10,Paramètres!$A$1:$I$88,5,0)</f>
        <v>-1.6227659216383472E-13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370.04285308422544</v>
      </c>
      <c r="AO168" s="62">
        <f t="shared" si="144"/>
        <v>218.53758068502731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0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projet'!$B$11,Paramètres!$A$1:$I$88,3,0)*VLOOKUP('Données projet'!$B$11,Paramètres!$A$1:$I$88,5,0)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215.43249078216331</v>
      </c>
      <c r="BJ168" s="62">
        <f t="shared" si="146"/>
        <v>363.02009369315232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1.4145945994185662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1.0796889794616671E-19</v>
      </c>
      <c r="BS168" s="24">
        <f t="shared" si="169"/>
        <v>1.4145945994185662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-5.1159076974727213E-13</v>
      </c>
      <c r="O169" s="14">
        <f>N169*VLOOKUP('Données projet'!$B$9,Paramètres!$A$1:$I$88,3,0)*VLOOKUP('Données projet'!$B$9,Paramètres!$A$1:$I$88,5,0)</f>
        <v>-4.6288732846733184E-13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430.21146937947236</v>
      </c>
      <c r="T169" s="62">
        <f t="shared" si="142"/>
        <v>231.36959598460686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-1.7053025658242404E-13</v>
      </c>
      <c r="AJ169" s="14">
        <f>AI169*VLOOKUP('Données projet'!$B$10,Paramètres!$A$1:$I$88,3,0)*VLOOKUP('Données projet'!$B$10,Paramètres!$A$1:$I$88,5,0)</f>
        <v>-1.6227659216383472E-13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370.04285308422544</v>
      </c>
      <c r="AO169" s="62">
        <f t="shared" si="144"/>
        <v>218.53758068502731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0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projet'!$B$11,Paramètres!$A$1:$I$88,3,0)*VLOOKUP('Données projet'!$B$11,Paramètres!$A$1:$I$88,5,0)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215.43249078216331</v>
      </c>
      <c r="BJ169" s="62">
        <f t="shared" si="146"/>
        <v>363.02009369315232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1.3868552621414776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7.6345539894972788E-20</v>
      </c>
      <c r="BS169" s="24">
        <f t="shared" si="169"/>
        <v>1.3868552621414776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-5.1159076974727213E-13</v>
      </c>
      <c r="O170" s="14">
        <f>N170*VLOOKUP('Données projet'!$B$9,Paramètres!$A$1:$I$88,3,0)*VLOOKUP('Données projet'!$B$9,Paramètres!$A$1:$I$88,5,0)</f>
        <v>-4.6288732846733184E-13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430.21146937947236</v>
      </c>
      <c r="T170" s="62">
        <f t="shared" si="142"/>
        <v>231.36959598460686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-1.7053025658242404E-13</v>
      </c>
      <c r="AJ170" s="14">
        <f>AI170*VLOOKUP('Données projet'!$B$10,Paramètres!$A$1:$I$88,3,0)*VLOOKUP('Données projet'!$B$10,Paramètres!$A$1:$I$88,5,0)</f>
        <v>-1.6227659216383472E-13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370.04285308422544</v>
      </c>
      <c r="AO170" s="62">
        <f t="shared" si="144"/>
        <v>218.53758068502731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0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projet'!$B$11,Paramètres!$A$1:$I$88,3,0)*VLOOKUP('Données projet'!$B$11,Paramètres!$A$1:$I$88,5,0)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215.43249078216331</v>
      </c>
      <c r="BJ170" s="62">
        <f t="shared" si="146"/>
        <v>363.02009369315232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1.3596598763490677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5.3984448973083361E-20</v>
      </c>
      <c r="BS170" s="24">
        <f t="shared" si="169"/>
        <v>1.3596598763490677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-5.1159076974727213E-13</v>
      </c>
      <c r="O171" s="14">
        <f>N171*VLOOKUP('Données projet'!$B$9,Paramètres!$A$1:$I$88,3,0)*VLOOKUP('Données projet'!$B$9,Paramètres!$A$1:$I$88,5,0)</f>
        <v>-4.6288732846733184E-13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430.21146937947236</v>
      </c>
      <c r="T171" s="62">
        <f t="shared" si="142"/>
        <v>231.36959598460686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-1.7053025658242404E-13</v>
      </c>
      <c r="AJ171" s="14">
        <f>AI171*VLOOKUP('Données projet'!$B$10,Paramètres!$A$1:$I$88,3,0)*VLOOKUP('Données projet'!$B$10,Paramètres!$A$1:$I$88,5,0)</f>
        <v>-1.6227659216383472E-13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370.04285308422544</v>
      </c>
      <c r="AO171" s="62">
        <f t="shared" si="144"/>
        <v>218.53758068502731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0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projet'!$B$11,Paramètres!$A$1:$I$88,3,0)*VLOOKUP('Données projet'!$B$11,Paramètres!$A$1:$I$88,5,0)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215.43249078216331</v>
      </c>
      <c r="BJ171" s="62">
        <f t="shared" si="146"/>
        <v>363.02009369315232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1.3329977754844995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3.81727699474864E-20</v>
      </c>
      <c r="BS171" s="24">
        <f t="shared" si="169"/>
        <v>1.3329977754844995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-5.1159076974727213E-13</v>
      </c>
      <c r="O172" s="14">
        <f>N172*VLOOKUP('Données projet'!$B$9,Paramètres!$A$1:$I$88,3,0)*VLOOKUP('Données projet'!$B$9,Paramètres!$A$1:$I$88,5,0)</f>
        <v>-4.6288732846733184E-13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430.21146937947236</v>
      </c>
      <c r="T172" s="62">
        <f t="shared" si="142"/>
        <v>231.36959598460686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-1.7053025658242404E-13</v>
      </c>
      <c r="AJ172" s="14">
        <f>AI172*VLOOKUP('Données projet'!$B$10,Paramètres!$A$1:$I$88,3,0)*VLOOKUP('Données projet'!$B$10,Paramètres!$A$1:$I$88,5,0)</f>
        <v>-1.6227659216383472E-13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370.04285308422544</v>
      </c>
      <c r="AO172" s="62">
        <f t="shared" si="144"/>
        <v>218.53758068502731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0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projet'!$B$11,Paramètres!$A$1:$I$88,3,0)*VLOOKUP('Données projet'!$B$11,Paramètres!$A$1:$I$88,5,0)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215.43249078216331</v>
      </c>
      <c r="BJ172" s="62">
        <f t="shared" si="146"/>
        <v>363.02009369315232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1.3068585021556096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2.6992224486541684E-20</v>
      </c>
      <c r="BS172" s="24">
        <f t="shared" si="169"/>
        <v>1.3068585021556096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-5.1159076974727213E-13</v>
      </c>
      <c r="O173" s="14">
        <f>N173*VLOOKUP('Données projet'!$B$9,Paramètres!$A$1:$I$88,3,0)*VLOOKUP('Données projet'!$B$9,Paramètres!$A$1:$I$88,5,0)</f>
        <v>-4.6288732846733184E-13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430.21146937947236</v>
      </c>
      <c r="T173" s="62">
        <f t="shared" si="142"/>
        <v>231.36959598460686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-1.7053025658242404E-13</v>
      </c>
      <c r="AJ173" s="14">
        <f>AI173*VLOOKUP('Données projet'!$B$10,Paramètres!$A$1:$I$88,3,0)*VLOOKUP('Données projet'!$B$10,Paramètres!$A$1:$I$88,5,0)</f>
        <v>-1.6227659216383472E-13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370.04285308422544</v>
      </c>
      <c r="AO173" s="62">
        <f t="shared" si="144"/>
        <v>218.53758068502731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0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projet'!$B$11,Paramètres!$A$1:$I$88,3,0)*VLOOKUP('Données projet'!$B$11,Paramètres!$A$1:$I$88,5,0)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215.43249078216331</v>
      </c>
      <c r="BJ173" s="62">
        <f t="shared" si="146"/>
        <v>363.02009369315232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1.2812318040333168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1.9086384973743203E-20</v>
      </c>
      <c r="BS173" s="24">
        <f t="shared" si="169"/>
        <v>1.2812318040333168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-5.1159076974727213E-13</v>
      </c>
      <c r="O174" s="14">
        <f>N174*VLOOKUP('Données projet'!$B$9,Paramètres!$A$1:$I$88,3,0)*VLOOKUP('Données projet'!$B$9,Paramètres!$A$1:$I$88,5,0)</f>
        <v>-4.6288732846733184E-13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430.21146937947236</v>
      </c>
      <c r="T174" s="62">
        <f t="shared" si="142"/>
        <v>231.36959598460686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-1.7053025658242404E-13</v>
      </c>
      <c r="AJ174" s="14">
        <f>AI174*VLOOKUP('Données projet'!$B$10,Paramètres!$A$1:$I$88,3,0)*VLOOKUP('Données projet'!$B$10,Paramètres!$A$1:$I$88,5,0)</f>
        <v>-1.6227659216383472E-13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370.04285308422544</v>
      </c>
      <c r="AO174" s="62">
        <f t="shared" si="144"/>
        <v>218.53758068502731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0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projet'!$B$11,Paramètres!$A$1:$I$88,3,0)*VLOOKUP('Données projet'!$B$11,Paramètres!$A$1:$I$88,5,0)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215.43249078216331</v>
      </c>
      <c r="BJ174" s="62">
        <f t="shared" si="146"/>
        <v>363.02009369315232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1.2561076298304599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1.3496112243270845E-20</v>
      </c>
      <c r="BS174" s="24">
        <f t="shared" si="169"/>
        <v>1.2561076298304599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-5.1159076974727213E-13</v>
      </c>
      <c r="O175" s="14">
        <f>N175*VLOOKUP('Données projet'!$B$9,Paramètres!$A$1:$I$88,3,0)*VLOOKUP('Données projet'!$B$9,Paramètres!$A$1:$I$88,5,0)</f>
        <v>-4.6288732846733184E-13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430.21146937947236</v>
      </c>
      <c r="T175" s="62">
        <f t="shared" si="142"/>
        <v>231.36959598460686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-1.7053025658242404E-13</v>
      </c>
      <c r="AJ175" s="14">
        <f>AI175*VLOOKUP('Données projet'!$B$10,Paramètres!$A$1:$I$88,3,0)*VLOOKUP('Données projet'!$B$10,Paramètres!$A$1:$I$88,5,0)</f>
        <v>-1.6227659216383472E-13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370.04285308422544</v>
      </c>
      <c r="AO175" s="62">
        <f t="shared" si="144"/>
        <v>218.53758068502731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0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projet'!$B$11,Paramètres!$A$1:$I$88,3,0)*VLOOKUP('Données projet'!$B$11,Paramètres!$A$1:$I$88,5,0)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215.43249078216331</v>
      </c>
      <c r="BJ175" s="62">
        <f t="shared" si="146"/>
        <v>363.02009369315232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1.2314761253594877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9.543192486871603E-21</v>
      </c>
      <c r="BS175" s="24">
        <f t="shared" si="169"/>
        <v>1.2314761253594877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-5.1159076974727213E-13</v>
      </c>
      <c r="O176" s="14">
        <f>N176*VLOOKUP('Données projet'!$B$9,Paramètres!$A$1:$I$88,3,0)*VLOOKUP('Données projet'!$B$9,Paramètres!$A$1:$I$88,5,0)</f>
        <v>-4.6288732846733184E-13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430.21146937947236</v>
      </c>
      <c r="T176" s="62">
        <f t="shared" si="142"/>
        <v>231.36959598460686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-1.7053025658242404E-13</v>
      </c>
      <c r="AJ176" s="14">
        <f>AI176*VLOOKUP('Données projet'!$B$10,Paramètres!$A$1:$I$88,3,0)*VLOOKUP('Données projet'!$B$10,Paramètres!$A$1:$I$88,5,0)</f>
        <v>-1.6227659216383472E-13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370.04285308422544</v>
      </c>
      <c r="AO176" s="62">
        <f t="shared" si="144"/>
        <v>218.53758068502731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0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projet'!$B$11,Paramètres!$A$1:$I$88,3,0)*VLOOKUP('Données projet'!$B$11,Paramètres!$A$1:$I$88,5,0)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215.43249078216331</v>
      </c>
      <c r="BJ176" s="62">
        <f t="shared" si="146"/>
        <v>363.02009369315232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1.2073276296674571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6.7480561216354232E-21</v>
      </c>
      <c r="BS176" s="24">
        <f t="shared" si="169"/>
        <v>1.2073276296674571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-5.1159076974727213E-13</v>
      </c>
      <c r="O177" s="14">
        <f>N177*VLOOKUP('Données projet'!$B$9,Paramètres!$A$1:$I$88,3,0)*VLOOKUP('Données projet'!$B$9,Paramètres!$A$1:$I$88,5,0)</f>
        <v>-4.6288732846733184E-13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430.21146937947236</v>
      </c>
      <c r="T177" s="62">
        <f t="shared" si="142"/>
        <v>231.36959598460686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-1.7053025658242404E-13</v>
      </c>
      <c r="AJ177" s="14">
        <f>AI177*VLOOKUP('Données projet'!$B$10,Paramètres!$A$1:$I$88,3,0)*VLOOKUP('Données projet'!$B$10,Paramètres!$A$1:$I$88,5,0)</f>
        <v>-1.6227659216383472E-13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370.04285308422544</v>
      </c>
      <c r="AO177" s="62">
        <f t="shared" si="144"/>
        <v>218.53758068502731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0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projet'!$B$11,Paramètres!$A$1:$I$88,3,0)*VLOOKUP('Données projet'!$B$11,Paramètres!$A$1:$I$88,5,0)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215.43249078216331</v>
      </c>
      <c r="BJ177" s="62">
        <f t="shared" si="146"/>
        <v>363.02009369315232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1.1836526712468192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4.7715962434358023E-21</v>
      </c>
      <c r="BS177" s="24">
        <f t="shared" si="169"/>
        <v>1.1836526712468192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-5.1159076974727213E-13</v>
      </c>
      <c r="O178" s="14">
        <f>N178*VLOOKUP('Données projet'!$B$9,Paramètres!$A$1:$I$88,3,0)*VLOOKUP('Données projet'!$B$9,Paramètres!$A$1:$I$88,5,0)</f>
        <v>-4.6288732846733184E-13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430.21146937947236</v>
      </c>
      <c r="T178" s="62">
        <f t="shared" si="142"/>
        <v>231.36959598460686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-1.7053025658242404E-13</v>
      </c>
      <c r="AJ178" s="14">
        <f>AI178*VLOOKUP('Données projet'!$B$10,Paramètres!$A$1:$I$88,3,0)*VLOOKUP('Données projet'!$B$10,Paramètres!$A$1:$I$88,5,0)</f>
        <v>-1.6227659216383472E-13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370.04285308422544</v>
      </c>
      <c r="AO178" s="62">
        <f t="shared" si="144"/>
        <v>218.53758068502731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0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projet'!$B$11,Paramètres!$A$1:$I$88,3,0)*VLOOKUP('Données projet'!$B$11,Paramètres!$A$1:$I$88,5,0)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215.43249078216331</v>
      </c>
      <c r="BJ178" s="62">
        <f t="shared" si="146"/>
        <v>363.02009369315232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1.1604419643205113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3.3740280608177123E-21</v>
      </c>
      <c r="BS178" s="24">
        <f t="shared" si="169"/>
        <v>1.1604419643205113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-5.1159076974727213E-13</v>
      </c>
      <c r="O179" s="14">
        <f>N179*VLOOKUP('Données projet'!$B$9,Paramètres!$A$1:$I$88,3,0)*VLOOKUP('Données projet'!$B$9,Paramètres!$A$1:$I$88,5,0)</f>
        <v>-4.6288732846733184E-13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430.21146937947236</v>
      </c>
      <c r="T179" s="62">
        <f t="shared" si="142"/>
        <v>231.36959598460686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-1.7053025658242404E-13</v>
      </c>
      <c r="AJ179" s="14">
        <f>AI179*VLOOKUP('Données projet'!$B$10,Paramètres!$A$1:$I$88,3,0)*VLOOKUP('Données projet'!$B$10,Paramètres!$A$1:$I$88,5,0)</f>
        <v>-1.6227659216383472E-13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370.04285308422544</v>
      </c>
      <c r="AO179" s="62">
        <f t="shared" si="144"/>
        <v>218.53758068502731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0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projet'!$B$11,Paramètres!$A$1:$I$88,3,0)*VLOOKUP('Données projet'!$B$11,Paramètres!$A$1:$I$88,5,0)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215.43249078216331</v>
      </c>
      <c r="BJ179" s="62">
        <f t="shared" si="146"/>
        <v>363.02009369315232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1.1376864051998949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2.3857981217179015E-21</v>
      </c>
      <c r="BS179" s="24">
        <f t="shared" si="169"/>
        <v>1.1376864051998949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-5.1159076974727213E-13</v>
      </c>
      <c r="O180" s="14">
        <f>N180*VLOOKUP('Données projet'!$B$9,Paramètres!$A$1:$I$88,3,0)*VLOOKUP('Données projet'!$B$9,Paramètres!$A$1:$I$88,5,0)</f>
        <v>-4.6288732846733184E-13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430.21146937947236</v>
      </c>
      <c r="T180" s="62">
        <f t="shared" si="142"/>
        <v>231.36959598460686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-1.7053025658242404E-13</v>
      </c>
      <c r="AJ180" s="14">
        <f>AI180*VLOOKUP('Données projet'!$B$10,Paramètres!$A$1:$I$88,3,0)*VLOOKUP('Données projet'!$B$10,Paramètres!$A$1:$I$88,5,0)</f>
        <v>-1.6227659216383472E-13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370.04285308422544</v>
      </c>
      <c r="AO180" s="62">
        <f t="shared" si="144"/>
        <v>218.53758068502731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0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projet'!$B$11,Paramètres!$A$1:$I$88,3,0)*VLOOKUP('Données projet'!$B$11,Paramètres!$A$1:$I$88,5,0)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215.43249078216331</v>
      </c>
      <c r="BJ180" s="62">
        <f t="shared" si="146"/>
        <v>363.02009369315232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1.1153770687141134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1.6870140304088564E-21</v>
      </c>
      <c r="BS180" s="24">
        <f t="shared" si="169"/>
        <v>1.1153770687141134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-5.1159076974727213E-13</v>
      </c>
      <c r="O181" s="14">
        <f>N181*VLOOKUP('Données projet'!$B$9,Paramètres!$A$1:$I$88,3,0)*VLOOKUP('Données projet'!$B$9,Paramètres!$A$1:$I$88,5,0)</f>
        <v>-4.6288732846733184E-13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430.21146937947236</v>
      </c>
      <c r="T181" s="62">
        <f t="shared" si="142"/>
        <v>231.36959598460686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-1.7053025658242404E-13</v>
      </c>
      <c r="AJ181" s="14">
        <f>AI181*VLOOKUP('Données projet'!$B$10,Paramètres!$A$1:$I$88,3,0)*VLOOKUP('Données projet'!$B$10,Paramètres!$A$1:$I$88,5,0)</f>
        <v>-1.6227659216383472E-13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370.04285308422544</v>
      </c>
      <c r="AO181" s="62">
        <f t="shared" si="144"/>
        <v>218.53758068502731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0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projet'!$B$11,Paramètres!$A$1:$I$88,3,0)*VLOOKUP('Données projet'!$B$11,Paramètres!$A$1:$I$88,5,0)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215.43249078216331</v>
      </c>
      <c r="BJ181" s="62">
        <f t="shared" si="146"/>
        <v>363.02009369315232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1.0935052047094662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1.1928990608589509E-21</v>
      </c>
      <c r="BS181" s="24">
        <f t="shared" si="169"/>
        <v>1.0935052047094662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-5.1159076974727213E-13</v>
      </c>
      <c r="O182" s="14">
        <f>N182*VLOOKUP('Données projet'!$B$9,Paramètres!$A$1:$I$88,3,0)*VLOOKUP('Données projet'!$B$9,Paramètres!$A$1:$I$88,5,0)</f>
        <v>-4.6288732846733184E-13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430.21146937947236</v>
      </c>
      <c r="T182" s="62">
        <f t="shared" si="142"/>
        <v>231.36959598460686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-1.7053025658242404E-13</v>
      </c>
      <c r="AJ182" s="14">
        <f>AI182*VLOOKUP('Données projet'!$B$10,Paramètres!$A$1:$I$88,3,0)*VLOOKUP('Données projet'!$B$10,Paramètres!$A$1:$I$88,5,0)</f>
        <v>-1.6227659216383472E-13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370.04285308422544</v>
      </c>
      <c r="AO182" s="62">
        <f t="shared" si="144"/>
        <v>218.53758068502731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0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projet'!$B$11,Paramètres!$A$1:$I$88,3,0)*VLOOKUP('Données projet'!$B$11,Paramètres!$A$1:$I$88,5,0)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215.43249078216331</v>
      </c>
      <c r="BJ182" s="62">
        <f t="shared" si="146"/>
        <v>363.02009369315232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1.0720622346174304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8.4350701520442836E-22</v>
      </c>
      <c r="BS182" s="24">
        <f t="shared" si="169"/>
        <v>1.0720622346174304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-5.1159076974727213E-13</v>
      </c>
      <c r="O183" s="14">
        <f>N183*VLOOKUP('Données projet'!$B$9,Paramètres!$A$1:$I$88,3,0)*VLOOKUP('Données projet'!$B$9,Paramètres!$A$1:$I$88,5,0)</f>
        <v>-4.6288732846733184E-13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430.21146937947236</v>
      </c>
      <c r="T183" s="62">
        <f t="shared" si="142"/>
        <v>231.36959598460686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-1.7053025658242404E-13</v>
      </c>
      <c r="AJ183" s="14">
        <f>AI183*VLOOKUP('Données projet'!$B$10,Paramètres!$A$1:$I$88,3,0)*VLOOKUP('Données projet'!$B$10,Paramètres!$A$1:$I$88,5,0)</f>
        <v>-1.6227659216383472E-13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370.04285308422544</v>
      </c>
      <c r="AO183" s="62">
        <f t="shared" si="144"/>
        <v>218.53758068502731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0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projet'!$B$11,Paramètres!$A$1:$I$88,3,0)*VLOOKUP('Données projet'!$B$11,Paramètres!$A$1:$I$88,5,0)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215.43249078216331</v>
      </c>
      <c r="BJ183" s="62">
        <f t="shared" si="146"/>
        <v>363.02009369315232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1.0510397480899791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5.9644953042947557E-22</v>
      </c>
      <c r="BS183" s="24">
        <f t="shared" si="169"/>
        <v>1.0510397480899791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-5.1159076974727213E-13</v>
      </c>
      <c r="O184" s="14">
        <f>N184*VLOOKUP('Données projet'!$B$9,Paramètres!$A$1:$I$88,3,0)*VLOOKUP('Données projet'!$B$9,Paramètres!$A$1:$I$88,5,0)</f>
        <v>-4.6288732846733184E-13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430.21146937947236</v>
      </c>
      <c r="T184" s="62">
        <f t="shared" si="142"/>
        <v>231.36959598460686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-1.7053025658242404E-13</v>
      </c>
      <c r="AJ184" s="14">
        <f>AI184*VLOOKUP('Données projet'!$B$10,Paramètres!$A$1:$I$88,3,0)*VLOOKUP('Données projet'!$B$10,Paramètres!$A$1:$I$88,5,0)</f>
        <v>-1.6227659216383472E-13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370.04285308422544</v>
      </c>
      <c r="AO184" s="62">
        <f t="shared" si="144"/>
        <v>218.53758068502731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0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projet'!$B$11,Paramètres!$A$1:$I$88,3,0)*VLOOKUP('Données projet'!$B$11,Paramètres!$A$1:$I$88,5,0)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215.43249078216331</v>
      </c>
      <c r="BJ184" s="62">
        <f t="shared" si="146"/>
        <v>363.02009369315232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1.0304294997008805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4.2175350760221423E-22</v>
      </c>
      <c r="BS184" s="24">
        <f t="shared" si="169"/>
        <v>1.0304294997008805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-5.1159076974727213E-13</v>
      </c>
      <c r="O185" s="14">
        <f>N185*VLOOKUP('Données projet'!$B$9,Paramètres!$A$1:$I$88,3,0)*VLOOKUP('Données projet'!$B$9,Paramètres!$A$1:$I$88,5,0)</f>
        <v>-4.6288732846733184E-13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430.21146937947236</v>
      </c>
      <c r="T185" s="62">
        <f t="shared" si="142"/>
        <v>231.36959598460686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-1.7053025658242404E-13</v>
      </c>
      <c r="AJ185" s="14">
        <f>AI185*VLOOKUP('Données projet'!$B$10,Paramètres!$A$1:$I$88,3,0)*VLOOKUP('Données projet'!$B$10,Paramètres!$A$1:$I$88,5,0)</f>
        <v>-1.6227659216383472E-13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370.04285308422544</v>
      </c>
      <c r="AO185" s="62">
        <f t="shared" si="144"/>
        <v>218.53758068502731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0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projet'!$B$11,Paramètres!$A$1:$I$88,3,0)*VLOOKUP('Données projet'!$B$11,Paramètres!$A$1:$I$88,5,0)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215.43249078216331</v>
      </c>
      <c r="BJ185" s="62">
        <f t="shared" si="146"/>
        <v>363.02009369315232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1.0102234057116819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2.9822476521473783E-22</v>
      </c>
      <c r="BS185" s="24">
        <f t="shared" si="169"/>
        <v>1.0102234057116819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-5.1159076974727213E-13</v>
      </c>
      <c r="O186" s="14">
        <f>N186*VLOOKUP('Données projet'!$B$9,Paramètres!$A$1:$I$88,3,0)*VLOOKUP('Données projet'!$B$9,Paramètres!$A$1:$I$88,5,0)</f>
        <v>-4.6288732846733184E-13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430.21146937947236</v>
      </c>
      <c r="T186" s="62">
        <f t="shared" si="142"/>
        <v>231.36959598460686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-1.7053025658242404E-13</v>
      </c>
      <c r="AJ186" s="14">
        <f>AI186*VLOOKUP('Données projet'!$B$10,Paramètres!$A$1:$I$88,3,0)*VLOOKUP('Données projet'!$B$10,Paramètres!$A$1:$I$88,5,0)</f>
        <v>-1.6227659216383472E-13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370.04285308422544</v>
      </c>
      <c r="AO186" s="62">
        <f t="shared" si="144"/>
        <v>218.53758068502731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0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projet'!$B$11,Paramètres!$A$1:$I$88,3,0)*VLOOKUP('Données projet'!$B$11,Paramètres!$A$1:$I$88,5,0)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215.43249078216331</v>
      </c>
      <c r="BJ186" s="62">
        <f t="shared" si="146"/>
        <v>363.02009369315232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0.990413540901111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2.1087675380110714E-22</v>
      </c>
      <c r="BS186" s="24">
        <f t="shared" si="169"/>
        <v>0.990413540901111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-5.1159076974727213E-13</v>
      </c>
      <c r="O187" s="14">
        <f>N187*VLOOKUP('Données projet'!$B$9,Paramètres!$A$1:$I$88,3,0)*VLOOKUP('Données projet'!$B$9,Paramètres!$A$1:$I$88,5,0)</f>
        <v>-4.6288732846733184E-13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430.21146937947236</v>
      </c>
      <c r="T187" s="62">
        <f t="shared" si="142"/>
        <v>231.36959598460686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-1.7053025658242404E-13</v>
      </c>
      <c r="AJ187" s="14">
        <f>AI187*VLOOKUP('Données projet'!$B$10,Paramètres!$A$1:$I$88,3,0)*VLOOKUP('Données projet'!$B$10,Paramètres!$A$1:$I$88,5,0)</f>
        <v>-1.6227659216383472E-13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370.04285308422544</v>
      </c>
      <c r="AO187" s="62">
        <f t="shared" si="144"/>
        <v>218.53758068502731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0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projet'!$B$11,Paramètres!$A$1:$I$88,3,0)*VLOOKUP('Données projet'!$B$11,Paramètres!$A$1:$I$88,5,0)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215.43249078216331</v>
      </c>
      <c r="BJ187" s="62">
        <f t="shared" si="146"/>
        <v>363.02009369315232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0.97099213545665097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1.4911238260736894E-22</v>
      </c>
      <c r="BS187" s="24">
        <f t="shared" si="169"/>
        <v>0.97099213545665097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-5.1159076974727213E-13</v>
      </c>
      <c r="O188" s="14">
        <f>N188*VLOOKUP('Données projet'!$B$9,Paramètres!$A$1:$I$88,3,0)*VLOOKUP('Données projet'!$B$9,Paramètres!$A$1:$I$88,5,0)</f>
        <v>-4.6288732846733184E-13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430.21146937947236</v>
      </c>
      <c r="T188" s="62">
        <f t="shared" si="142"/>
        <v>231.36959598460686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-1.7053025658242404E-13</v>
      </c>
      <c r="AJ188" s="14">
        <f>AI188*VLOOKUP('Données projet'!$B$10,Paramètres!$A$1:$I$88,3,0)*VLOOKUP('Données projet'!$B$10,Paramètres!$A$1:$I$88,5,0)</f>
        <v>-1.6227659216383472E-13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370.04285308422544</v>
      </c>
      <c r="AO188" s="62">
        <f t="shared" si="144"/>
        <v>218.53758068502731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0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projet'!$B$11,Paramètres!$A$1:$I$88,3,0)*VLOOKUP('Données projet'!$B$11,Paramètres!$A$1:$I$88,5,0)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215.43249078216331</v>
      </c>
      <c r="BJ188" s="62">
        <f t="shared" si="146"/>
        <v>363.02009369315232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0.95195157192706914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1.0543837690055359E-22</v>
      </c>
      <c r="BS188" s="24">
        <f t="shared" si="169"/>
        <v>0.95195157192706914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-5.1159076974727213E-13</v>
      </c>
      <c r="O189" s="14">
        <f>N189*VLOOKUP('Données projet'!$B$9,Paramètres!$A$1:$I$88,3,0)*VLOOKUP('Données projet'!$B$9,Paramètres!$A$1:$I$88,5,0)</f>
        <v>-4.6288732846733184E-13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430.21146937947236</v>
      </c>
      <c r="T189" s="62">
        <f t="shared" si="142"/>
        <v>231.36959598460686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-1.7053025658242404E-13</v>
      </c>
      <c r="AJ189" s="14">
        <f>AI189*VLOOKUP('Données projet'!$B$10,Paramètres!$A$1:$I$88,3,0)*VLOOKUP('Données projet'!$B$10,Paramètres!$A$1:$I$88,5,0)</f>
        <v>-1.6227659216383472E-13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370.04285308422544</v>
      </c>
      <c r="AO189" s="62">
        <f t="shared" si="144"/>
        <v>218.53758068502731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0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projet'!$B$11,Paramètres!$A$1:$I$88,3,0)*VLOOKUP('Données projet'!$B$11,Paramètres!$A$1:$I$88,5,0)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215.43249078216331</v>
      </c>
      <c r="BJ189" s="62">
        <f t="shared" si="146"/>
        <v>363.02009369315232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0.93328438223470545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7.4556191303684481E-23</v>
      </c>
      <c r="BS189" s="24">
        <f t="shared" si="169"/>
        <v>0.93328438223470545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-5.1159076974727213E-13</v>
      </c>
      <c r="O190" s="14">
        <f>N190*VLOOKUP('Données projet'!$B$9,Paramètres!$A$1:$I$88,3,0)*VLOOKUP('Données projet'!$B$9,Paramètres!$A$1:$I$88,5,0)</f>
        <v>-4.6288732846733184E-13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430.21146937947236</v>
      </c>
      <c r="T190" s="62">
        <f t="shared" si="142"/>
        <v>231.36959598460686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-1.7053025658242404E-13</v>
      </c>
      <c r="AJ190" s="14">
        <f>AI190*VLOOKUP('Données projet'!$B$10,Paramètres!$A$1:$I$88,3,0)*VLOOKUP('Données projet'!$B$10,Paramètres!$A$1:$I$88,5,0)</f>
        <v>-1.6227659216383472E-13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370.04285308422544</v>
      </c>
      <c r="AO190" s="62">
        <f t="shared" si="144"/>
        <v>218.53758068502731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0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projet'!$B$11,Paramètres!$A$1:$I$88,3,0)*VLOOKUP('Données projet'!$B$11,Paramètres!$A$1:$I$88,5,0)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215.43249078216331</v>
      </c>
      <c r="BJ190" s="62">
        <f t="shared" si="146"/>
        <v>363.02009369315232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0.91498324474634751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5.2719188450276802E-23</v>
      </c>
      <c r="BS190" s="24">
        <f t="shared" si="169"/>
        <v>0.91498324474634751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-5.1159076974727213E-13</v>
      </c>
      <c r="O191" s="14">
        <f>N191*VLOOKUP('Données projet'!$B$9,Paramètres!$A$1:$I$88,3,0)*VLOOKUP('Données projet'!$B$9,Paramètres!$A$1:$I$88,5,0)</f>
        <v>-4.6288732846733184E-13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430.21146937947236</v>
      </c>
      <c r="T191" s="62">
        <f t="shared" si="142"/>
        <v>231.36959598460686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-1.7053025658242404E-13</v>
      </c>
      <c r="AJ191" s="14">
        <f>AI191*VLOOKUP('Données projet'!$B$10,Paramètres!$A$1:$I$88,3,0)*VLOOKUP('Données projet'!$B$10,Paramètres!$A$1:$I$88,5,0)</f>
        <v>-1.6227659216383472E-13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370.04285308422544</v>
      </c>
      <c r="AO191" s="62">
        <f t="shared" si="144"/>
        <v>218.53758068502731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0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projet'!$B$11,Paramètres!$A$1:$I$88,3,0)*VLOOKUP('Données projet'!$B$11,Paramètres!$A$1:$I$88,5,0)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215.43249078216331</v>
      </c>
      <c r="BJ191" s="62">
        <f t="shared" si="146"/>
        <v>363.02009369315232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0.89704098140154465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3.7278095651842246E-23</v>
      </c>
      <c r="BS191" s="24">
        <f t="shared" si="169"/>
        <v>0.89704098140154465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-5.1159076974727213E-13</v>
      </c>
      <c r="O192" s="14">
        <f>N192*VLOOKUP('Données projet'!$B$9,Paramètres!$A$1:$I$88,3,0)*VLOOKUP('Données projet'!$B$9,Paramètres!$A$1:$I$88,5,0)</f>
        <v>-4.6288732846733184E-13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430.21146937947236</v>
      </c>
      <c r="T192" s="62">
        <f t="shared" si="142"/>
        <v>231.36959598460686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-1.7053025658242404E-13</v>
      </c>
      <c r="AJ192" s="14">
        <f>AI192*VLOOKUP('Données projet'!$B$10,Paramètres!$A$1:$I$88,3,0)*VLOOKUP('Données projet'!$B$10,Paramètres!$A$1:$I$88,5,0)</f>
        <v>-1.6227659216383472E-13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370.04285308422544</v>
      </c>
      <c r="AO192" s="62">
        <f t="shared" si="144"/>
        <v>218.53758068502731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0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projet'!$B$11,Paramètres!$A$1:$I$88,3,0)*VLOOKUP('Données projet'!$B$11,Paramètres!$A$1:$I$88,5,0)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215.43249078216331</v>
      </c>
      <c r="BJ192" s="62">
        <f t="shared" si="146"/>
        <v>363.02009369315232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0.87945055489723334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2.6359594225138407E-23</v>
      </c>
      <c r="BS192" s="24">
        <f t="shared" si="169"/>
        <v>0.87945055489723334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-5.1159076974727213E-13</v>
      </c>
      <c r="O193" s="14">
        <f>N193*VLOOKUP('Données projet'!$B$9,Paramètres!$A$1:$I$88,3,0)*VLOOKUP('Données projet'!$B$9,Paramètres!$A$1:$I$88,5,0)</f>
        <v>-4.6288732846733184E-13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430.21146937947236</v>
      </c>
      <c r="T193" s="62">
        <f t="shared" si="142"/>
        <v>231.36959598460686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-1.7053025658242404E-13</v>
      </c>
      <c r="AJ193" s="14">
        <f>AI193*VLOOKUP('Données projet'!$B$10,Paramètres!$A$1:$I$88,3,0)*VLOOKUP('Données projet'!$B$10,Paramètres!$A$1:$I$88,5,0)</f>
        <v>-1.6227659216383472E-13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370.04285308422544</v>
      </c>
      <c r="AO193" s="62">
        <f t="shared" si="144"/>
        <v>218.53758068502731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0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projet'!$B$11,Paramètres!$A$1:$I$88,3,0)*VLOOKUP('Données projet'!$B$11,Paramètres!$A$1:$I$88,5,0)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215.43249078216331</v>
      </c>
      <c r="BJ193" s="62">
        <f t="shared" si="146"/>
        <v>363.02009369315232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0.86220506592757085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1.8639047825921126E-23</v>
      </c>
      <c r="BS193" s="24">
        <f t="shared" si="169"/>
        <v>0.86220506592757085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-5.1159076974727213E-13</v>
      </c>
      <c r="O194" s="14">
        <f>N194*VLOOKUP('Données projet'!$B$9,Paramètres!$A$1:$I$88,3,0)*VLOOKUP('Données projet'!$B$9,Paramètres!$A$1:$I$88,5,0)</f>
        <v>-4.6288732846733184E-13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430.21146937947236</v>
      </c>
      <c r="T194" s="62">
        <f t="shared" si="142"/>
        <v>231.36959598460686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-1.7053025658242404E-13</v>
      </c>
      <c r="AJ194" s="14">
        <f>AI194*VLOOKUP('Données projet'!$B$10,Paramètres!$A$1:$I$88,3,0)*VLOOKUP('Données projet'!$B$10,Paramètres!$A$1:$I$88,5,0)</f>
        <v>-1.6227659216383472E-13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370.04285308422544</v>
      </c>
      <c r="AO194" s="62">
        <f t="shared" si="144"/>
        <v>218.53758068502731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0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projet'!$B$11,Paramètres!$A$1:$I$88,3,0)*VLOOKUP('Données projet'!$B$11,Paramètres!$A$1:$I$88,5,0)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215.43249078216331</v>
      </c>
      <c r="BJ194" s="62">
        <f t="shared" si="146"/>
        <v>363.02009369315232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0.84529775047789379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1.3179797112569205E-23</v>
      </c>
      <c r="BS194" s="24">
        <f t="shared" si="169"/>
        <v>0.84529775047789379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-5.1159076974727213E-13</v>
      </c>
      <c r="O195" s="14">
        <f>N195*VLOOKUP('Données projet'!$B$9,Paramètres!$A$1:$I$88,3,0)*VLOOKUP('Données projet'!$B$9,Paramètres!$A$1:$I$88,5,0)</f>
        <v>-4.6288732846733184E-13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430.21146937947236</v>
      </c>
      <c r="T195" s="62">
        <f t="shared" si="142"/>
        <v>231.36959598460686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-1.7053025658242404E-13</v>
      </c>
      <c r="AJ195" s="14">
        <f>AI195*VLOOKUP('Données projet'!$B$10,Paramètres!$A$1:$I$88,3,0)*VLOOKUP('Données projet'!$B$10,Paramètres!$A$1:$I$88,5,0)</f>
        <v>-1.6227659216383472E-13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370.04285308422544</v>
      </c>
      <c r="AO195" s="62">
        <f t="shared" si="144"/>
        <v>218.53758068502731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0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projet'!$B$11,Paramètres!$A$1:$I$88,3,0)*VLOOKUP('Données projet'!$B$11,Paramètres!$A$1:$I$88,5,0)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215.43249078216331</v>
      </c>
      <c r="BJ195" s="62">
        <f t="shared" si="146"/>
        <v>363.02009369315232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0.82872197717174068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9.3195239129605645E-24</v>
      </c>
      <c r="BS195" s="24">
        <f t="shared" si="169"/>
        <v>0.82872197717174068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-5.1159076974727213E-13</v>
      </c>
      <c r="O196" s="14">
        <f>N196*VLOOKUP('Données projet'!$B$9,Paramètres!$A$1:$I$88,3,0)*VLOOKUP('Données projet'!$B$9,Paramètres!$A$1:$I$88,5,0)</f>
        <v>-4.6288732846733184E-13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430.21146937947236</v>
      </c>
      <c r="T196" s="62">
        <f t="shared" si="142"/>
        <v>231.36959598460686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-1.7053025658242404E-13</v>
      </c>
      <c r="AJ196" s="14">
        <f>AI196*VLOOKUP('Données projet'!$B$10,Paramètres!$A$1:$I$88,3,0)*VLOOKUP('Données projet'!$B$10,Paramètres!$A$1:$I$88,5,0)</f>
        <v>-1.6227659216383472E-13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370.04285308422544</v>
      </c>
      <c r="AO196" s="62">
        <f t="shared" si="144"/>
        <v>218.53758068502731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0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projet'!$B$11,Paramètres!$A$1:$I$88,3,0)*VLOOKUP('Données projet'!$B$11,Paramètres!$A$1:$I$88,5,0)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215.43249078216331</v>
      </c>
      <c r="BJ196" s="62">
        <f t="shared" si="146"/>
        <v>363.02009369315232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0.81247124466989784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6.5898985562846032E-24</v>
      </c>
      <c r="BS196" s="24">
        <f t="shared" si="169"/>
        <v>0.81247124466989784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-5.1159076974727213E-13</v>
      </c>
      <c r="O197" s="14">
        <f>N197*VLOOKUP('Données projet'!$B$9,Paramètres!$A$1:$I$88,3,0)*VLOOKUP('Données projet'!$B$9,Paramètres!$A$1:$I$88,5,0)</f>
        <v>-4.6288732846733184E-13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430.21146937947236</v>
      </c>
      <c r="T197" s="62">
        <f t="shared" ref="T197:T203" si="204">$T$3</f>
        <v>231.36959598460686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-1.7053025658242404E-13</v>
      </c>
      <c r="AJ197" s="14">
        <f>AI197*VLOOKUP('Données projet'!$B$10,Paramètres!$A$1:$I$88,3,0)*VLOOKUP('Données projet'!$B$10,Paramètres!$A$1:$I$88,5,0)</f>
        <v>-1.6227659216383472E-13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370.04285308422544</v>
      </c>
      <c r="AO197" s="62">
        <f t="shared" ref="AO197:AO203" si="205">$AO$3</f>
        <v>218.53758068502731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0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projet'!$B$11,Paramètres!$A$1:$I$88,3,0)*VLOOKUP('Données projet'!$B$11,Paramètres!$A$1:$I$88,5,0)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215.43249078216331</v>
      </c>
      <c r="BJ197" s="62">
        <f t="shared" ref="BJ197:BJ203" si="206">$BJ$3</f>
        <v>363.02009369315232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0.79653917912044803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4.659761956480283E-24</v>
      </c>
      <c r="BS197" s="24">
        <f t="shared" si="169"/>
        <v>0.79653917912044803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-5.1159076974727213E-13</v>
      </c>
      <c r="O198" s="14">
        <f>N198*VLOOKUP('Données projet'!$B$9,Paramètres!$A$1:$I$88,3,0)*VLOOKUP('Données projet'!$B$9,Paramètres!$A$1:$I$88,5,0)</f>
        <v>-4.6288732846733184E-13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430.21146937947236</v>
      </c>
      <c r="T198" s="62">
        <f t="shared" si="204"/>
        <v>231.36959598460686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-1.7053025658242404E-13</v>
      </c>
      <c r="AJ198" s="14">
        <f>AI198*VLOOKUP('Données projet'!$B$10,Paramètres!$A$1:$I$88,3,0)*VLOOKUP('Données projet'!$B$10,Paramètres!$A$1:$I$88,5,0)</f>
        <v>-1.6227659216383472E-13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370.04285308422544</v>
      </c>
      <c r="AO198" s="62">
        <f t="shared" si="205"/>
        <v>218.53758068502731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0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projet'!$B$11,Paramètres!$A$1:$I$88,3,0)*VLOOKUP('Données projet'!$B$11,Paramètres!$A$1:$I$88,5,0)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215.43249078216331</v>
      </c>
      <c r="BJ198" s="62">
        <f t="shared" si="206"/>
        <v>363.02009369315232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0.78091953165882255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3.2949492781423023E-24</v>
      </c>
      <c r="BS198" s="24">
        <f t="shared" si="169"/>
        <v>0.78091953165882255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-5.1159076974727213E-13</v>
      </c>
      <c r="O199" s="14">
        <f>N199*VLOOKUP('Données projet'!$B$9,Paramètres!$A$1:$I$88,3,0)*VLOOKUP('Données projet'!$B$9,Paramètres!$A$1:$I$88,5,0)</f>
        <v>-4.6288732846733184E-13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430.21146937947236</v>
      </c>
      <c r="T199" s="62">
        <f t="shared" si="204"/>
        <v>231.36959598460686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-1.7053025658242404E-13</v>
      </c>
      <c r="AJ199" s="14">
        <f>AI199*VLOOKUP('Données projet'!$B$10,Paramètres!$A$1:$I$88,3,0)*VLOOKUP('Données projet'!$B$10,Paramètres!$A$1:$I$88,5,0)</f>
        <v>-1.6227659216383472E-13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370.04285308422544</v>
      </c>
      <c r="AO199" s="62">
        <f t="shared" si="205"/>
        <v>218.53758068502731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0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projet'!$B$11,Paramètres!$A$1:$I$88,3,0)*VLOOKUP('Données projet'!$B$11,Paramètres!$A$1:$I$88,5,0)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215.43249078216331</v>
      </c>
      <c r="BJ199" s="62">
        <f t="shared" si="206"/>
        <v>363.02009369315232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0.7656061759568753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2.3298809782401419E-24</v>
      </c>
      <c r="BS199" s="24">
        <f t="shared" si="169"/>
        <v>0.7656061759568753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-5.1159076974727213E-13</v>
      </c>
      <c r="O200" s="14">
        <f>N200*VLOOKUP('Données projet'!$B$9,Paramètres!$A$1:$I$88,3,0)*VLOOKUP('Données projet'!$B$9,Paramètres!$A$1:$I$88,5,0)</f>
        <v>-4.6288732846733184E-13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430.21146937947236</v>
      </c>
      <c r="T200" s="62">
        <f t="shared" si="204"/>
        <v>231.36959598460686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-1.7053025658242404E-13</v>
      </c>
      <c r="AJ200" s="14">
        <f>AI200*VLOOKUP('Données projet'!$B$10,Paramètres!$A$1:$I$88,3,0)*VLOOKUP('Données projet'!$B$10,Paramètres!$A$1:$I$88,5,0)</f>
        <v>-1.6227659216383472E-13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370.04285308422544</v>
      </c>
      <c r="AO200" s="62">
        <f t="shared" si="205"/>
        <v>218.53758068502731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0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projet'!$B$11,Paramètres!$A$1:$I$88,3,0)*VLOOKUP('Données projet'!$B$11,Paramètres!$A$1:$I$88,5,0)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215.43249078216331</v>
      </c>
      <c r="BJ200" s="62">
        <f t="shared" si="206"/>
        <v>363.02009369315232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0.75059310582001848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1.6474746390711514E-24</v>
      </c>
      <c r="BS200" s="24">
        <f t="shared" si="169"/>
        <v>0.75059310582001848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-5.1159076974727213E-13</v>
      </c>
      <c r="O201" s="14">
        <f>N201*VLOOKUP('Données projet'!$B$9,Paramètres!$A$1:$I$88,3,0)*VLOOKUP('Données projet'!$B$9,Paramètres!$A$1:$I$88,5,0)</f>
        <v>-4.6288732846733184E-13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430.21146937947236</v>
      </c>
      <c r="T201" s="62">
        <f t="shared" si="204"/>
        <v>231.36959598460686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-1.7053025658242404E-13</v>
      </c>
      <c r="AJ201" s="14">
        <f>AI201*VLOOKUP('Données projet'!$B$10,Paramètres!$A$1:$I$88,3,0)*VLOOKUP('Données projet'!$B$10,Paramètres!$A$1:$I$88,5,0)</f>
        <v>-1.6227659216383472E-13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370.04285308422544</v>
      </c>
      <c r="AO201" s="62">
        <f t="shared" si="205"/>
        <v>218.53758068502731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0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projet'!$B$11,Paramètres!$A$1:$I$88,3,0)*VLOOKUP('Données projet'!$B$11,Paramètres!$A$1:$I$88,5,0)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215.43249078216331</v>
      </c>
      <c r="BJ201" s="62">
        <f t="shared" si="206"/>
        <v>363.02009369315232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0.7358744328314768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1.1649404891200711E-24</v>
      </c>
      <c r="BS201" s="24">
        <f t="shared" si="169"/>
        <v>0.7358744328314768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-5.1159076974727213E-13</v>
      </c>
      <c r="O202" s="14">
        <f>N202*VLOOKUP('Données projet'!$B$9,Paramètres!$A$1:$I$88,3,0)*VLOOKUP('Données projet'!$B$9,Paramètres!$A$1:$I$88,5,0)</f>
        <v>-4.6288732846733184E-13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430.21146937947236</v>
      </c>
      <c r="T202" s="62">
        <f t="shared" si="204"/>
        <v>231.36959598460686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-1.7053025658242404E-13</v>
      </c>
      <c r="AJ202" s="14">
        <f>AI202*VLOOKUP('Données projet'!$B$10,Paramètres!$A$1:$I$88,3,0)*VLOOKUP('Données projet'!$B$10,Paramètres!$A$1:$I$88,5,0)</f>
        <v>-1.6227659216383472E-13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370.04285308422544</v>
      </c>
      <c r="AO202" s="62">
        <f t="shared" si="205"/>
        <v>218.53758068502731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0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projet'!$B$11,Paramètres!$A$1:$I$88,3,0)*VLOOKUP('Données projet'!$B$11,Paramètres!$A$1:$I$88,5,0)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215.43249078216331</v>
      </c>
      <c r="BJ202" s="62">
        <f t="shared" si="206"/>
        <v>363.02009369315232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0.72144438404273636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8.2373731953557586E-25</v>
      </c>
      <c r="BS202" s="24">
        <f t="shared" si="169"/>
        <v>0.72144438404273636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-5.1159076974727213E-13</v>
      </c>
      <c r="O203" s="14">
        <f>N203*VLOOKUP('Données projet'!$B$9,Paramètres!$A$1:$I$88,3,0)*VLOOKUP('Données projet'!$B$9,Paramètres!$A$1:$I$88,5,0)</f>
        <v>-4.6288732846733184E-13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430.21146937947236</v>
      </c>
      <c r="T203" s="62">
        <f t="shared" si="204"/>
        <v>231.36959598460686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-1.7053025658242404E-13</v>
      </c>
      <c r="AJ203" s="14">
        <f>AI203*VLOOKUP('Données projet'!$B$10,Paramètres!$A$1:$I$88,3,0)*VLOOKUP('Données projet'!$B$10,Paramètres!$A$1:$I$88,5,0)</f>
        <v>-1.6227659216383472E-13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370.04285308422544</v>
      </c>
      <c r="AO203" s="62">
        <f t="shared" si="205"/>
        <v>218.53758068502731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0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projet'!$B$11,Paramètres!$A$1:$I$88,3,0)*VLOOKUP('Données projet'!$B$11,Paramètres!$A$1:$I$88,5,0)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215.43249078216331</v>
      </c>
      <c r="BJ203" s="62">
        <f t="shared" si="206"/>
        <v>363.02009369315232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0.70729729970928246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5.8247024456003565E-25</v>
      </c>
      <c r="BS203" s="24">
        <f t="shared" si="169"/>
        <v>0.70729729970928246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294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294</v>
      </c>
      <c r="BA204" s="87" t="s">
        <v>294</v>
      </c>
      <c r="BV204" s="87" t="s">
        <v>294</v>
      </c>
      <c r="CQ204" s="87" t="s">
        <v>294</v>
      </c>
      <c r="DL204" s="87" t="s">
        <v>294</v>
      </c>
      <c r="EG204" s="87" t="s">
        <v>294</v>
      </c>
      <c r="FB204" s="87" t="s">
        <v>294</v>
      </c>
      <c r="FW204" s="87" t="s">
        <v>294</v>
      </c>
      <c r="GR204" s="87" t="s">
        <v>294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1.3822911730149987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workbookViewId="0">
      <selection activeCell="E10" sqref="E10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4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5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4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6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6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5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4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5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274</v>
      </c>
      <c r="G87" s="140"/>
      <c r="H87" s="139"/>
      <c r="I87" s="141"/>
    </row>
    <row r="88" spans="1:14" ht="15" thickBot="1" x14ac:dyDescent="0.35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274</v>
      </c>
      <c r="G88" s="143"/>
      <c r="H88" s="143"/>
      <c r="I88" s="146"/>
    </row>
    <row r="92" spans="1:14" x14ac:dyDescent="0.3">
      <c r="A92" s="131" t="s">
        <v>208</v>
      </c>
    </row>
    <row r="93" spans="1:14" x14ac:dyDescent="0.3">
      <c r="A93" s="131" t="s">
        <v>209</v>
      </c>
    </row>
    <row r="94" spans="1:14" x14ac:dyDescent="0.3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workbookViewId="0">
      <selection activeCell="K21" sqref="K2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1.3144020000000001</v>
      </c>
      <c r="C6" s="156">
        <f ca="1">IF(OR('Données projet'!B9="",'Données projet'!C9="",'Données projet'!C9=0%),0,Calculateur!S3)</f>
        <v>430.21146937947236</v>
      </c>
      <c r="D6" s="156">
        <f>IF(OR('Données projet'!B9="",'Données projet'!C9="",'Données projet'!C9=0%),0,Calculateur!T3)</f>
        <v>231.36959598460686</v>
      </c>
      <c r="E6" s="156">
        <f ca="1">MIN(C6,D6)</f>
        <v>231.36959598460686</v>
      </c>
      <c r="F6" s="156">
        <f ca="1">E6*B6</f>
        <v>304.11265970135923</v>
      </c>
      <c r="G6" s="156">
        <f ca="1">F6*(100%-'Données projet'!$C$24)*(100%-'Données projet'!$C$25)*(100%-'Données projet'!$C$26)*(100%-'Données projet'!$C$27)</f>
        <v>273.70139373122333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projet'!$B$9,Paramètres!$A$1:$I$88,9,0)*B6)</f>
        <v>2.6288040000000001</v>
      </c>
      <c r="K6" s="160">
        <f>J6*(100%-'Données projet'!$C$24)*(100%-'Données projet'!$C$25)*(100%-'Données projet'!$C$26)*(100%-'Données projet'!$C$27)</f>
        <v>2.3659236000000003</v>
      </c>
      <c r="L6" s="161">
        <f ca="1">G6+I6+K6</f>
        <v>276.06731733122331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Charme</v>
      </c>
      <c r="B7" s="163">
        <f>'Données projet'!D10</f>
        <v>1.3144020000000001</v>
      </c>
      <c r="C7" s="156">
        <f ca="1">IF(OR('Données projet'!B10="",'Données projet'!C10="",'Données projet'!C10=0%),0,Calculateur!AN3)</f>
        <v>370.04285308422544</v>
      </c>
      <c r="D7" s="156">
        <f>IF(OR('Données projet'!B10="",'Données projet'!C10="",'Données projet'!C10=0%),0,Calculateur!AO3)</f>
        <v>218.53758068502731</v>
      </c>
      <c r="E7" s="156">
        <f t="shared" ref="E7:E15" ca="1" si="0">MIN(C7,D7)</f>
        <v>218.53758068502731</v>
      </c>
      <c r="F7" s="156">
        <f t="shared" ref="F7:F15" ca="1" si="1">E7*B7</f>
        <v>287.24623312756125</v>
      </c>
      <c r="G7" s="156">
        <f ca="1">F7*(100%-'Données projet'!$C$24)*(100%-'Données projet'!$C$25)*(100%-'Données projet'!$C$26)*(100%-'Données projet'!$C$27)</f>
        <v>258.52160981480512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projet'!$B$10,Paramètres!$A$1:$I$88,9,0)*B7)</f>
        <v>5.2576080000000003</v>
      </c>
      <c r="K7" s="160">
        <f>J7*(100%-'Données projet'!$C$24)*(100%-'Données projet'!$C$25)*(100%-'Données projet'!$C$26)*(100%-'Données projet'!$C$27)</f>
        <v>4.7318472000000007</v>
      </c>
      <c r="L7" s="161">
        <f t="shared" ref="L7:L15" ca="1" si="2">G7+I7+K7</f>
        <v>263.25345701480512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Pin maritime</v>
      </c>
      <c r="B8" s="163">
        <f>'Données projet'!D11</f>
        <v>2.0708199999999999</v>
      </c>
      <c r="C8" s="156">
        <f ca="1">IF(OR('Données projet'!B11="",'Données projet'!C11="",'Données projet'!C11=0%),0,Calculateur!BI3)</f>
        <v>215.43249078216331</v>
      </c>
      <c r="D8" s="156">
        <f>IF(OR('Données projet'!B11="",'Données projet'!C11="",'Données projet'!C11=0%),0,Calculateur!BJ3)</f>
        <v>363.02009369315232</v>
      </c>
      <c r="E8" s="156">
        <f t="shared" ca="1" si="0"/>
        <v>215.43249078216331</v>
      </c>
      <c r="F8" s="156">
        <f t="shared" ca="1" si="1"/>
        <v>446.12191056151943</v>
      </c>
      <c r="G8" s="156">
        <f ca="1">F8*(100%-'Données projet'!$C$24)*(100%-'Données projet'!$C$25)*(100%-'Données projet'!$C$26)*(100%-'Données projet'!$C$27)</f>
        <v>401.50971950536751</v>
      </c>
      <c r="H8" s="164">
        <f>IF(OR('Données projet'!B11="",'Données projet'!C11="",'Données projet'!C11=0%),0,AVERAGE(Calculateur!$BS$3:$BS$33)*B8)</f>
        <v>19.019944115867709</v>
      </c>
      <c r="I8" s="158">
        <f>H8*(100%-'Données projet'!$C$24)*(100%-'Données projet'!$C$25)*(100%-'Données projet'!$C$26)*(100%-'Données projet'!$C$27)</f>
        <v>17.117949704280939</v>
      </c>
      <c r="J8" s="159">
        <f>IF(OR('Données projet'!B11="",'Données projet'!C11="",'Données projet'!C11=0%),0,SUM(Calculateur!$BL$3:$BL$33)*VLOOKUP('Données projet'!$B$11,Paramètres!$A$1:$I$88,9,0)*B8)</f>
        <v>213.52932205029998</v>
      </c>
      <c r="K8" s="160">
        <f>J8*(100%-'Données projet'!$C$24)*(100%-'Données projet'!$C$25)*(100%-'Données projet'!$C$26)*(100%-'Données projet'!$C$27)</f>
        <v>192.17638984526999</v>
      </c>
      <c r="L8" s="161">
        <f t="shared" ca="1" si="2"/>
        <v>610.80405905491841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projet'!$B$12,Paramètres!$A$1:$I$88,9,0)*B9)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projet'!$B$13,Paramètres!$A$1:$I$88,9,0)*B10)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projet'!$B$14,Paramètres!$A$1:$I$88,9,0)*B11)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projet'!$B$15,Paramètres!$A$1:$I$88,9,0)*B12)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projet'!$B$16,Paramètres!$A$1:$I$88,9,0)*B13)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projet'!$B$17,Paramètres!$A$1:$I$88,9,0)*B14)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1037.4808033904399</v>
      </c>
      <c r="G16" s="175">
        <f t="shared" ca="1" si="3"/>
        <v>933.73272305139585</v>
      </c>
      <c r="H16" s="176">
        <f t="shared" si="3"/>
        <v>19.019944115867709</v>
      </c>
      <c r="I16" s="176">
        <f t="shared" si="3"/>
        <v>17.117949704280939</v>
      </c>
      <c r="J16" s="177">
        <f t="shared" si="3"/>
        <v>221.41573405029999</v>
      </c>
      <c r="K16" s="177">
        <f t="shared" si="3"/>
        <v>199.27416064527</v>
      </c>
      <c r="L16" s="178">
        <f t="shared" ca="1" si="3"/>
        <v>1150.124833400947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17" t="s">
        <v>246</v>
      </c>
      <c r="G17" s="318"/>
      <c r="H17" s="318"/>
      <c r="I17" s="318"/>
      <c r="J17" s="318"/>
      <c r="K17" s="318"/>
      <c r="L17" s="31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19"/>
      <c r="G18" s="319"/>
      <c r="H18" s="319"/>
      <c r="I18" s="319"/>
      <c r="J18" s="319"/>
      <c r="K18" s="319"/>
      <c r="L18" s="31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Charme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Pin maritime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K1" zoomScale="85" zoomScaleNormal="85" workbookViewId="0">
      <selection activeCell="O22" sqref="O2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37" t="s">
        <v>316</v>
      </c>
      <c r="I4" s="337"/>
      <c r="K4" s="334" t="s">
        <v>253</v>
      </c>
      <c r="L4" s="33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6" t="s">
        <v>311</v>
      </c>
      <c r="S7" s="327"/>
      <c r="T7" s="327"/>
      <c r="U7" s="327"/>
      <c r="V7" s="328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312</v>
      </c>
      <c r="C9" s="25"/>
      <c r="D9" s="25"/>
      <c r="E9" s="25"/>
      <c r="F9" s="261"/>
      <c r="G9" s="260" t="s">
        <v>315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318</v>
      </c>
      <c r="C10" s="25"/>
      <c r="D10" s="25"/>
      <c r="E10" s="25"/>
      <c r="F10" s="261"/>
      <c r="G10" s="260" t="s">
        <v>317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780.80375995704742</v>
      </c>
      <c r="U10" s="190">
        <f>'Données projet'!D9</f>
        <v>1.3144020000000001</v>
      </c>
      <c r="V10" s="189">
        <f>U10*T10</f>
        <v>1026.2900236950632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313</v>
      </c>
      <c r="B11" s="25"/>
      <c r="C11" s="25"/>
      <c r="D11" s="25"/>
      <c r="E11" s="25"/>
      <c r="F11" s="261"/>
      <c r="G11" s="260" t="s">
        <v>314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Charme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461.71005009514727</v>
      </c>
      <c r="U11" s="190">
        <f>'Données projet'!D10</f>
        <v>1.3144020000000001</v>
      </c>
      <c r="V11" s="189">
        <f t="shared" ref="V11" si="0">U11*T11</f>
        <v>606.87261326516182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maritime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3044.0557240723338</v>
      </c>
      <c r="U12" s="190">
        <f>'Données projet'!D11</f>
        <v>2.0708199999999999</v>
      </c>
      <c r="V12" s="189">
        <f t="shared" ref="V12:V19" si="1">U12*T12</f>
        <v>6303.6914745234699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291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38" t="s">
        <v>319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287</v>
      </c>
      <c r="F16" s="261"/>
      <c r="G16" s="338"/>
      <c r="H16" s="203"/>
      <c r="I16" s="204"/>
      <c r="J16" s="216"/>
      <c r="K16" s="225"/>
      <c r="L16" s="334" t="s">
        <v>254</v>
      </c>
      <c r="M16" s="33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38"/>
      <c r="J17" s="216"/>
      <c r="K17" s="225"/>
      <c r="L17" s="292" t="s">
        <v>290</v>
      </c>
      <c r="M17" s="294"/>
      <c r="N17" s="187">
        <f>VLOOKUP(N16,Calculateur!$A$2:$H$153,3,0)/VLOOKUP('Scénario référence'!$G$15,Paramètres!A1:I88,3,0)/VLOOKUP('Scénario référence'!$G$15,Paramètres!A1:I88,5,0)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38"/>
      <c r="J18" s="216"/>
      <c r="K18" s="225"/>
      <c r="L18" s="292" t="s">
        <v>255</v>
      </c>
      <c r="M18" s="294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38"/>
      <c r="H19" s="232" t="s">
        <v>178</v>
      </c>
      <c r="I19" s="232" t="s">
        <v>288</v>
      </c>
      <c r="J19" s="260"/>
      <c r="K19" s="183"/>
      <c r="L19" s="334" t="s">
        <v>289</v>
      </c>
      <c r="M19" s="33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38"/>
      <c r="H20" s="203">
        <v>0</v>
      </c>
      <c r="I20" s="204">
        <v>7615.91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6" t="s">
        <v>260</v>
      </c>
      <c r="M23" s="336"/>
      <c r="N23" s="336"/>
      <c r="O23" s="25"/>
      <c r="P23" s="25"/>
      <c r="Q23" s="265"/>
      <c r="R23" s="25"/>
      <c r="S23" s="185" t="s">
        <v>264</v>
      </c>
      <c r="T23" s="33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-27857.922888516307</v>
      </c>
      <c r="U23" s="331"/>
      <c r="V23" s="33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8</v>
      </c>
      <c r="C24" s="206">
        <v>10</v>
      </c>
      <c r="D24" s="194">
        <f t="shared" ref="D24:D42" si="2">B24*C24</f>
        <v>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2">
        <f ca="1">'Scénario référence'!$B$8*$M$30*'Données projet'!$C$5+('Scénario référence'!B9+'Scénario référence'!B10+'Scénario référence'!F8+'Scénario référence'!F9)*$N$19/(1+M4)^N16*'Données projet'!$C$5</f>
        <v>10753.279325964664</v>
      </c>
      <c r="U24" s="332"/>
      <c r="V24" s="33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116</v>
      </c>
      <c r="Q25" s="265"/>
      <c r="R25" s="25"/>
      <c r="S25" s="198" t="s">
        <v>266</v>
      </c>
      <c r="T25" s="333">
        <f ca="1">T23-T24</f>
        <v>-38611.202214480974</v>
      </c>
      <c r="U25" s="333"/>
      <c r="V25" s="33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42</v>
      </c>
      <c r="C26" s="206">
        <v>10</v>
      </c>
      <c r="D26" s="194">
        <f t="shared" si="2"/>
        <v>420</v>
      </c>
      <c r="E26" s="206"/>
      <c r="F26" s="264"/>
      <c r="G26" s="259"/>
      <c r="H26" s="203"/>
      <c r="I26" s="204"/>
      <c r="K26" s="225"/>
      <c r="L26" s="320" t="s">
        <v>258</v>
      </c>
      <c r="M26" s="321"/>
      <c r="N26" s="321"/>
      <c r="O26" s="321"/>
      <c r="P26" s="322"/>
      <c r="Q26" s="265"/>
      <c r="R26" s="25"/>
      <c r="S26" s="198" t="s">
        <v>265</v>
      </c>
      <c r="T26" s="330" t="str">
        <f ca="1">IF(T25&lt;0,"Votre projet est additionnel","Votre projet n'est pas additionnel")</f>
        <v>Votre projet est additionnel</v>
      </c>
      <c r="U26" s="330"/>
      <c r="V26" s="33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3"/>
      <c r="M27" s="324"/>
      <c r="N27" s="324"/>
      <c r="O27" s="324"/>
      <c r="P27" s="325"/>
      <c r="Q27" s="265"/>
      <c r="R27" s="25"/>
      <c r="S27" s="329" t="s">
        <v>267</v>
      </c>
      <c r="T27" s="329"/>
      <c r="U27" s="329"/>
      <c r="V27" s="32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42</v>
      </c>
      <c r="C28" s="206">
        <v>20</v>
      </c>
      <c r="D28" s="194">
        <f t="shared" si="2"/>
        <v>840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42</v>
      </c>
      <c r="C30" s="206">
        <v>30</v>
      </c>
      <c r="D30" s="194">
        <f t="shared" si="2"/>
        <v>1260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2287.9317714818435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42</v>
      </c>
      <c r="C32" s="206">
        <v>40</v>
      </c>
      <c r="D32" s="194">
        <f t="shared" si="2"/>
        <v>1680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116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42</v>
      </c>
      <c r="C34" s="206">
        <v>50</v>
      </c>
      <c r="D34" s="194">
        <f t="shared" si="2"/>
        <v>2100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111.00478468899523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85</v>
      </c>
      <c r="B35" s="193">
        <f>'Données projet'!D48</f>
        <v>42</v>
      </c>
      <c r="C35" s="206">
        <v>60</v>
      </c>
      <c r="D35" s="194">
        <f t="shared" si="2"/>
        <v>2520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106.22467434353611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95</v>
      </c>
      <c r="B36" s="193">
        <f>'Données projet'!D49</f>
        <v>42</v>
      </c>
      <c r="C36" s="206">
        <v>70</v>
      </c>
      <c r="D36" s="194">
        <f t="shared" si="2"/>
        <v>2940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101.65040607036948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105</v>
      </c>
      <c r="B37" s="193">
        <f>'Données projet'!D50</f>
        <v>41</v>
      </c>
      <c r="C37" s="206">
        <v>80</v>
      </c>
      <c r="D37" s="194">
        <f t="shared" si="2"/>
        <v>3280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97.273115856812922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115</v>
      </c>
      <c r="B38" s="193">
        <f>'Données projet'!D51</f>
        <v>37</v>
      </c>
      <c r="C38" s="206">
        <v>90</v>
      </c>
      <c r="D38" s="194">
        <f t="shared" si="2"/>
        <v>3330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93.084321394079353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125</v>
      </c>
      <c r="B39" s="193">
        <f>'Données projet'!D52</f>
        <v>33</v>
      </c>
      <c r="C39" s="206">
        <v>100</v>
      </c>
      <c r="D39" s="194">
        <f t="shared" si="2"/>
        <v>3300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89.075905640267351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135</v>
      </c>
      <c r="B40" s="193">
        <f>'Données projet'!D53</f>
        <v>29</v>
      </c>
      <c r="C40" s="206">
        <v>110</v>
      </c>
      <c r="D40" s="194">
        <f t="shared" si="2"/>
        <v>3190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85.240101091164917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145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81.569474728387505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150</v>
      </c>
      <c r="B42" s="193">
        <f>'Données projet'!D55</f>
        <v>306</v>
      </c>
      <c r="C42" s="206">
        <v>200</v>
      </c>
      <c r="D42" s="194">
        <f t="shared" si="2"/>
        <v>61200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78.056913615681836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74.695611115485022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71.479053699028725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Charme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68.401008324429426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65.455510358305659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287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62.636852017517391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59.939571308629077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57.358441443664212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54.888460711640398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52.524842786258766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50.263007450965326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48.098571723411808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46.027341362116559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16</v>
      </c>
      <c r="C55" s="204">
        <v>10</v>
      </c>
      <c r="D55" s="191">
        <f t="shared" ref="D55:D73" si="4">B55*C55</f>
        <v>160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44.045302738867534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42.148615061117255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23</v>
      </c>
      <c r="C57" s="204">
        <v>15</v>
      </c>
      <c r="D57" s="191">
        <f t="shared" si="4"/>
        <v>345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40.33360292929882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38.59674921464002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27</v>
      </c>
      <c r="C59" s="204">
        <v>20</v>
      </c>
      <c r="D59" s="191">
        <f t="shared" si="4"/>
        <v>540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36.934688243674671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35.3441992762437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28</v>
      </c>
      <c r="C61" s="204">
        <v>25</v>
      </c>
      <c r="D61" s="191">
        <f t="shared" si="4"/>
        <v>700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33.822200264348048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32.365741879758893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28</v>
      </c>
      <c r="C63" s="204">
        <v>30</v>
      </c>
      <c r="D63" s="191">
        <f t="shared" si="4"/>
        <v>840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30.972001798812347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29.638279233313245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28</v>
      </c>
      <c r="C65" s="204">
        <v>35</v>
      </c>
      <c r="D65" s="191">
        <f t="shared" si="4"/>
        <v>980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28.361989696950491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27.140659997081812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85</v>
      </c>
      <c r="B67" s="193">
        <f>'Données projet'!D75</f>
        <v>27</v>
      </c>
      <c r="C67" s="204">
        <v>40</v>
      </c>
      <c r="D67" s="191">
        <f t="shared" si="4"/>
        <v>1080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25.971923442183556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24.853515255678044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95</v>
      </c>
      <c r="B69" s="193">
        <f>'Données projet'!D77</f>
        <v>26</v>
      </c>
      <c r="C69" s="204">
        <v>50</v>
      </c>
      <c r="D69" s="191">
        <f t="shared" si="4"/>
        <v>1300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23.783268187251721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100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22.759108313159544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105</v>
      </c>
      <c r="B71" s="193">
        <f>'Données projet'!D79</f>
        <v>25</v>
      </c>
      <c r="C71" s="204">
        <v>60</v>
      </c>
      <c r="D71" s="191">
        <f t="shared" si="4"/>
        <v>1500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21.779051017377554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115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20.841197145815844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120</v>
      </c>
      <c r="B73" s="193">
        <f>'Données projet'!D81</f>
        <v>300</v>
      </c>
      <c r="C73" s="204">
        <v>70</v>
      </c>
      <c r="D73" s="191">
        <f t="shared" si="4"/>
        <v>21000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19.943729326139568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19.084908446066574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18.263070283317301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Pin maritime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str">
        <f>IF(O75+1&lt;=MIN('Données projet'!$E$9:$E$18),O75+1,"STOP")</f>
        <v>STOP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287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12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13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14</v>
      </c>
      <c r="B87" s="193">
        <f>'Données projet'!D90</f>
        <v>22.227499999999999</v>
      </c>
      <c r="C87" s="204">
        <v>10</v>
      </c>
      <c r="D87" s="191">
        <f t="shared" si="6"/>
        <v>222.27499999999998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15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16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17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18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19</v>
      </c>
      <c r="B92" s="193">
        <f>'Données projet'!D95</f>
        <v>34.884</v>
      </c>
      <c r="C92" s="204">
        <v>10</v>
      </c>
      <c r="D92" s="191">
        <f t="shared" si="6"/>
        <v>348.84000000000003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20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21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22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23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24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25</v>
      </c>
      <c r="B98" s="193">
        <f>'Données projet'!D101</f>
        <v>54.026000000000003</v>
      </c>
      <c r="C98" s="204">
        <v>20</v>
      </c>
      <c r="D98" s="191">
        <f t="shared" si="6"/>
        <v>1080.52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26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27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28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29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30</v>
      </c>
      <c r="B103" s="193">
        <f>'Données projet'!D106</f>
        <v>63.631</v>
      </c>
      <c r="C103" s="204">
        <v>25</v>
      </c>
      <c r="D103" s="191">
        <f t="shared" si="6"/>
        <v>1590.7750000000001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42</v>
      </c>
      <c r="B104" s="193">
        <f>'Données projet'!D107</f>
        <v>360.8845</v>
      </c>
      <c r="C104" s="204">
        <v>35</v>
      </c>
      <c r="D104" s="191">
        <f t="shared" si="6"/>
        <v>12630.9575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287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287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287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287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287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287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287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2021-10-19T15:30:52Z</dcterms:modified>
</cp:coreProperties>
</file>